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과기관\AppData\Local\Temp\handyBMS\JHOMS211610170644100\"/>
    </mc:Choice>
  </mc:AlternateContent>
  <bookViews>
    <workbookView xWindow="0" yWindow="0" windowWidth="20130" windowHeight="16515"/>
  </bookViews>
  <sheets>
    <sheet name="통합" sheetId="1" r:id="rId1"/>
    <sheet name="과기" sheetId="2" state="hidden" r:id="rId2"/>
    <sheet name="FRIC" sheetId="3" state="hidden" r:id="rId3"/>
    <sheet name="건축∙토목공학" sheetId="4" r:id="rId4"/>
    <sheet name="건축∙토목공학 2020" sheetId="5" state="hidden" r:id="rId5"/>
    <sheet name="기계공학 2020" sheetId="6" state="hidden" r:id="rId6"/>
    <sheet name="기계공학" sheetId="7" r:id="rId7"/>
    <sheet name="재료공학 2020" sheetId="8" state="hidden" r:id="rId8"/>
    <sheet name="재료공학" sheetId="9" r:id="rId9"/>
    <sheet name="조선공학 2020" sheetId="10" state="hidden" r:id="rId10"/>
    <sheet name="조선공학" sheetId="11" r:id="rId11"/>
    <sheet name="항공∙우주공학 2020" sheetId="12" state="hidden" r:id="rId12"/>
    <sheet name="항공∙우주공학" sheetId="13" r:id="rId13"/>
    <sheet name="화학공학 2020" sheetId="14" state="hidden" r:id="rId14"/>
    <sheet name="화학공학" sheetId="15" r:id="rId15"/>
    <sheet name="시트1" sheetId="16" state="hidden" r:id="rId16"/>
    <sheet name="통합의 사본" sheetId="17" state="hidden" r:id="rId17"/>
  </sheets>
  <definedNames>
    <definedName name="_xlnm._FilterDatabase" localSheetId="2" hidden="1">FRIC!$I$3:$J$983</definedName>
    <definedName name="_xlnm._FilterDatabase" localSheetId="1" hidden="1">과기!$I$3:$J$983</definedName>
    <definedName name="_xlnm._FilterDatabase" localSheetId="0" hidden="1">통합!$A$3:$L$983</definedName>
    <definedName name="_xlnm._FilterDatabase" localSheetId="16" hidden="1">'통합의 사본'!$A$3:$H$982</definedName>
    <definedName name="Z_1C8533B9_C40A_4098_B671_87804AF9AA3D_.wvu.FilterData" localSheetId="2" hidden="1">FRIC!$A$3:$I$982</definedName>
    <definedName name="Z_1C8533B9_C40A_4098_B671_87804AF9AA3D_.wvu.FilterData" localSheetId="1" hidden="1">과기!$A$3:$I$982</definedName>
    <definedName name="Z_1C8533B9_C40A_4098_B671_87804AF9AA3D_.wvu.FilterData" localSheetId="0" hidden="1">통합!$A$3:$I$982</definedName>
  </definedNames>
  <calcPr calcId="162913"/>
  <customWorkbookViews>
    <customWorkbookView name="필터 1" guid="{1C8533B9-C40A-4098-B671-87804AF9AA3D}" maximized="1" windowWidth="0" windowHeight="0" activeSheetId="0"/>
  </customWorkbookViews>
</workbook>
</file>

<file path=xl/calcChain.xml><?xml version="1.0" encoding="utf-8"?>
<calcChain xmlns="http://schemas.openxmlformats.org/spreadsheetml/2006/main">
  <c r="J982" i="17" l="1"/>
  <c r="A982" i="17"/>
  <c r="J981" i="17"/>
  <c r="A981" i="17"/>
  <c r="J980" i="17"/>
  <c r="A980" i="17"/>
  <c r="A979" i="17"/>
  <c r="J978" i="17"/>
  <c r="A978" i="17"/>
  <c r="J977" i="17"/>
  <c r="A977" i="17"/>
  <c r="A976" i="17"/>
  <c r="A975" i="17"/>
  <c r="J974" i="17"/>
  <c r="A974" i="17"/>
  <c r="A973" i="17"/>
  <c r="J972" i="17"/>
  <c r="A972" i="17"/>
  <c r="A971" i="17"/>
  <c r="A970" i="17"/>
  <c r="J969" i="17"/>
  <c r="A969" i="17"/>
  <c r="J968" i="17"/>
  <c r="A968" i="17"/>
  <c r="A967" i="17"/>
  <c r="A966" i="17"/>
  <c r="A965" i="17"/>
  <c r="A964" i="17"/>
  <c r="A963" i="17"/>
  <c r="A962" i="17"/>
  <c r="A961" i="17"/>
  <c r="A960" i="17"/>
  <c r="A959" i="17"/>
  <c r="A958" i="17"/>
  <c r="A957" i="17"/>
  <c r="A956" i="17"/>
  <c r="A955" i="17"/>
  <c r="A954" i="17"/>
  <c r="J953" i="17"/>
  <c r="A953" i="17"/>
  <c r="J952" i="17"/>
  <c r="A952" i="17"/>
  <c r="J951" i="17"/>
  <c r="A951" i="17"/>
  <c r="A950" i="17"/>
  <c r="A949" i="17"/>
  <c r="J948" i="17"/>
  <c r="A948" i="17"/>
  <c r="J947" i="17"/>
  <c r="A947" i="17"/>
  <c r="A946" i="17"/>
  <c r="A945" i="17"/>
  <c r="A944" i="17"/>
  <c r="J943" i="17"/>
  <c r="A943" i="17"/>
  <c r="J942" i="17"/>
  <c r="A942" i="17"/>
  <c r="J941" i="17"/>
  <c r="A941" i="17"/>
  <c r="A940" i="17"/>
  <c r="A939" i="17"/>
  <c r="J938" i="17"/>
  <c r="A938" i="17"/>
  <c r="A937" i="17"/>
  <c r="J936" i="17"/>
  <c r="A936" i="17"/>
  <c r="A935" i="17"/>
  <c r="A934" i="17"/>
  <c r="A933" i="17"/>
  <c r="J932" i="17"/>
  <c r="A932" i="17"/>
  <c r="J931" i="17"/>
  <c r="A931" i="17"/>
  <c r="J930" i="17"/>
  <c r="A930" i="17"/>
  <c r="J929" i="17"/>
  <c r="A929" i="17"/>
  <c r="A928" i="17"/>
  <c r="J927" i="17"/>
  <c r="A927" i="17"/>
  <c r="A926" i="17"/>
  <c r="A925" i="17"/>
  <c r="A924" i="17"/>
  <c r="A923" i="17"/>
  <c r="A922" i="17"/>
  <c r="A921" i="17"/>
  <c r="A920" i="17"/>
  <c r="A919" i="17"/>
  <c r="J918" i="17"/>
  <c r="A918" i="17"/>
  <c r="J917" i="17"/>
  <c r="A917" i="17"/>
  <c r="A916" i="17"/>
  <c r="A915" i="17"/>
  <c r="A914" i="17"/>
  <c r="A913" i="17"/>
  <c r="A912" i="17"/>
  <c r="A911" i="17"/>
  <c r="A910" i="17"/>
  <c r="J909" i="17"/>
  <c r="A909" i="17"/>
  <c r="A908" i="17"/>
  <c r="A907" i="17"/>
  <c r="A906" i="17"/>
  <c r="A905" i="17"/>
  <c r="J904" i="17"/>
  <c r="A904" i="17"/>
  <c r="A903" i="17"/>
  <c r="J902" i="17"/>
  <c r="A902" i="17"/>
  <c r="A901" i="17"/>
  <c r="J900" i="17"/>
  <c r="A900" i="17"/>
  <c r="A899" i="17"/>
  <c r="A898" i="17"/>
  <c r="J897" i="17"/>
  <c r="A897" i="17"/>
  <c r="A896" i="17"/>
  <c r="J895" i="17"/>
  <c r="A895" i="17"/>
  <c r="J894" i="17"/>
  <c r="A894" i="17"/>
  <c r="J893" i="17"/>
  <c r="A893" i="17"/>
  <c r="J892" i="17"/>
  <c r="A892" i="17"/>
  <c r="J891" i="17"/>
  <c r="A891" i="17"/>
  <c r="J890" i="17"/>
  <c r="A890" i="17"/>
  <c r="A889" i="17"/>
  <c r="A888" i="17"/>
  <c r="A887" i="17"/>
  <c r="J886" i="17"/>
  <c r="A886" i="17"/>
  <c r="J885" i="17"/>
  <c r="A885" i="17"/>
  <c r="A884" i="17"/>
  <c r="J883" i="17"/>
  <c r="A883" i="17"/>
  <c r="J882" i="17"/>
  <c r="A882" i="17"/>
  <c r="J881" i="17"/>
  <c r="A881" i="17"/>
  <c r="J880" i="17"/>
  <c r="A880" i="17"/>
  <c r="J879" i="17"/>
  <c r="A879" i="17"/>
  <c r="A878" i="17"/>
  <c r="J877" i="17"/>
  <c r="A877" i="17"/>
  <c r="J876" i="17"/>
  <c r="A876" i="17"/>
  <c r="J875" i="17"/>
  <c r="A875" i="17"/>
  <c r="J874" i="17"/>
  <c r="A874" i="17"/>
  <c r="A873" i="17"/>
  <c r="J872" i="17"/>
  <c r="A872" i="17"/>
  <c r="A871" i="17"/>
  <c r="J870" i="17"/>
  <c r="A870" i="17"/>
  <c r="A869" i="17"/>
  <c r="A868" i="17"/>
  <c r="J867" i="17"/>
  <c r="A867" i="17"/>
  <c r="A866" i="17"/>
  <c r="J865" i="17"/>
  <c r="A865" i="17"/>
  <c r="J864" i="17"/>
  <c r="A864" i="17"/>
  <c r="A863" i="17"/>
  <c r="J862" i="17"/>
  <c r="A862" i="17"/>
  <c r="J861" i="17"/>
  <c r="A861" i="17"/>
  <c r="J860" i="17"/>
  <c r="A860" i="17"/>
  <c r="J859" i="17"/>
  <c r="A859" i="17"/>
  <c r="J858" i="17"/>
  <c r="A858" i="17"/>
  <c r="J857" i="17"/>
  <c r="A857" i="17"/>
  <c r="J856" i="17"/>
  <c r="A856" i="17"/>
  <c r="A855" i="17"/>
  <c r="A854" i="17"/>
  <c r="J853" i="17"/>
  <c r="A853" i="17"/>
  <c r="J852" i="17"/>
  <c r="A852" i="17"/>
  <c r="A851" i="17"/>
  <c r="J850" i="17"/>
  <c r="A850" i="17"/>
  <c r="J849" i="17"/>
  <c r="A849" i="17"/>
  <c r="J848" i="17"/>
  <c r="A848" i="17"/>
  <c r="A847" i="17"/>
  <c r="J846" i="17"/>
  <c r="A846" i="17"/>
  <c r="J845" i="17"/>
  <c r="A845" i="17"/>
  <c r="J844" i="17"/>
  <c r="A844" i="17"/>
  <c r="A843" i="17"/>
  <c r="J842" i="17"/>
  <c r="A842" i="17"/>
  <c r="A841" i="17"/>
  <c r="A840" i="17"/>
  <c r="J839" i="17"/>
  <c r="A839" i="17"/>
  <c r="J838" i="17"/>
  <c r="A838" i="17"/>
  <c r="A837" i="17"/>
  <c r="A836" i="17"/>
  <c r="J835" i="17"/>
  <c r="A835" i="17"/>
  <c r="A834" i="17"/>
  <c r="J833" i="17"/>
  <c r="A833" i="17"/>
  <c r="A832" i="17"/>
  <c r="J831" i="17"/>
  <c r="A831" i="17"/>
  <c r="J830" i="17"/>
  <c r="A830" i="17"/>
  <c r="J829" i="17"/>
  <c r="A829" i="17"/>
  <c r="J828" i="17"/>
  <c r="A828" i="17"/>
  <c r="J827" i="17"/>
  <c r="A827" i="17"/>
  <c r="J826" i="17"/>
  <c r="A826" i="17"/>
  <c r="J825" i="17"/>
  <c r="A825" i="17"/>
  <c r="J824" i="17"/>
  <c r="A824" i="17"/>
  <c r="A823" i="17"/>
  <c r="A822" i="17"/>
  <c r="A821" i="17"/>
  <c r="A820" i="17"/>
  <c r="J819" i="17"/>
  <c r="A819" i="17"/>
  <c r="A818" i="17"/>
  <c r="J817" i="17"/>
  <c r="A817" i="17"/>
  <c r="J816" i="17"/>
  <c r="A816" i="17"/>
  <c r="A815" i="17"/>
  <c r="J814" i="17"/>
  <c r="A814" i="17"/>
  <c r="A813" i="17"/>
  <c r="J812" i="17"/>
  <c r="A812" i="17"/>
  <c r="J811" i="17"/>
  <c r="A811" i="17"/>
  <c r="J810" i="17"/>
  <c r="A810" i="17"/>
  <c r="J809" i="17"/>
  <c r="A809" i="17"/>
  <c r="A808" i="17"/>
  <c r="J807" i="17"/>
  <c r="A807" i="17"/>
  <c r="J806" i="17"/>
  <c r="A806" i="17"/>
  <c r="J805" i="17"/>
  <c r="A805" i="17"/>
  <c r="J804" i="17"/>
  <c r="A804" i="17"/>
  <c r="J803" i="17"/>
  <c r="A803" i="17"/>
  <c r="J802" i="17"/>
  <c r="A802" i="17"/>
  <c r="A801" i="17"/>
  <c r="J800" i="17"/>
  <c r="A800" i="17"/>
  <c r="A799" i="17"/>
  <c r="J798" i="17"/>
  <c r="A798" i="17"/>
  <c r="J797" i="17"/>
  <c r="A797" i="17"/>
  <c r="A796" i="17"/>
  <c r="A795" i="17"/>
  <c r="J794" i="17"/>
  <c r="A794" i="17"/>
  <c r="J793" i="17"/>
  <c r="A793" i="17"/>
  <c r="J792" i="17"/>
  <c r="A792" i="17"/>
  <c r="J791" i="17"/>
  <c r="A791" i="17"/>
  <c r="A790" i="17"/>
  <c r="J789" i="17"/>
  <c r="A789" i="17"/>
  <c r="J788" i="17"/>
  <c r="A788" i="17"/>
  <c r="A787" i="17"/>
  <c r="A786" i="17"/>
  <c r="A785" i="17"/>
  <c r="A784" i="17"/>
  <c r="J783" i="17"/>
  <c r="A783" i="17"/>
  <c r="J782" i="17"/>
  <c r="A782" i="17"/>
  <c r="J781" i="17"/>
  <c r="A781" i="17"/>
  <c r="A780" i="17"/>
  <c r="A779" i="17"/>
  <c r="A778" i="17"/>
  <c r="J777" i="17"/>
  <c r="A777" i="17"/>
  <c r="A776" i="17"/>
  <c r="A775" i="17"/>
  <c r="A774" i="17"/>
  <c r="A773" i="17"/>
  <c r="J772" i="17"/>
  <c r="A772" i="17"/>
  <c r="A771" i="17"/>
  <c r="J770" i="17"/>
  <c r="A770" i="17"/>
  <c r="A769" i="17"/>
  <c r="J768" i="17"/>
  <c r="A768" i="17"/>
  <c r="J767" i="17"/>
  <c r="A767" i="17"/>
  <c r="A766" i="17"/>
  <c r="A765" i="17"/>
  <c r="J764" i="17"/>
  <c r="A764" i="17"/>
  <c r="J763" i="17"/>
  <c r="A763" i="17"/>
  <c r="A762" i="17"/>
  <c r="J761" i="17"/>
  <c r="A761" i="17"/>
  <c r="A760" i="17"/>
  <c r="A759" i="17"/>
  <c r="J758" i="17"/>
  <c r="A758" i="17"/>
  <c r="A757" i="17"/>
  <c r="A756" i="17"/>
  <c r="A755" i="17"/>
  <c r="A754" i="17"/>
  <c r="J753" i="17"/>
  <c r="A753" i="17"/>
  <c r="A752" i="17"/>
  <c r="A751" i="17"/>
  <c r="A750" i="17"/>
  <c r="A749" i="17"/>
  <c r="A748" i="17"/>
  <c r="A747" i="17"/>
  <c r="A746" i="17"/>
  <c r="J745" i="17"/>
  <c r="A745" i="17"/>
  <c r="A744" i="17"/>
  <c r="J743" i="17"/>
  <c r="A743" i="17"/>
  <c r="A742" i="17"/>
  <c r="J741" i="17"/>
  <c r="A741" i="17"/>
  <c r="A740" i="17"/>
  <c r="A739" i="17"/>
  <c r="J738" i="17"/>
  <c r="A738" i="17"/>
  <c r="A737" i="17"/>
  <c r="J736" i="17"/>
  <c r="A736" i="17"/>
  <c r="A735" i="17"/>
  <c r="J734" i="17"/>
  <c r="A734" i="17"/>
  <c r="J733" i="17"/>
  <c r="A733" i="17"/>
  <c r="J732" i="17"/>
  <c r="A732" i="17"/>
  <c r="A731" i="17"/>
  <c r="J730" i="17"/>
  <c r="A730" i="17"/>
  <c r="A729" i="17"/>
  <c r="A728" i="17"/>
  <c r="J727" i="17"/>
  <c r="A727" i="17"/>
  <c r="A726" i="17"/>
  <c r="A725" i="17"/>
  <c r="J724" i="17"/>
  <c r="A724" i="17"/>
  <c r="A723" i="17"/>
  <c r="A722" i="17"/>
  <c r="A721" i="17"/>
  <c r="A720" i="17"/>
  <c r="J719" i="17"/>
  <c r="A719" i="17"/>
  <c r="J718" i="17"/>
  <c r="A718" i="17"/>
  <c r="J717" i="17"/>
  <c r="A717" i="17"/>
  <c r="J716" i="17"/>
  <c r="A716" i="17"/>
  <c r="J715" i="17"/>
  <c r="A715" i="17"/>
  <c r="A714" i="17"/>
  <c r="A713" i="17"/>
  <c r="A712" i="17"/>
  <c r="J711" i="17"/>
  <c r="A711" i="17"/>
  <c r="A710" i="17"/>
  <c r="J709" i="17"/>
  <c r="A709" i="17"/>
  <c r="J708" i="17"/>
  <c r="A708" i="17"/>
  <c r="A707" i="17"/>
  <c r="J706" i="17"/>
  <c r="A706" i="17"/>
  <c r="J705" i="17"/>
  <c r="A705" i="17"/>
  <c r="J704" i="17"/>
  <c r="A704" i="17"/>
  <c r="A703" i="17"/>
  <c r="A702" i="17"/>
  <c r="A701" i="17"/>
  <c r="A700" i="17"/>
  <c r="A699" i="17"/>
  <c r="J698" i="17"/>
  <c r="A698" i="17"/>
  <c r="J697" i="17"/>
  <c r="A697" i="17"/>
  <c r="A696" i="17"/>
  <c r="J695" i="17"/>
  <c r="A695" i="17"/>
  <c r="J694" i="17"/>
  <c r="A694" i="17"/>
  <c r="A693" i="17"/>
  <c r="J692" i="17"/>
  <c r="A692" i="17"/>
  <c r="J691" i="17"/>
  <c r="A691" i="17"/>
  <c r="J690" i="17"/>
  <c r="A690" i="17"/>
  <c r="J689" i="17"/>
  <c r="A689" i="17"/>
  <c r="J688" i="17"/>
  <c r="A688" i="17"/>
  <c r="A687" i="17"/>
  <c r="J686" i="17"/>
  <c r="A686" i="17"/>
  <c r="A685" i="17"/>
  <c r="A684" i="17"/>
  <c r="A683" i="17"/>
  <c r="A682" i="17"/>
  <c r="A681" i="17"/>
  <c r="A680" i="17"/>
  <c r="A679" i="17"/>
  <c r="A678" i="17"/>
  <c r="A677" i="17"/>
  <c r="J676" i="17"/>
  <c r="A676" i="17"/>
  <c r="J675" i="17"/>
  <c r="A675" i="17"/>
  <c r="J674" i="17"/>
  <c r="A674" i="17"/>
  <c r="J673" i="17"/>
  <c r="A673" i="17"/>
  <c r="J672" i="17"/>
  <c r="A672" i="17"/>
  <c r="A671" i="17"/>
  <c r="J670" i="17"/>
  <c r="A670" i="17"/>
  <c r="A669" i="17"/>
  <c r="A668" i="17"/>
  <c r="A667" i="17"/>
  <c r="A666" i="17"/>
  <c r="J665" i="17"/>
  <c r="A665" i="17"/>
  <c r="A664" i="17"/>
  <c r="A663" i="17"/>
  <c r="J662" i="17"/>
  <c r="A662" i="17"/>
  <c r="J661" i="17"/>
  <c r="A661" i="17"/>
  <c r="J660" i="17"/>
  <c r="A660" i="17"/>
  <c r="J659" i="17"/>
  <c r="A659" i="17"/>
  <c r="J658" i="17"/>
  <c r="A658" i="17"/>
  <c r="J657" i="17"/>
  <c r="A657" i="17"/>
  <c r="J656" i="17"/>
  <c r="A656" i="17"/>
  <c r="A655" i="17"/>
  <c r="J654" i="17"/>
  <c r="A654" i="17"/>
  <c r="A653" i="17"/>
  <c r="A652" i="17"/>
  <c r="A651" i="17"/>
  <c r="A650" i="17"/>
  <c r="A649" i="17"/>
  <c r="A648" i="17"/>
  <c r="A647" i="17"/>
  <c r="A646" i="17"/>
  <c r="A645" i="17"/>
  <c r="A644" i="17"/>
  <c r="J643" i="17"/>
  <c r="A643" i="17"/>
  <c r="A642" i="17"/>
  <c r="J641" i="17"/>
  <c r="A641" i="17"/>
  <c r="J640" i="17"/>
  <c r="A640" i="17"/>
  <c r="J639" i="17"/>
  <c r="A639" i="17"/>
  <c r="A638" i="17"/>
  <c r="A637" i="17"/>
  <c r="J636" i="17"/>
  <c r="A636" i="17"/>
  <c r="J635" i="17"/>
  <c r="A635" i="17"/>
  <c r="J634" i="17"/>
  <c r="A634" i="17"/>
  <c r="J633" i="17"/>
  <c r="A633" i="17"/>
  <c r="A632" i="17"/>
  <c r="A631" i="17"/>
  <c r="J630" i="17"/>
  <c r="A630" i="17"/>
  <c r="J629" i="17"/>
  <c r="A629" i="17"/>
  <c r="A628" i="17"/>
  <c r="A627" i="17"/>
  <c r="A626" i="17"/>
  <c r="A625" i="17"/>
  <c r="A624" i="17"/>
  <c r="J623" i="17"/>
  <c r="A623" i="17"/>
  <c r="J622" i="17"/>
  <c r="A622" i="17"/>
  <c r="A621" i="17"/>
  <c r="J620" i="17"/>
  <c r="A620" i="17"/>
  <c r="A619" i="17"/>
  <c r="A618" i="17"/>
  <c r="A617" i="17"/>
  <c r="J616" i="17"/>
  <c r="A616" i="17"/>
  <c r="J615" i="17"/>
  <c r="A615" i="17"/>
  <c r="A614" i="17"/>
  <c r="J613" i="17"/>
  <c r="A613" i="17"/>
  <c r="A612" i="17"/>
  <c r="J611" i="17"/>
  <c r="A611" i="17"/>
  <c r="J610" i="17"/>
  <c r="A610" i="17"/>
  <c r="J609" i="17"/>
  <c r="A609" i="17"/>
  <c r="J608" i="17"/>
  <c r="A608" i="17"/>
  <c r="A607" i="17"/>
  <c r="J606" i="17"/>
  <c r="A606" i="17"/>
  <c r="J605" i="17"/>
  <c r="A605" i="17"/>
  <c r="J604" i="17"/>
  <c r="A604" i="17"/>
  <c r="A603" i="17"/>
  <c r="J602" i="17"/>
  <c r="A602" i="17"/>
  <c r="J601" i="17"/>
  <c r="A601" i="17"/>
  <c r="J600" i="17"/>
  <c r="A600" i="17"/>
  <c r="J599" i="17"/>
  <c r="A599" i="17"/>
  <c r="J598" i="17"/>
  <c r="A598" i="17"/>
  <c r="A597" i="17"/>
  <c r="A596" i="17"/>
  <c r="A595" i="17"/>
  <c r="J594" i="17"/>
  <c r="A594" i="17"/>
  <c r="A593" i="17"/>
  <c r="A592" i="17"/>
  <c r="J591" i="17"/>
  <c r="A591" i="17"/>
  <c r="J590" i="17"/>
  <c r="A590" i="17"/>
  <c r="A589" i="17"/>
  <c r="A588" i="17"/>
  <c r="A587" i="17"/>
  <c r="J586" i="17"/>
  <c r="A586" i="17"/>
  <c r="J585" i="17"/>
  <c r="A585" i="17"/>
  <c r="A584" i="17"/>
  <c r="A583" i="17"/>
  <c r="A582" i="17"/>
  <c r="A581" i="17"/>
  <c r="A580" i="17"/>
  <c r="A579" i="17"/>
  <c r="A578" i="17"/>
  <c r="J577" i="17"/>
  <c r="A577" i="17"/>
  <c r="A576" i="17"/>
  <c r="A575" i="17"/>
  <c r="J574" i="17"/>
  <c r="A574" i="17"/>
  <c r="A573" i="17"/>
  <c r="A572" i="17"/>
  <c r="A571" i="17"/>
  <c r="A570" i="17"/>
  <c r="A569" i="17"/>
  <c r="J568" i="17"/>
  <c r="A568" i="17"/>
  <c r="A567" i="17"/>
  <c r="A566" i="17"/>
  <c r="A565" i="17"/>
  <c r="A564" i="17"/>
  <c r="A563" i="17"/>
  <c r="A562" i="17"/>
  <c r="A561" i="17"/>
  <c r="A560" i="17"/>
  <c r="A559" i="17"/>
  <c r="J558" i="17"/>
  <c r="A558" i="17"/>
  <c r="J557" i="17"/>
  <c r="A557" i="17"/>
  <c r="A556" i="17"/>
  <c r="A555" i="17"/>
  <c r="J554" i="17"/>
  <c r="A554" i="17"/>
  <c r="A553" i="17"/>
  <c r="J552" i="17"/>
  <c r="A552" i="17"/>
  <c r="A551" i="17"/>
  <c r="A550" i="17"/>
  <c r="J549" i="17"/>
  <c r="A549" i="17"/>
  <c r="A548" i="17"/>
  <c r="A547" i="17"/>
  <c r="A546" i="17"/>
  <c r="A545" i="17"/>
  <c r="J544" i="17"/>
  <c r="A544" i="17"/>
  <c r="A543" i="17"/>
  <c r="A542" i="17"/>
  <c r="A541" i="17"/>
  <c r="A540" i="17"/>
  <c r="J539" i="17"/>
  <c r="A539" i="17"/>
  <c r="A538" i="17"/>
  <c r="A537" i="17"/>
  <c r="A536" i="17"/>
  <c r="J535" i="17"/>
  <c r="A535" i="17"/>
  <c r="J534" i="17"/>
  <c r="A534" i="17"/>
  <c r="J533" i="17"/>
  <c r="A533" i="17"/>
  <c r="J532" i="17"/>
  <c r="A532" i="17"/>
  <c r="A531" i="17"/>
  <c r="J530" i="17"/>
  <c r="A530" i="17"/>
  <c r="A529" i="17"/>
  <c r="A528" i="17"/>
  <c r="J527" i="17"/>
  <c r="A527" i="17"/>
  <c r="A526" i="17"/>
  <c r="A525" i="17"/>
  <c r="J524" i="17"/>
  <c r="A524" i="17"/>
  <c r="J523" i="17"/>
  <c r="A523" i="17"/>
  <c r="A522" i="17"/>
  <c r="A521" i="17"/>
  <c r="J520" i="17"/>
  <c r="A520" i="17"/>
  <c r="J519" i="17"/>
  <c r="A519" i="17"/>
  <c r="A518" i="17"/>
  <c r="J517" i="17"/>
  <c r="A517" i="17"/>
  <c r="A516" i="17"/>
  <c r="A515" i="17"/>
  <c r="A514" i="17"/>
  <c r="A513" i="17"/>
  <c r="J512" i="17"/>
  <c r="A512" i="17"/>
  <c r="A511" i="17"/>
  <c r="J510" i="17"/>
  <c r="A510" i="17"/>
  <c r="J509" i="17"/>
  <c r="A509" i="17"/>
  <c r="J508" i="17"/>
  <c r="A508" i="17"/>
  <c r="J507" i="17"/>
  <c r="A507" i="17"/>
  <c r="A506" i="17"/>
  <c r="J505" i="17"/>
  <c r="A505" i="17"/>
  <c r="J504" i="17"/>
  <c r="A504" i="17"/>
  <c r="A503" i="17"/>
  <c r="J502" i="17"/>
  <c r="A502" i="17"/>
  <c r="J501" i="17"/>
  <c r="A501" i="17"/>
  <c r="A500" i="17"/>
  <c r="A499" i="17"/>
  <c r="J498" i="17"/>
  <c r="A498" i="17"/>
  <c r="A497" i="17"/>
  <c r="A496" i="17"/>
  <c r="A495" i="17"/>
  <c r="A494" i="17"/>
  <c r="A493" i="17"/>
  <c r="J492" i="17"/>
  <c r="A492" i="17"/>
  <c r="J491" i="17"/>
  <c r="A491" i="17"/>
  <c r="A490" i="17"/>
  <c r="J489" i="17"/>
  <c r="A489" i="17"/>
  <c r="A488" i="17"/>
  <c r="A487" i="17"/>
  <c r="A486" i="17"/>
  <c r="J485" i="17"/>
  <c r="A485" i="17"/>
  <c r="A484" i="17"/>
  <c r="A483" i="17"/>
  <c r="J482" i="17"/>
  <c r="A482" i="17"/>
  <c r="A481" i="17"/>
  <c r="J480" i="17"/>
  <c r="A480" i="17"/>
  <c r="J479" i="17"/>
  <c r="A479" i="17"/>
  <c r="J478" i="17"/>
  <c r="A478" i="17"/>
  <c r="J477" i="17"/>
  <c r="A477" i="17"/>
  <c r="J476" i="17"/>
  <c r="A476" i="17"/>
  <c r="J475" i="17"/>
  <c r="A475" i="17"/>
  <c r="J474" i="17"/>
  <c r="A474" i="17"/>
  <c r="J473" i="17"/>
  <c r="A473" i="17"/>
  <c r="J472" i="17"/>
  <c r="A472" i="17"/>
  <c r="A471" i="17"/>
  <c r="J470" i="17"/>
  <c r="A470" i="17"/>
  <c r="J469" i="17"/>
  <c r="A469" i="17"/>
  <c r="J468" i="17"/>
  <c r="A468" i="17"/>
  <c r="J467" i="17"/>
  <c r="A467" i="17"/>
  <c r="J466" i="17"/>
  <c r="A466" i="17"/>
  <c r="J465" i="17"/>
  <c r="A465" i="17"/>
  <c r="J464" i="17"/>
  <c r="A464" i="17"/>
  <c r="J463" i="17"/>
  <c r="A463" i="17"/>
  <c r="A462" i="17"/>
  <c r="A461" i="17"/>
  <c r="A460" i="17"/>
  <c r="A459" i="17"/>
  <c r="J458" i="17"/>
  <c r="A458" i="17"/>
  <c r="A457" i="17"/>
  <c r="A456" i="17"/>
  <c r="A455" i="17"/>
  <c r="A454" i="17"/>
  <c r="A453" i="17"/>
  <c r="A452" i="17"/>
  <c r="A451" i="17"/>
  <c r="A450" i="17"/>
  <c r="J449" i="17"/>
  <c r="A449" i="17"/>
  <c r="J448" i="17"/>
  <c r="A448" i="17"/>
  <c r="J447" i="17"/>
  <c r="A447" i="17"/>
  <c r="A446" i="17"/>
  <c r="A445" i="17"/>
  <c r="J444" i="17"/>
  <c r="A444" i="17"/>
  <c r="A443" i="17"/>
  <c r="A442" i="17"/>
  <c r="J441" i="17"/>
  <c r="A441" i="17"/>
  <c r="A440" i="17"/>
  <c r="J439" i="17"/>
  <c r="A439" i="17"/>
  <c r="A438" i="17"/>
  <c r="A437" i="17"/>
  <c r="J436" i="17"/>
  <c r="A436" i="17"/>
  <c r="J435" i="17"/>
  <c r="A435" i="17"/>
  <c r="J434" i="17"/>
  <c r="A434" i="17"/>
  <c r="A433" i="17"/>
  <c r="A432" i="17"/>
  <c r="A431" i="17"/>
  <c r="J430" i="17"/>
  <c r="A430" i="17"/>
  <c r="J429" i="17"/>
  <c r="A429" i="17"/>
  <c r="J428" i="17"/>
  <c r="A428" i="17"/>
  <c r="A427" i="17"/>
  <c r="A426" i="17"/>
  <c r="J425" i="17"/>
  <c r="A425" i="17"/>
  <c r="A424" i="17"/>
  <c r="J423" i="17"/>
  <c r="A423" i="17"/>
  <c r="J422" i="17"/>
  <c r="A422" i="17"/>
  <c r="A421" i="17"/>
  <c r="A420" i="17"/>
  <c r="J419" i="17"/>
  <c r="A419" i="17"/>
  <c r="A418" i="17"/>
  <c r="A417" i="17"/>
  <c r="A416" i="17"/>
  <c r="J415" i="17"/>
  <c r="A415" i="17"/>
  <c r="J414" i="17"/>
  <c r="A414" i="17"/>
  <c r="A413" i="17"/>
  <c r="A412" i="17"/>
  <c r="J411" i="17"/>
  <c r="A411" i="17"/>
  <c r="J410" i="17"/>
  <c r="A410" i="17"/>
  <c r="A409" i="17"/>
  <c r="A408" i="17"/>
  <c r="J407" i="17"/>
  <c r="A407" i="17"/>
  <c r="J406" i="17"/>
  <c r="A406" i="17"/>
  <c r="A405" i="17"/>
  <c r="A404" i="17"/>
  <c r="J403" i="17"/>
  <c r="A403" i="17"/>
  <c r="A402" i="17"/>
  <c r="J401" i="17"/>
  <c r="A401" i="17"/>
  <c r="J400" i="17"/>
  <c r="A400" i="17"/>
  <c r="A399" i="17"/>
  <c r="A398" i="17"/>
  <c r="A397" i="17"/>
  <c r="A396" i="17"/>
  <c r="J395" i="17"/>
  <c r="A395" i="17"/>
  <c r="J394" i="17"/>
  <c r="A394" i="17"/>
  <c r="J393" i="17"/>
  <c r="A393" i="17"/>
  <c r="A392" i="17"/>
  <c r="A391" i="17"/>
  <c r="A390" i="17"/>
  <c r="A389" i="17"/>
  <c r="A388" i="17"/>
  <c r="A387" i="17"/>
  <c r="A386" i="17"/>
  <c r="J385" i="17"/>
  <c r="A385" i="17"/>
  <c r="J384" i="17"/>
  <c r="A384" i="17"/>
  <c r="J383" i="17"/>
  <c r="A383" i="17"/>
  <c r="A382" i="17"/>
  <c r="A381" i="17"/>
  <c r="J380" i="17"/>
  <c r="A380" i="17"/>
  <c r="A379" i="17"/>
  <c r="J378" i="17"/>
  <c r="A378" i="17"/>
  <c r="A377" i="17"/>
  <c r="J376" i="17"/>
  <c r="A376" i="17"/>
  <c r="J375" i="17"/>
  <c r="A375" i="17"/>
  <c r="A374" i="17"/>
  <c r="J373" i="17"/>
  <c r="A373" i="17"/>
  <c r="A372" i="17"/>
  <c r="J371" i="17"/>
  <c r="A371" i="17"/>
  <c r="J370" i="17"/>
  <c r="A370" i="17"/>
  <c r="A369" i="17"/>
  <c r="J368" i="17"/>
  <c r="A368" i="17"/>
  <c r="A367" i="17"/>
  <c r="A366" i="17"/>
  <c r="A365" i="17"/>
  <c r="J364" i="17"/>
  <c r="A364" i="17"/>
  <c r="A363" i="17"/>
  <c r="J362" i="17"/>
  <c r="A362" i="17"/>
  <c r="J361" i="17"/>
  <c r="A361" i="17"/>
  <c r="J360" i="17"/>
  <c r="A360" i="17"/>
  <c r="J359" i="17"/>
  <c r="A359" i="17"/>
  <c r="J358" i="17"/>
  <c r="A358" i="17"/>
  <c r="J357" i="17"/>
  <c r="A357" i="17"/>
  <c r="J356" i="17"/>
  <c r="A356" i="17"/>
  <c r="A355" i="17"/>
  <c r="A354" i="17"/>
  <c r="A353" i="17"/>
  <c r="A352" i="17"/>
  <c r="A351" i="17"/>
  <c r="J350" i="17"/>
  <c r="A350" i="17"/>
  <c r="A349" i="17"/>
  <c r="A348" i="17"/>
  <c r="A347" i="17"/>
  <c r="J346" i="17"/>
  <c r="A346" i="17"/>
  <c r="J345" i="17"/>
  <c r="A345" i="17"/>
  <c r="J344" i="17"/>
  <c r="A344" i="17"/>
  <c r="A343" i="17"/>
  <c r="A342" i="17"/>
  <c r="J341" i="17"/>
  <c r="A341" i="17"/>
  <c r="J340" i="17"/>
  <c r="A340" i="17"/>
  <c r="A339" i="17"/>
  <c r="J338" i="17"/>
  <c r="A338" i="17"/>
  <c r="A337" i="17"/>
  <c r="J336" i="17"/>
  <c r="A336" i="17"/>
  <c r="J335" i="17"/>
  <c r="A335" i="17"/>
  <c r="A334" i="17"/>
  <c r="J333" i="17"/>
  <c r="A333" i="17"/>
  <c r="J332" i="17"/>
  <c r="A332" i="17"/>
  <c r="A331" i="17"/>
  <c r="A330" i="17"/>
  <c r="J329" i="17"/>
  <c r="A329" i="17"/>
  <c r="J328" i="17"/>
  <c r="A328" i="17"/>
  <c r="A327" i="17"/>
  <c r="A326" i="17"/>
  <c r="A325" i="17"/>
  <c r="J324" i="17"/>
  <c r="A324" i="17"/>
  <c r="J323" i="17"/>
  <c r="A323" i="17"/>
  <c r="A322" i="17"/>
  <c r="A321" i="17"/>
  <c r="J320" i="17"/>
  <c r="A320" i="17"/>
  <c r="A319" i="17"/>
  <c r="J318" i="17"/>
  <c r="A318" i="17"/>
  <c r="A317" i="17"/>
  <c r="A316" i="17"/>
  <c r="A315" i="17"/>
  <c r="A314" i="17"/>
  <c r="A313" i="17"/>
  <c r="J312" i="17"/>
  <c r="A312" i="17"/>
  <c r="A311" i="17"/>
  <c r="A310" i="17"/>
  <c r="A309" i="17"/>
  <c r="A308" i="17"/>
  <c r="J307" i="17"/>
  <c r="A307" i="17"/>
  <c r="A306" i="17"/>
  <c r="J305" i="17"/>
  <c r="A305" i="17"/>
  <c r="A304" i="17"/>
  <c r="J303" i="17"/>
  <c r="A303" i="17"/>
  <c r="J302" i="17"/>
  <c r="A302" i="17"/>
  <c r="J301" i="17"/>
  <c r="A301" i="17"/>
  <c r="J300" i="17"/>
  <c r="A300" i="17"/>
  <c r="J299" i="17"/>
  <c r="A299" i="17"/>
  <c r="J298" i="17"/>
  <c r="A298" i="17"/>
  <c r="A297" i="17"/>
  <c r="A296" i="17"/>
  <c r="A295" i="17"/>
  <c r="A294" i="17"/>
  <c r="A293" i="17"/>
  <c r="A292" i="17"/>
  <c r="A291" i="17"/>
  <c r="A290" i="17"/>
  <c r="J289" i="17"/>
  <c r="A289" i="17"/>
  <c r="J288" i="17"/>
  <c r="A288" i="17"/>
  <c r="A287" i="17"/>
  <c r="J286" i="17"/>
  <c r="A286" i="17"/>
  <c r="J285" i="17"/>
  <c r="A285" i="17"/>
  <c r="A284" i="17"/>
  <c r="J283" i="17"/>
  <c r="A283" i="17"/>
  <c r="A282" i="17"/>
  <c r="A281" i="17"/>
  <c r="J280" i="17"/>
  <c r="A280" i="17"/>
  <c r="J279" i="17"/>
  <c r="A279" i="17"/>
  <c r="A278" i="17"/>
  <c r="A277" i="17"/>
  <c r="J276" i="17"/>
  <c r="A276" i="17"/>
  <c r="A275" i="17"/>
  <c r="A274" i="17"/>
  <c r="J273" i="17"/>
  <c r="A273" i="17"/>
  <c r="J272" i="17"/>
  <c r="A272" i="17"/>
  <c r="J271" i="17"/>
  <c r="A271" i="17"/>
  <c r="J270" i="17"/>
  <c r="A270" i="17"/>
  <c r="A269" i="17"/>
  <c r="A268" i="17"/>
  <c r="J267" i="17"/>
  <c r="A267" i="17"/>
  <c r="A266" i="17"/>
  <c r="A265" i="17"/>
  <c r="A264" i="17"/>
  <c r="A263" i="17"/>
  <c r="J262" i="17"/>
  <c r="A262" i="17"/>
  <c r="A261" i="17"/>
  <c r="J260" i="17"/>
  <c r="A260" i="17"/>
  <c r="A259" i="17"/>
  <c r="A258" i="17"/>
  <c r="A257" i="17"/>
  <c r="A256" i="17"/>
  <c r="J255" i="17"/>
  <c r="A255" i="17"/>
  <c r="J254" i="17"/>
  <c r="A254" i="17"/>
  <c r="A253" i="17"/>
  <c r="A252" i="17"/>
  <c r="A251" i="17"/>
  <c r="A250" i="17"/>
  <c r="J249" i="17"/>
  <c r="A249" i="17"/>
  <c r="A248" i="17"/>
  <c r="J247" i="17"/>
  <c r="A247" i="17"/>
  <c r="A246" i="17"/>
  <c r="A245" i="17"/>
  <c r="A244" i="17"/>
  <c r="A243" i="17"/>
  <c r="A242" i="17"/>
  <c r="A241" i="17"/>
  <c r="A240" i="17"/>
  <c r="J239" i="17"/>
  <c r="A239" i="17"/>
  <c r="A238" i="17"/>
  <c r="A237" i="17"/>
  <c r="J236" i="17"/>
  <c r="A236" i="17"/>
  <c r="J235" i="17"/>
  <c r="A235" i="17"/>
  <c r="J234" i="17"/>
  <c r="A234" i="17"/>
  <c r="A233" i="17"/>
  <c r="A232" i="17"/>
  <c r="J231" i="17"/>
  <c r="A231" i="17"/>
  <c r="A230" i="17"/>
  <c r="A229" i="17"/>
  <c r="J228" i="17"/>
  <c r="A228" i="17"/>
  <c r="J227" i="17"/>
  <c r="A227" i="17"/>
  <c r="A226" i="17"/>
  <c r="J225" i="17"/>
  <c r="A225" i="17"/>
  <c r="J224" i="17"/>
  <c r="A224" i="17"/>
  <c r="A223" i="17"/>
  <c r="A222" i="17"/>
  <c r="A221" i="17"/>
  <c r="J220" i="17"/>
  <c r="A220" i="17"/>
  <c r="A219" i="17"/>
  <c r="J218" i="17"/>
  <c r="A218" i="17"/>
  <c r="A217" i="17"/>
  <c r="A216" i="17"/>
  <c r="A215" i="17"/>
  <c r="A214" i="17"/>
  <c r="A213" i="17"/>
  <c r="A212" i="17"/>
  <c r="A211" i="17"/>
  <c r="A210" i="17"/>
  <c r="A209" i="17"/>
  <c r="J208" i="17"/>
  <c r="A208" i="17"/>
  <c r="A207" i="17"/>
  <c r="J206" i="17"/>
  <c r="A206" i="17"/>
  <c r="A205" i="17"/>
  <c r="J204" i="17"/>
  <c r="A204" i="17"/>
  <c r="J203" i="17"/>
  <c r="A203" i="17"/>
  <c r="J202" i="17"/>
  <c r="A202" i="17"/>
  <c r="J201" i="17"/>
  <c r="A201" i="17"/>
  <c r="J200" i="17"/>
  <c r="A200" i="17"/>
  <c r="A199" i="17"/>
  <c r="A198" i="17"/>
  <c r="A197" i="17"/>
  <c r="J196" i="17"/>
  <c r="A196" i="17"/>
  <c r="A195" i="17"/>
  <c r="A194" i="17"/>
  <c r="A193" i="17"/>
  <c r="J192" i="17"/>
  <c r="A192" i="17"/>
  <c r="A191" i="17"/>
  <c r="A190" i="17"/>
  <c r="A189" i="17"/>
  <c r="A188" i="17"/>
  <c r="A187" i="17"/>
  <c r="J186" i="17"/>
  <c r="A186" i="17"/>
  <c r="A185" i="17"/>
  <c r="A184" i="17"/>
  <c r="A183" i="17"/>
  <c r="A182" i="17"/>
  <c r="J181" i="17"/>
  <c r="A181" i="17"/>
  <c r="A180" i="17"/>
  <c r="A179" i="17"/>
  <c r="J178" i="17"/>
  <c r="A178" i="17"/>
  <c r="A177" i="17"/>
  <c r="A176" i="17"/>
  <c r="A175" i="17"/>
  <c r="A174" i="17"/>
  <c r="J173" i="17"/>
  <c r="A173" i="17"/>
  <c r="A172" i="17"/>
  <c r="A171" i="17"/>
  <c r="A170" i="17"/>
  <c r="A169" i="17"/>
  <c r="J168" i="17"/>
  <c r="A168" i="17"/>
  <c r="A167" i="17"/>
  <c r="A166" i="17"/>
  <c r="A165" i="17"/>
  <c r="A164" i="17"/>
  <c r="J163" i="17"/>
  <c r="A163" i="17"/>
  <c r="J162" i="17"/>
  <c r="A162" i="17"/>
  <c r="A161" i="17"/>
  <c r="A160" i="17"/>
  <c r="J159" i="17"/>
  <c r="A159" i="17"/>
  <c r="A158" i="17"/>
  <c r="A157" i="17"/>
  <c r="A156" i="17"/>
  <c r="A155" i="17"/>
  <c r="A154" i="17"/>
  <c r="J153" i="17"/>
  <c r="A153" i="17"/>
  <c r="J152" i="17"/>
  <c r="A152" i="17"/>
  <c r="J151" i="17"/>
  <c r="A151" i="17"/>
  <c r="A150" i="17"/>
  <c r="A149" i="17"/>
  <c r="A148" i="17"/>
  <c r="A147" i="17"/>
  <c r="A146" i="17"/>
  <c r="A145" i="17"/>
  <c r="A144" i="17"/>
  <c r="J143" i="17"/>
  <c r="A143" i="17"/>
  <c r="A142" i="17"/>
  <c r="A141" i="17"/>
  <c r="A140" i="17"/>
  <c r="A139" i="17"/>
  <c r="J138" i="17"/>
  <c r="A138" i="17"/>
  <c r="A137" i="17"/>
  <c r="A136" i="17"/>
  <c r="A135" i="17"/>
  <c r="A134" i="17"/>
  <c r="J133" i="17"/>
  <c r="A133" i="17"/>
  <c r="J132" i="17"/>
  <c r="A132" i="17"/>
  <c r="J131" i="17"/>
  <c r="A131" i="17"/>
  <c r="J130" i="17"/>
  <c r="A130" i="17"/>
  <c r="A129" i="17"/>
  <c r="J128" i="17"/>
  <c r="A128" i="17"/>
  <c r="J127" i="17"/>
  <c r="A127" i="17"/>
  <c r="A126" i="17"/>
  <c r="J125" i="17"/>
  <c r="A125" i="17"/>
  <c r="A124" i="17"/>
  <c r="A123" i="17"/>
  <c r="J122" i="17"/>
  <c r="A122" i="17"/>
  <c r="J121" i="17"/>
  <c r="A121" i="17"/>
  <c r="A120" i="17"/>
  <c r="J119" i="17"/>
  <c r="A119" i="17"/>
  <c r="A118" i="17"/>
  <c r="J117" i="17"/>
  <c r="A117" i="17"/>
  <c r="J116" i="17"/>
  <c r="A116" i="17"/>
  <c r="A115" i="17"/>
  <c r="A114" i="17"/>
  <c r="A113" i="17"/>
  <c r="J112" i="17"/>
  <c r="A112" i="17"/>
  <c r="A111" i="17"/>
  <c r="A110" i="17"/>
  <c r="A109" i="17"/>
  <c r="J108" i="17"/>
  <c r="A108" i="17"/>
  <c r="A107" i="17"/>
  <c r="J106" i="17"/>
  <c r="A106" i="17"/>
  <c r="A105" i="17"/>
  <c r="J104" i="17"/>
  <c r="A104" i="17"/>
  <c r="A103" i="17"/>
  <c r="A102" i="17"/>
  <c r="A101" i="17"/>
  <c r="A100" i="17"/>
  <c r="A99" i="17"/>
  <c r="A98" i="17"/>
  <c r="A97" i="17"/>
  <c r="A96" i="17"/>
  <c r="A95" i="17"/>
  <c r="J94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J70" i="17"/>
  <c r="A70" i="17"/>
  <c r="J69" i="17"/>
  <c r="A69" i="17"/>
  <c r="A68" i="17"/>
  <c r="J67" i="17"/>
  <c r="A67" i="17"/>
  <c r="J66" i="17"/>
  <c r="A66" i="17"/>
  <c r="J65" i="17"/>
  <c r="A65" i="17"/>
  <c r="A64" i="17"/>
  <c r="J63" i="17"/>
  <c r="A63" i="17"/>
  <c r="A62" i="17"/>
  <c r="A61" i="17"/>
  <c r="J60" i="17"/>
  <c r="A60" i="17"/>
  <c r="A59" i="17"/>
  <c r="A58" i="17"/>
  <c r="J57" i="17"/>
  <c r="A57" i="17"/>
  <c r="A56" i="17"/>
  <c r="A55" i="17"/>
  <c r="A54" i="17"/>
  <c r="A53" i="17"/>
  <c r="A52" i="17"/>
  <c r="J51" i="17"/>
  <c r="A51" i="17"/>
  <c r="A50" i="17"/>
  <c r="A49" i="17"/>
  <c r="A48" i="17"/>
  <c r="A47" i="17"/>
  <c r="J46" i="17"/>
  <c r="A46" i="17"/>
  <c r="A45" i="17"/>
  <c r="J44" i="17"/>
  <c r="A44" i="17"/>
  <c r="J43" i="17"/>
  <c r="A43" i="17"/>
  <c r="A42" i="17"/>
  <c r="A41" i="17"/>
  <c r="J40" i="17"/>
  <c r="A40" i="17"/>
  <c r="J39" i="17"/>
  <c r="A39" i="17"/>
  <c r="A38" i="17"/>
  <c r="A37" i="17"/>
  <c r="A36" i="17"/>
  <c r="A35" i="17"/>
  <c r="A34" i="17"/>
  <c r="A33" i="17"/>
  <c r="A32" i="17"/>
  <c r="J31" i="17"/>
  <c r="A31" i="17"/>
  <c r="J30" i="17"/>
  <c r="A30" i="17"/>
  <c r="A29" i="17"/>
  <c r="A28" i="17"/>
  <c r="A27" i="17"/>
  <c r="J26" i="17"/>
  <c r="A26" i="17"/>
  <c r="A25" i="17"/>
  <c r="J24" i="17"/>
  <c r="A24" i="17"/>
  <c r="J23" i="17"/>
  <c r="A23" i="17"/>
  <c r="A22" i="17"/>
  <c r="A21" i="17"/>
  <c r="J20" i="17"/>
  <c r="A20" i="17"/>
  <c r="A19" i="17"/>
  <c r="A18" i="17"/>
  <c r="J17" i="17"/>
  <c r="A17" i="17"/>
  <c r="J16" i="17"/>
  <c r="A16" i="17"/>
  <c r="J15" i="17"/>
  <c r="A15" i="17"/>
  <c r="A14" i="17"/>
  <c r="A13" i="17"/>
  <c r="A12" i="17"/>
  <c r="J11" i="17"/>
  <c r="A11" i="17"/>
  <c r="J10" i="17"/>
  <c r="A10" i="17"/>
  <c r="A9" i="17"/>
  <c r="A8" i="17"/>
  <c r="J7" i="17"/>
  <c r="A7" i="17"/>
  <c r="J6" i="17"/>
  <c r="A6" i="17"/>
  <c r="J5" i="17"/>
  <c r="A5" i="17"/>
  <c r="J4" i="17"/>
  <c r="A4" i="17"/>
  <c r="G2" i="17"/>
  <c r="I348" i="16"/>
  <c r="I347" i="16"/>
  <c r="I346" i="16"/>
  <c r="I345" i="16"/>
  <c r="I344" i="16"/>
  <c r="I343" i="16"/>
  <c r="I342" i="16"/>
  <c r="I341" i="16"/>
  <c r="I340" i="16"/>
  <c r="I339" i="16"/>
  <c r="I338" i="16"/>
  <c r="I337" i="16"/>
  <c r="I336" i="16"/>
  <c r="I335" i="16"/>
  <c r="I334" i="16"/>
  <c r="I333" i="16"/>
  <c r="I332" i="16"/>
  <c r="I331" i="16"/>
  <c r="I330" i="16"/>
  <c r="I329" i="16"/>
  <c r="I328" i="16"/>
  <c r="I327" i="16"/>
  <c r="I326" i="16"/>
  <c r="I325" i="16"/>
  <c r="I324" i="16"/>
  <c r="I323" i="16"/>
  <c r="I322" i="16"/>
  <c r="I321" i="16"/>
  <c r="I320" i="16"/>
  <c r="I319" i="16"/>
  <c r="I318" i="16"/>
  <c r="I317" i="16"/>
  <c r="I316" i="16"/>
  <c r="I315" i="16"/>
  <c r="I314" i="16"/>
  <c r="I313" i="16"/>
  <c r="I312" i="16"/>
  <c r="I311" i="16"/>
  <c r="I310" i="16"/>
  <c r="I309" i="16"/>
  <c r="I308" i="16"/>
  <c r="I307" i="16"/>
  <c r="I306" i="16"/>
  <c r="I305" i="16"/>
  <c r="I304" i="16"/>
  <c r="I303" i="16"/>
  <c r="I302" i="16"/>
  <c r="I301" i="16"/>
  <c r="I300" i="16"/>
  <c r="I299" i="16"/>
  <c r="I298" i="16"/>
  <c r="I297" i="16"/>
  <c r="I296" i="16"/>
  <c r="I295" i="16"/>
  <c r="I294" i="16"/>
  <c r="I293" i="16"/>
  <c r="I292" i="16"/>
  <c r="I291" i="16"/>
  <c r="I290" i="16"/>
  <c r="I289" i="16"/>
  <c r="I288" i="16"/>
  <c r="I287" i="16"/>
  <c r="I286" i="16"/>
  <c r="I285" i="16"/>
  <c r="I284" i="16"/>
  <c r="I283" i="16"/>
  <c r="I282" i="16"/>
  <c r="I281" i="16"/>
  <c r="I280" i="16"/>
  <c r="I279" i="16"/>
  <c r="I278" i="16"/>
  <c r="I277" i="16"/>
  <c r="I276" i="16"/>
  <c r="I275" i="16"/>
  <c r="I274" i="16"/>
  <c r="I273" i="16"/>
  <c r="I272" i="16"/>
  <c r="I271" i="16"/>
  <c r="I270" i="16"/>
  <c r="I269" i="16"/>
  <c r="I268" i="16"/>
  <c r="I267" i="16"/>
  <c r="I266" i="16"/>
  <c r="I265" i="16"/>
  <c r="I264" i="16"/>
  <c r="I263" i="16"/>
  <c r="I262" i="16"/>
  <c r="I261" i="16"/>
  <c r="I260" i="16"/>
  <c r="I259" i="16"/>
  <c r="I258" i="16"/>
  <c r="I257" i="16"/>
  <c r="I256" i="16"/>
  <c r="I255" i="16"/>
  <c r="I254" i="16"/>
  <c r="I253" i="16"/>
  <c r="I252" i="16"/>
  <c r="I251" i="16"/>
  <c r="I250" i="16"/>
  <c r="I249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6" i="16"/>
  <c r="I235" i="16"/>
  <c r="I234" i="16"/>
  <c r="I233" i="16"/>
  <c r="I232" i="16"/>
  <c r="I231" i="16"/>
  <c r="I230" i="16"/>
  <c r="I229" i="16"/>
  <c r="I228" i="16"/>
  <c r="I227" i="16"/>
  <c r="I226" i="16"/>
  <c r="I225" i="16"/>
  <c r="I224" i="16"/>
  <c r="I223" i="16"/>
  <c r="I222" i="16"/>
  <c r="I221" i="16"/>
  <c r="I220" i="16"/>
  <c r="I219" i="16"/>
  <c r="I218" i="16"/>
  <c r="I217" i="16"/>
  <c r="I216" i="16"/>
  <c r="I215" i="16"/>
  <c r="I214" i="16"/>
  <c r="I213" i="16"/>
  <c r="I212" i="16"/>
  <c r="I211" i="16"/>
  <c r="I210" i="16"/>
  <c r="I209" i="16"/>
  <c r="I208" i="16"/>
  <c r="I207" i="16"/>
  <c r="I206" i="16"/>
  <c r="I205" i="16"/>
  <c r="I204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I2" i="16"/>
  <c r="I1" i="16"/>
  <c r="A135" i="15"/>
  <c r="A134" i="15"/>
  <c r="A133" i="15"/>
  <c r="A132" i="15"/>
  <c r="A131" i="15"/>
  <c r="A130" i="15"/>
  <c r="A129" i="15"/>
  <c r="A128" i="15"/>
  <c r="A127" i="15"/>
  <c r="A126" i="15"/>
  <c r="A125" i="15"/>
  <c r="A124" i="15"/>
  <c r="A123" i="15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8" i="14"/>
  <c r="A117" i="14"/>
  <c r="A116" i="14"/>
  <c r="A115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9" i="14"/>
  <c r="A98" i="14"/>
  <c r="A97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135" i="13"/>
  <c r="A134" i="13"/>
  <c r="A133" i="13"/>
  <c r="A132" i="13"/>
  <c r="A131" i="13"/>
  <c r="A130" i="13"/>
  <c r="A129" i="13"/>
  <c r="A128" i="13"/>
  <c r="A127" i="13"/>
  <c r="A126" i="13"/>
  <c r="A125" i="13"/>
  <c r="A124" i="13"/>
  <c r="A123" i="13"/>
  <c r="A122" i="13"/>
  <c r="A121" i="13"/>
  <c r="A120" i="13"/>
  <c r="A119" i="13"/>
  <c r="A118" i="13"/>
  <c r="A117" i="13"/>
  <c r="A116" i="13"/>
  <c r="A115" i="13"/>
  <c r="A114" i="13"/>
  <c r="A113" i="13"/>
  <c r="A112" i="13"/>
  <c r="A111" i="13"/>
  <c r="A110" i="13"/>
  <c r="A109" i="13"/>
  <c r="A108" i="13"/>
  <c r="A107" i="13"/>
  <c r="A106" i="13"/>
  <c r="A105" i="13"/>
  <c r="A104" i="13"/>
  <c r="A103" i="13"/>
  <c r="A102" i="13"/>
  <c r="A101" i="13"/>
  <c r="A100" i="13"/>
  <c r="A99" i="13"/>
  <c r="A98" i="13"/>
  <c r="A97" i="13"/>
  <c r="A96" i="13"/>
  <c r="A95" i="13"/>
  <c r="A94" i="13"/>
  <c r="A93" i="13"/>
  <c r="A92" i="13"/>
  <c r="A91" i="13"/>
  <c r="A90" i="13"/>
  <c r="A89" i="13"/>
  <c r="A88" i="13"/>
  <c r="A87" i="13"/>
  <c r="A86" i="13"/>
  <c r="A85" i="13"/>
  <c r="A84" i="13"/>
  <c r="A83" i="13"/>
  <c r="A82" i="13"/>
  <c r="A81" i="13"/>
  <c r="A80" i="13"/>
  <c r="A79" i="13"/>
  <c r="A78" i="13"/>
  <c r="A77" i="13"/>
  <c r="A76" i="13"/>
  <c r="A75" i="13"/>
  <c r="A74" i="13"/>
  <c r="A73" i="13"/>
  <c r="A72" i="13"/>
  <c r="A71" i="13"/>
  <c r="A70" i="13"/>
  <c r="A69" i="13"/>
  <c r="A68" i="13"/>
  <c r="A67" i="13"/>
  <c r="A66" i="13"/>
  <c r="A65" i="13"/>
  <c r="A64" i="13"/>
  <c r="A63" i="13"/>
  <c r="A62" i="13"/>
  <c r="A61" i="13"/>
  <c r="A60" i="13"/>
  <c r="A59" i="13"/>
  <c r="A58" i="13"/>
  <c r="A57" i="13"/>
  <c r="A56" i="13"/>
  <c r="A55" i="13"/>
  <c r="A54" i="13"/>
  <c r="A53" i="13"/>
  <c r="A52" i="13"/>
  <c r="A51" i="13"/>
  <c r="A50" i="13"/>
  <c r="A49" i="13"/>
  <c r="A48" i="13"/>
  <c r="A47" i="13"/>
  <c r="A46" i="13"/>
  <c r="A45" i="13"/>
  <c r="A44" i="13"/>
  <c r="A43" i="13"/>
  <c r="A42" i="13"/>
  <c r="A41" i="13"/>
  <c r="A40" i="13"/>
  <c r="A39" i="13"/>
  <c r="A38" i="13"/>
  <c r="A37" i="13"/>
  <c r="A36" i="13"/>
  <c r="A35" i="13"/>
  <c r="A34" i="13"/>
  <c r="A33" i="13"/>
  <c r="A32" i="13"/>
  <c r="A31" i="13"/>
  <c r="A30" i="13"/>
  <c r="A29" i="13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135" i="11"/>
  <c r="A134" i="11"/>
  <c r="A133" i="11"/>
  <c r="A132" i="11"/>
  <c r="A131" i="11"/>
  <c r="A130" i="11"/>
  <c r="A129" i="11"/>
  <c r="A128" i="11"/>
  <c r="A127" i="11"/>
  <c r="A126" i="11"/>
  <c r="A125" i="11"/>
  <c r="A124" i="11"/>
  <c r="A123" i="11"/>
  <c r="A122" i="11"/>
  <c r="A121" i="11"/>
  <c r="A120" i="11"/>
  <c r="A119" i="11"/>
  <c r="A118" i="11"/>
  <c r="A117" i="11"/>
  <c r="A116" i="11"/>
  <c r="A115" i="11"/>
  <c r="A114" i="11"/>
  <c r="A113" i="11"/>
  <c r="A112" i="11"/>
  <c r="A111" i="11"/>
  <c r="A110" i="11"/>
  <c r="A109" i="11"/>
  <c r="A108" i="11"/>
  <c r="A107" i="11"/>
  <c r="A106" i="11"/>
  <c r="A105" i="11"/>
  <c r="A104" i="11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A982" i="3"/>
  <c r="J981" i="3"/>
  <c r="A981" i="3"/>
  <c r="J980" i="3"/>
  <c r="A980" i="3"/>
  <c r="J979" i="3"/>
  <c r="A979" i="3"/>
  <c r="J978" i="3"/>
  <c r="A978" i="3"/>
  <c r="J977" i="3"/>
  <c r="A977" i="3"/>
  <c r="J976" i="3"/>
  <c r="A976" i="3"/>
  <c r="J975" i="3"/>
  <c r="A975" i="3"/>
  <c r="J974" i="3"/>
  <c r="A974" i="3"/>
  <c r="J973" i="3"/>
  <c r="A973" i="3"/>
  <c r="J972" i="3"/>
  <c r="A972" i="3"/>
  <c r="J971" i="3"/>
  <c r="A971" i="3"/>
  <c r="J970" i="3"/>
  <c r="A970" i="3"/>
  <c r="J969" i="3"/>
  <c r="A969" i="3"/>
  <c r="J968" i="3"/>
  <c r="A968" i="3"/>
  <c r="J967" i="3"/>
  <c r="A967" i="3"/>
  <c r="J966" i="3"/>
  <c r="A966" i="3"/>
  <c r="J965" i="3"/>
  <c r="A965" i="3"/>
  <c r="J964" i="3"/>
  <c r="A964" i="3"/>
  <c r="J963" i="3"/>
  <c r="A963" i="3"/>
  <c r="J962" i="3"/>
  <c r="A962" i="3"/>
  <c r="J961" i="3"/>
  <c r="A961" i="3"/>
  <c r="J960" i="3"/>
  <c r="A960" i="3"/>
  <c r="J959" i="3"/>
  <c r="A959" i="3"/>
  <c r="J958" i="3"/>
  <c r="A958" i="3"/>
  <c r="J957" i="3"/>
  <c r="A957" i="3"/>
  <c r="J956" i="3"/>
  <c r="A956" i="3"/>
  <c r="J955" i="3"/>
  <c r="A955" i="3"/>
  <c r="J954" i="3"/>
  <c r="A954" i="3"/>
  <c r="J953" i="3"/>
  <c r="A953" i="3"/>
  <c r="J952" i="3"/>
  <c r="A952" i="3"/>
  <c r="J951" i="3"/>
  <c r="A951" i="3"/>
  <c r="J950" i="3"/>
  <c r="A950" i="3"/>
  <c r="J949" i="3"/>
  <c r="A949" i="3"/>
  <c r="J948" i="3"/>
  <c r="A948" i="3"/>
  <c r="J947" i="3"/>
  <c r="A947" i="3"/>
  <c r="J946" i="3"/>
  <c r="A946" i="3"/>
  <c r="J945" i="3"/>
  <c r="A945" i="3"/>
  <c r="J944" i="3"/>
  <c r="A944" i="3"/>
  <c r="J943" i="3"/>
  <c r="A943" i="3"/>
  <c r="J942" i="3"/>
  <c r="A942" i="3"/>
  <c r="J941" i="3"/>
  <c r="A941" i="3"/>
  <c r="J940" i="3"/>
  <c r="A940" i="3"/>
  <c r="J939" i="3"/>
  <c r="A939" i="3"/>
  <c r="J938" i="3"/>
  <c r="A938" i="3"/>
  <c r="J937" i="3"/>
  <c r="A937" i="3"/>
  <c r="J936" i="3"/>
  <c r="A936" i="3"/>
  <c r="J935" i="3"/>
  <c r="A935" i="3"/>
  <c r="J934" i="3"/>
  <c r="A934" i="3"/>
  <c r="J933" i="3"/>
  <c r="A933" i="3"/>
  <c r="J932" i="3"/>
  <c r="A932" i="3"/>
  <c r="J931" i="3"/>
  <c r="A931" i="3"/>
  <c r="J930" i="3"/>
  <c r="A930" i="3"/>
  <c r="J929" i="3"/>
  <c r="A929" i="3"/>
  <c r="J928" i="3"/>
  <c r="A928" i="3"/>
  <c r="J927" i="3"/>
  <c r="A927" i="3"/>
  <c r="J926" i="3"/>
  <c r="A926" i="3"/>
  <c r="J925" i="3"/>
  <c r="A925" i="3"/>
  <c r="J924" i="3"/>
  <c r="A924" i="3"/>
  <c r="J923" i="3"/>
  <c r="A923" i="3"/>
  <c r="J922" i="3"/>
  <c r="A922" i="3"/>
  <c r="J921" i="3"/>
  <c r="A921" i="3"/>
  <c r="J920" i="3"/>
  <c r="A920" i="3"/>
  <c r="J919" i="3"/>
  <c r="A919" i="3"/>
  <c r="J918" i="3"/>
  <c r="A918" i="3"/>
  <c r="J917" i="3"/>
  <c r="A917" i="3"/>
  <c r="J916" i="3"/>
  <c r="A916" i="3"/>
  <c r="J915" i="3"/>
  <c r="A915" i="3"/>
  <c r="J914" i="3"/>
  <c r="A914" i="3"/>
  <c r="J913" i="3"/>
  <c r="A913" i="3"/>
  <c r="J912" i="3"/>
  <c r="A912" i="3"/>
  <c r="J911" i="3"/>
  <c r="A911" i="3"/>
  <c r="J910" i="3"/>
  <c r="A910" i="3"/>
  <c r="J909" i="3"/>
  <c r="A909" i="3"/>
  <c r="J908" i="3"/>
  <c r="A908" i="3"/>
  <c r="J907" i="3"/>
  <c r="A907" i="3"/>
  <c r="J906" i="3"/>
  <c r="A906" i="3"/>
  <c r="J905" i="3"/>
  <c r="A905" i="3"/>
  <c r="J904" i="3"/>
  <c r="A904" i="3"/>
  <c r="J903" i="3"/>
  <c r="A903" i="3"/>
  <c r="J902" i="3"/>
  <c r="A902" i="3"/>
  <c r="J901" i="3"/>
  <c r="A901" i="3"/>
  <c r="J900" i="3"/>
  <c r="A900" i="3"/>
  <c r="J899" i="3"/>
  <c r="A899" i="3"/>
  <c r="J898" i="3"/>
  <c r="A898" i="3"/>
  <c r="J897" i="3"/>
  <c r="A897" i="3"/>
  <c r="J896" i="3"/>
  <c r="A896" i="3"/>
  <c r="J895" i="3"/>
  <c r="A895" i="3"/>
  <c r="J894" i="3"/>
  <c r="A894" i="3"/>
  <c r="J893" i="3"/>
  <c r="A893" i="3"/>
  <c r="J892" i="3"/>
  <c r="A892" i="3"/>
  <c r="J891" i="3"/>
  <c r="A891" i="3"/>
  <c r="J890" i="3"/>
  <c r="A890" i="3"/>
  <c r="J889" i="3"/>
  <c r="A889" i="3"/>
  <c r="J888" i="3"/>
  <c r="A888" i="3"/>
  <c r="J887" i="3"/>
  <c r="A887" i="3"/>
  <c r="J886" i="3"/>
  <c r="A886" i="3"/>
  <c r="J885" i="3"/>
  <c r="A885" i="3"/>
  <c r="J884" i="3"/>
  <c r="A884" i="3"/>
  <c r="J883" i="3"/>
  <c r="A883" i="3"/>
  <c r="J882" i="3"/>
  <c r="A882" i="3"/>
  <c r="J881" i="3"/>
  <c r="A881" i="3"/>
  <c r="J880" i="3"/>
  <c r="A880" i="3"/>
  <c r="J879" i="3"/>
  <c r="A879" i="3"/>
  <c r="J878" i="3"/>
  <c r="A878" i="3"/>
  <c r="J877" i="3"/>
  <c r="A877" i="3"/>
  <c r="J876" i="3"/>
  <c r="A876" i="3"/>
  <c r="J875" i="3"/>
  <c r="A875" i="3"/>
  <c r="J874" i="3"/>
  <c r="A874" i="3"/>
  <c r="J873" i="3"/>
  <c r="A873" i="3"/>
  <c r="J872" i="3"/>
  <c r="A872" i="3"/>
  <c r="J871" i="3"/>
  <c r="A871" i="3"/>
  <c r="J870" i="3"/>
  <c r="A870" i="3"/>
  <c r="J869" i="3"/>
  <c r="A869" i="3"/>
  <c r="J868" i="3"/>
  <c r="A868" i="3"/>
  <c r="J867" i="3"/>
  <c r="A867" i="3"/>
  <c r="J866" i="3"/>
  <c r="A866" i="3"/>
  <c r="J865" i="3"/>
  <c r="A865" i="3"/>
  <c r="J864" i="3"/>
  <c r="A864" i="3"/>
  <c r="J863" i="3"/>
  <c r="A863" i="3"/>
  <c r="J862" i="3"/>
  <c r="A862" i="3"/>
  <c r="J861" i="3"/>
  <c r="A861" i="3"/>
  <c r="J860" i="3"/>
  <c r="A860" i="3"/>
  <c r="J859" i="3"/>
  <c r="A859" i="3"/>
  <c r="J858" i="3"/>
  <c r="A858" i="3"/>
  <c r="J857" i="3"/>
  <c r="A857" i="3"/>
  <c r="J856" i="3"/>
  <c r="A856" i="3"/>
  <c r="J855" i="3"/>
  <c r="A855" i="3"/>
  <c r="J854" i="3"/>
  <c r="A854" i="3"/>
  <c r="J853" i="3"/>
  <c r="A853" i="3"/>
  <c r="J852" i="3"/>
  <c r="A852" i="3"/>
  <c r="J851" i="3"/>
  <c r="A851" i="3"/>
  <c r="J850" i="3"/>
  <c r="A850" i="3"/>
  <c r="J849" i="3"/>
  <c r="A849" i="3"/>
  <c r="J848" i="3"/>
  <c r="A848" i="3"/>
  <c r="J847" i="3"/>
  <c r="A847" i="3"/>
  <c r="J846" i="3"/>
  <c r="A846" i="3"/>
  <c r="J845" i="3"/>
  <c r="A845" i="3"/>
  <c r="J844" i="3"/>
  <c r="A844" i="3"/>
  <c r="J843" i="3"/>
  <c r="A843" i="3"/>
  <c r="J842" i="3"/>
  <c r="A842" i="3"/>
  <c r="J841" i="3"/>
  <c r="A841" i="3"/>
  <c r="J840" i="3"/>
  <c r="A840" i="3"/>
  <c r="J839" i="3"/>
  <c r="A839" i="3"/>
  <c r="J838" i="3"/>
  <c r="A838" i="3"/>
  <c r="J837" i="3"/>
  <c r="A837" i="3"/>
  <c r="J836" i="3"/>
  <c r="A836" i="3"/>
  <c r="J835" i="3"/>
  <c r="A835" i="3"/>
  <c r="J834" i="3"/>
  <c r="A834" i="3"/>
  <c r="J833" i="3"/>
  <c r="A833" i="3"/>
  <c r="J832" i="3"/>
  <c r="A832" i="3"/>
  <c r="J831" i="3"/>
  <c r="A831" i="3"/>
  <c r="J830" i="3"/>
  <c r="A830" i="3"/>
  <c r="J829" i="3"/>
  <c r="A829" i="3"/>
  <c r="J828" i="3"/>
  <c r="A828" i="3"/>
  <c r="J827" i="3"/>
  <c r="A827" i="3"/>
  <c r="J826" i="3"/>
  <c r="A826" i="3"/>
  <c r="J825" i="3"/>
  <c r="A825" i="3"/>
  <c r="J824" i="3"/>
  <c r="A824" i="3"/>
  <c r="J823" i="3"/>
  <c r="A823" i="3"/>
  <c r="J822" i="3"/>
  <c r="A822" i="3"/>
  <c r="J821" i="3"/>
  <c r="A821" i="3"/>
  <c r="J820" i="3"/>
  <c r="A820" i="3"/>
  <c r="J819" i="3"/>
  <c r="A819" i="3"/>
  <c r="J818" i="3"/>
  <c r="A818" i="3"/>
  <c r="J817" i="3"/>
  <c r="A817" i="3"/>
  <c r="J816" i="3"/>
  <c r="A816" i="3"/>
  <c r="J815" i="3"/>
  <c r="A815" i="3"/>
  <c r="J814" i="3"/>
  <c r="A814" i="3"/>
  <c r="J813" i="3"/>
  <c r="A813" i="3"/>
  <c r="J812" i="3"/>
  <c r="A812" i="3"/>
  <c r="J811" i="3"/>
  <c r="A811" i="3"/>
  <c r="J810" i="3"/>
  <c r="A810" i="3"/>
  <c r="J809" i="3"/>
  <c r="A809" i="3"/>
  <c r="J808" i="3"/>
  <c r="A808" i="3"/>
  <c r="J807" i="3"/>
  <c r="A807" i="3"/>
  <c r="J806" i="3"/>
  <c r="A806" i="3"/>
  <c r="J805" i="3"/>
  <c r="A805" i="3"/>
  <c r="J804" i="3"/>
  <c r="A804" i="3"/>
  <c r="J803" i="3"/>
  <c r="A803" i="3"/>
  <c r="J802" i="3"/>
  <c r="A802" i="3"/>
  <c r="J801" i="3"/>
  <c r="A801" i="3"/>
  <c r="J800" i="3"/>
  <c r="A800" i="3"/>
  <c r="J799" i="3"/>
  <c r="A799" i="3"/>
  <c r="J798" i="3"/>
  <c r="A798" i="3"/>
  <c r="J797" i="3"/>
  <c r="A797" i="3"/>
  <c r="J796" i="3"/>
  <c r="A796" i="3"/>
  <c r="J795" i="3"/>
  <c r="A795" i="3"/>
  <c r="J794" i="3"/>
  <c r="A794" i="3"/>
  <c r="J793" i="3"/>
  <c r="A793" i="3"/>
  <c r="J792" i="3"/>
  <c r="A792" i="3"/>
  <c r="J791" i="3"/>
  <c r="A791" i="3"/>
  <c r="J790" i="3"/>
  <c r="A790" i="3"/>
  <c r="J789" i="3"/>
  <c r="A789" i="3"/>
  <c r="J788" i="3"/>
  <c r="A788" i="3"/>
  <c r="J787" i="3"/>
  <c r="A787" i="3"/>
  <c r="J786" i="3"/>
  <c r="A786" i="3"/>
  <c r="J785" i="3"/>
  <c r="A785" i="3"/>
  <c r="J784" i="3"/>
  <c r="A784" i="3"/>
  <c r="J783" i="3"/>
  <c r="A783" i="3"/>
  <c r="J782" i="3"/>
  <c r="A782" i="3"/>
  <c r="J781" i="3"/>
  <c r="A781" i="3"/>
  <c r="J780" i="3"/>
  <c r="A780" i="3"/>
  <c r="J779" i="3"/>
  <c r="A779" i="3"/>
  <c r="J778" i="3"/>
  <c r="A778" i="3"/>
  <c r="J777" i="3"/>
  <c r="A777" i="3"/>
  <c r="J776" i="3"/>
  <c r="A776" i="3"/>
  <c r="J775" i="3"/>
  <c r="A775" i="3"/>
  <c r="J774" i="3"/>
  <c r="A774" i="3"/>
  <c r="J773" i="3"/>
  <c r="A773" i="3"/>
  <c r="J772" i="3"/>
  <c r="A772" i="3"/>
  <c r="J771" i="3"/>
  <c r="A771" i="3"/>
  <c r="J770" i="3"/>
  <c r="A770" i="3"/>
  <c r="J769" i="3"/>
  <c r="A769" i="3"/>
  <c r="J768" i="3"/>
  <c r="A768" i="3"/>
  <c r="J767" i="3"/>
  <c r="A767" i="3"/>
  <c r="J766" i="3"/>
  <c r="A766" i="3"/>
  <c r="J765" i="3"/>
  <c r="A765" i="3"/>
  <c r="J764" i="3"/>
  <c r="A764" i="3"/>
  <c r="J763" i="3"/>
  <c r="A763" i="3"/>
  <c r="J762" i="3"/>
  <c r="A762" i="3"/>
  <c r="J761" i="3"/>
  <c r="A761" i="3"/>
  <c r="J760" i="3"/>
  <c r="A760" i="3"/>
  <c r="J759" i="3"/>
  <c r="A759" i="3"/>
  <c r="J758" i="3"/>
  <c r="A758" i="3"/>
  <c r="J757" i="3"/>
  <c r="A757" i="3"/>
  <c r="J756" i="3"/>
  <c r="A756" i="3"/>
  <c r="J755" i="3"/>
  <c r="A755" i="3"/>
  <c r="J754" i="3"/>
  <c r="A754" i="3"/>
  <c r="J753" i="3"/>
  <c r="A753" i="3"/>
  <c r="J752" i="3"/>
  <c r="A752" i="3"/>
  <c r="J751" i="3"/>
  <c r="A751" i="3"/>
  <c r="J750" i="3"/>
  <c r="A750" i="3"/>
  <c r="J749" i="3"/>
  <c r="A749" i="3"/>
  <c r="J748" i="3"/>
  <c r="A748" i="3"/>
  <c r="J747" i="3"/>
  <c r="A747" i="3"/>
  <c r="J746" i="3"/>
  <c r="A746" i="3"/>
  <c r="J745" i="3"/>
  <c r="A745" i="3"/>
  <c r="J744" i="3"/>
  <c r="A744" i="3"/>
  <c r="J743" i="3"/>
  <c r="A743" i="3"/>
  <c r="J742" i="3"/>
  <c r="A742" i="3"/>
  <c r="J741" i="3"/>
  <c r="A741" i="3"/>
  <c r="J740" i="3"/>
  <c r="A740" i="3"/>
  <c r="J739" i="3"/>
  <c r="A739" i="3"/>
  <c r="J738" i="3"/>
  <c r="A738" i="3"/>
  <c r="J737" i="3"/>
  <c r="A737" i="3"/>
  <c r="J736" i="3"/>
  <c r="A736" i="3"/>
  <c r="J735" i="3"/>
  <c r="A735" i="3"/>
  <c r="J734" i="3"/>
  <c r="A734" i="3"/>
  <c r="J733" i="3"/>
  <c r="A733" i="3"/>
  <c r="J732" i="3"/>
  <c r="A732" i="3"/>
  <c r="J731" i="3"/>
  <c r="A731" i="3"/>
  <c r="J730" i="3"/>
  <c r="A730" i="3"/>
  <c r="J729" i="3"/>
  <c r="A729" i="3"/>
  <c r="J728" i="3"/>
  <c r="A728" i="3"/>
  <c r="J727" i="3"/>
  <c r="A727" i="3"/>
  <c r="J726" i="3"/>
  <c r="A726" i="3"/>
  <c r="J725" i="3"/>
  <c r="A725" i="3"/>
  <c r="J724" i="3"/>
  <c r="A724" i="3"/>
  <c r="J723" i="3"/>
  <c r="A723" i="3"/>
  <c r="J722" i="3"/>
  <c r="A722" i="3"/>
  <c r="J721" i="3"/>
  <c r="A721" i="3"/>
  <c r="J720" i="3"/>
  <c r="A720" i="3"/>
  <c r="J719" i="3"/>
  <c r="A719" i="3"/>
  <c r="J718" i="3"/>
  <c r="A718" i="3"/>
  <c r="J717" i="3"/>
  <c r="A717" i="3"/>
  <c r="J716" i="3"/>
  <c r="A716" i="3"/>
  <c r="J715" i="3"/>
  <c r="A715" i="3"/>
  <c r="J714" i="3"/>
  <c r="A714" i="3"/>
  <c r="J713" i="3"/>
  <c r="A713" i="3"/>
  <c r="J712" i="3"/>
  <c r="A712" i="3"/>
  <c r="J711" i="3"/>
  <c r="A711" i="3"/>
  <c r="J710" i="3"/>
  <c r="A710" i="3"/>
  <c r="J709" i="3"/>
  <c r="A709" i="3"/>
  <c r="J708" i="3"/>
  <c r="A708" i="3"/>
  <c r="J707" i="3"/>
  <c r="A707" i="3"/>
  <c r="J706" i="3"/>
  <c r="A706" i="3"/>
  <c r="J705" i="3"/>
  <c r="A705" i="3"/>
  <c r="J704" i="3"/>
  <c r="A704" i="3"/>
  <c r="J703" i="3"/>
  <c r="A703" i="3"/>
  <c r="J702" i="3"/>
  <c r="A702" i="3"/>
  <c r="J701" i="3"/>
  <c r="A701" i="3"/>
  <c r="J700" i="3"/>
  <c r="A700" i="3"/>
  <c r="J699" i="3"/>
  <c r="A699" i="3"/>
  <c r="J698" i="3"/>
  <c r="A698" i="3"/>
  <c r="J697" i="3"/>
  <c r="A697" i="3"/>
  <c r="J696" i="3"/>
  <c r="A696" i="3"/>
  <c r="J695" i="3"/>
  <c r="A695" i="3"/>
  <c r="J694" i="3"/>
  <c r="A694" i="3"/>
  <c r="J693" i="3"/>
  <c r="A693" i="3"/>
  <c r="J692" i="3"/>
  <c r="A692" i="3"/>
  <c r="J691" i="3"/>
  <c r="A691" i="3"/>
  <c r="J690" i="3"/>
  <c r="A690" i="3"/>
  <c r="J689" i="3"/>
  <c r="A689" i="3"/>
  <c r="J688" i="3"/>
  <c r="A688" i="3"/>
  <c r="J687" i="3"/>
  <c r="A687" i="3"/>
  <c r="J686" i="3"/>
  <c r="A686" i="3"/>
  <c r="J685" i="3"/>
  <c r="A685" i="3"/>
  <c r="J684" i="3"/>
  <c r="A684" i="3"/>
  <c r="J683" i="3"/>
  <c r="A683" i="3"/>
  <c r="J682" i="3"/>
  <c r="A682" i="3"/>
  <c r="J681" i="3"/>
  <c r="A681" i="3"/>
  <c r="J680" i="3"/>
  <c r="A680" i="3"/>
  <c r="J679" i="3"/>
  <c r="A679" i="3"/>
  <c r="J678" i="3"/>
  <c r="A678" i="3"/>
  <c r="J677" i="3"/>
  <c r="A677" i="3"/>
  <c r="J676" i="3"/>
  <c r="A676" i="3"/>
  <c r="J675" i="3"/>
  <c r="A675" i="3"/>
  <c r="J674" i="3"/>
  <c r="A674" i="3"/>
  <c r="J673" i="3"/>
  <c r="A673" i="3"/>
  <c r="J672" i="3"/>
  <c r="A672" i="3"/>
  <c r="J671" i="3"/>
  <c r="A671" i="3"/>
  <c r="J670" i="3"/>
  <c r="A670" i="3"/>
  <c r="J669" i="3"/>
  <c r="A669" i="3"/>
  <c r="J668" i="3"/>
  <c r="A668" i="3"/>
  <c r="J667" i="3"/>
  <c r="A667" i="3"/>
  <c r="J666" i="3"/>
  <c r="A666" i="3"/>
  <c r="J665" i="3"/>
  <c r="A665" i="3"/>
  <c r="J664" i="3"/>
  <c r="A664" i="3"/>
  <c r="J663" i="3"/>
  <c r="A663" i="3"/>
  <c r="J662" i="3"/>
  <c r="A662" i="3"/>
  <c r="J661" i="3"/>
  <c r="A661" i="3"/>
  <c r="J660" i="3"/>
  <c r="A660" i="3"/>
  <c r="J659" i="3"/>
  <c r="A659" i="3"/>
  <c r="J658" i="3"/>
  <c r="A658" i="3"/>
  <c r="J657" i="3"/>
  <c r="A657" i="3"/>
  <c r="J656" i="3"/>
  <c r="A656" i="3"/>
  <c r="J655" i="3"/>
  <c r="A655" i="3"/>
  <c r="J654" i="3"/>
  <c r="A654" i="3"/>
  <c r="J653" i="3"/>
  <c r="A653" i="3"/>
  <c r="J652" i="3"/>
  <c r="A652" i="3"/>
  <c r="J651" i="3"/>
  <c r="A651" i="3"/>
  <c r="J650" i="3"/>
  <c r="A650" i="3"/>
  <c r="J649" i="3"/>
  <c r="A649" i="3"/>
  <c r="J648" i="3"/>
  <c r="A648" i="3"/>
  <c r="J647" i="3"/>
  <c r="A647" i="3"/>
  <c r="J646" i="3"/>
  <c r="A646" i="3"/>
  <c r="J645" i="3"/>
  <c r="A645" i="3"/>
  <c r="J644" i="3"/>
  <c r="A644" i="3"/>
  <c r="J643" i="3"/>
  <c r="A643" i="3"/>
  <c r="J642" i="3"/>
  <c r="A642" i="3"/>
  <c r="J641" i="3"/>
  <c r="A641" i="3"/>
  <c r="J640" i="3"/>
  <c r="A640" i="3"/>
  <c r="J639" i="3"/>
  <c r="A639" i="3"/>
  <c r="J638" i="3"/>
  <c r="A638" i="3"/>
  <c r="J637" i="3"/>
  <c r="A637" i="3"/>
  <c r="J636" i="3"/>
  <c r="A636" i="3"/>
  <c r="J635" i="3"/>
  <c r="A635" i="3"/>
  <c r="J634" i="3"/>
  <c r="A634" i="3"/>
  <c r="J633" i="3"/>
  <c r="A633" i="3"/>
  <c r="J632" i="3"/>
  <c r="A632" i="3"/>
  <c r="J631" i="3"/>
  <c r="A631" i="3"/>
  <c r="J630" i="3"/>
  <c r="A630" i="3"/>
  <c r="J629" i="3"/>
  <c r="A629" i="3"/>
  <c r="J628" i="3"/>
  <c r="A628" i="3"/>
  <c r="J627" i="3"/>
  <c r="A627" i="3"/>
  <c r="J626" i="3"/>
  <c r="A626" i="3"/>
  <c r="J625" i="3"/>
  <c r="A625" i="3"/>
  <c r="J624" i="3"/>
  <c r="A624" i="3"/>
  <c r="J623" i="3"/>
  <c r="A623" i="3"/>
  <c r="J622" i="3"/>
  <c r="A622" i="3"/>
  <c r="J621" i="3"/>
  <c r="A621" i="3"/>
  <c r="J620" i="3"/>
  <c r="A620" i="3"/>
  <c r="J619" i="3"/>
  <c r="A619" i="3"/>
  <c r="J618" i="3"/>
  <c r="A618" i="3"/>
  <c r="J617" i="3"/>
  <c r="A617" i="3"/>
  <c r="J616" i="3"/>
  <c r="A616" i="3"/>
  <c r="J615" i="3"/>
  <c r="A615" i="3"/>
  <c r="J614" i="3"/>
  <c r="A614" i="3"/>
  <c r="J613" i="3"/>
  <c r="A613" i="3"/>
  <c r="J612" i="3"/>
  <c r="A612" i="3"/>
  <c r="J611" i="3"/>
  <c r="A611" i="3"/>
  <c r="J610" i="3"/>
  <c r="A610" i="3"/>
  <c r="J609" i="3"/>
  <c r="A609" i="3"/>
  <c r="J608" i="3"/>
  <c r="A608" i="3"/>
  <c r="J607" i="3"/>
  <c r="A607" i="3"/>
  <c r="J606" i="3"/>
  <c r="A606" i="3"/>
  <c r="J605" i="3"/>
  <c r="A605" i="3"/>
  <c r="J604" i="3"/>
  <c r="A604" i="3"/>
  <c r="J603" i="3"/>
  <c r="A603" i="3"/>
  <c r="J602" i="3"/>
  <c r="A602" i="3"/>
  <c r="J601" i="3"/>
  <c r="A601" i="3"/>
  <c r="J600" i="3"/>
  <c r="A600" i="3"/>
  <c r="J599" i="3"/>
  <c r="A599" i="3"/>
  <c r="J598" i="3"/>
  <c r="A598" i="3"/>
  <c r="J597" i="3"/>
  <c r="A597" i="3"/>
  <c r="J596" i="3"/>
  <c r="A596" i="3"/>
  <c r="J595" i="3"/>
  <c r="A595" i="3"/>
  <c r="J594" i="3"/>
  <c r="A594" i="3"/>
  <c r="J593" i="3"/>
  <c r="A593" i="3"/>
  <c r="J592" i="3"/>
  <c r="A592" i="3"/>
  <c r="J591" i="3"/>
  <c r="A591" i="3"/>
  <c r="J590" i="3"/>
  <c r="A590" i="3"/>
  <c r="J589" i="3"/>
  <c r="A589" i="3"/>
  <c r="J588" i="3"/>
  <c r="A588" i="3"/>
  <c r="J587" i="3"/>
  <c r="A587" i="3"/>
  <c r="J586" i="3"/>
  <c r="A586" i="3"/>
  <c r="J585" i="3"/>
  <c r="A585" i="3"/>
  <c r="J584" i="3"/>
  <c r="A584" i="3"/>
  <c r="J583" i="3"/>
  <c r="A583" i="3"/>
  <c r="J582" i="3"/>
  <c r="A582" i="3"/>
  <c r="J581" i="3"/>
  <c r="A581" i="3"/>
  <c r="J580" i="3"/>
  <c r="A580" i="3"/>
  <c r="J579" i="3"/>
  <c r="A579" i="3"/>
  <c r="J578" i="3"/>
  <c r="A578" i="3"/>
  <c r="J577" i="3"/>
  <c r="A577" i="3"/>
  <c r="J576" i="3"/>
  <c r="A576" i="3"/>
  <c r="J575" i="3"/>
  <c r="A575" i="3"/>
  <c r="J574" i="3"/>
  <c r="A574" i="3"/>
  <c r="J573" i="3"/>
  <c r="A573" i="3"/>
  <c r="J572" i="3"/>
  <c r="A572" i="3"/>
  <c r="J571" i="3"/>
  <c r="A571" i="3"/>
  <c r="J570" i="3"/>
  <c r="A570" i="3"/>
  <c r="J569" i="3"/>
  <c r="A569" i="3"/>
  <c r="J568" i="3"/>
  <c r="A568" i="3"/>
  <c r="J567" i="3"/>
  <c r="A567" i="3"/>
  <c r="J566" i="3"/>
  <c r="A566" i="3"/>
  <c r="J565" i="3"/>
  <c r="A565" i="3"/>
  <c r="J564" i="3"/>
  <c r="A564" i="3"/>
  <c r="J563" i="3"/>
  <c r="A563" i="3"/>
  <c r="J562" i="3"/>
  <c r="A562" i="3"/>
  <c r="J561" i="3"/>
  <c r="A561" i="3"/>
  <c r="J560" i="3"/>
  <c r="A560" i="3"/>
  <c r="J559" i="3"/>
  <c r="A559" i="3"/>
  <c r="J558" i="3"/>
  <c r="A558" i="3"/>
  <c r="J557" i="3"/>
  <c r="A557" i="3"/>
  <c r="J556" i="3"/>
  <c r="A556" i="3"/>
  <c r="J555" i="3"/>
  <c r="A555" i="3"/>
  <c r="J554" i="3"/>
  <c r="A554" i="3"/>
  <c r="J553" i="3"/>
  <c r="A553" i="3"/>
  <c r="J552" i="3"/>
  <c r="A552" i="3"/>
  <c r="J551" i="3"/>
  <c r="A551" i="3"/>
  <c r="J550" i="3"/>
  <c r="A550" i="3"/>
  <c r="J549" i="3"/>
  <c r="A549" i="3"/>
  <c r="J548" i="3"/>
  <c r="A548" i="3"/>
  <c r="J547" i="3"/>
  <c r="A547" i="3"/>
  <c r="J546" i="3"/>
  <c r="A546" i="3"/>
  <c r="J545" i="3"/>
  <c r="A545" i="3"/>
  <c r="J544" i="3"/>
  <c r="A544" i="3"/>
  <c r="J543" i="3"/>
  <c r="A543" i="3"/>
  <c r="J542" i="3"/>
  <c r="A542" i="3"/>
  <c r="J541" i="3"/>
  <c r="A541" i="3"/>
  <c r="J540" i="3"/>
  <c r="A540" i="3"/>
  <c r="J539" i="3"/>
  <c r="A539" i="3"/>
  <c r="J538" i="3"/>
  <c r="A538" i="3"/>
  <c r="J537" i="3"/>
  <c r="A537" i="3"/>
  <c r="J536" i="3"/>
  <c r="A536" i="3"/>
  <c r="J535" i="3"/>
  <c r="A535" i="3"/>
  <c r="J534" i="3"/>
  <c r="A534" i="3"/>
  <c r="J533" i="3"/>
  <c r="A533" i="3"/>
  <c r="J532" i="3"/>
  <c r="A532" i="3"/>
  <c r="J531" i="3"/>
  <c r="A531" i="3"/>
  <c r="J530" i="3"/>
  <c r="A530" i="3"/>
  <c r="J529" i="3"/>
  <c r="A529" i="3"/>
  <c r="J528" i="3"/>
  <c r="A528" i="3"/>
  <c r="J527" i="3"/>
  <c r="A527" i="3"/>
  <c r="J526" i="3"/>
  <c r="A526" i="3"/>
  <c r="J525" i="3"/>
  <c r="A525" i="3"/>
  <c r="J524" i="3"/>
  <c r="A524" i="3"/>
  <c r="J523" i="3"/>
  <c r="A523" i="3"/>
  <c r="J522" i="3"/>
  <c r="A522" i="3"/>
  <c r="J521" i="3"/>
  <c r="A521" i="3"/>
  <c r="J520" i="3"/>
  <c r="A520" i="3"/>
  <c r="J519" i="3"/>
  <c r="A519" i="3"/>
  <c r="J518" i="3"/>
  <c r="A518" i="3"/>
  <c r="J517" i="3"/>
  <c r="A517" i="3"/>
  <c r="J516" i="3"/>
  <c r="A516" i="3"/>
  <c r="J515" i="3"/>
  <c r="A515" i="3"/>
  <c r="J514" i="3"/>
  <c r="A514" i="3"/>
  <c r="J513" i="3"/>
  <c r="A513" i="3"/>
  <c r="J512" i="3"/>
  <c r="A512" i="3"/>
  <c r="J511" i="3"/>
  <c r="A511" i="3"/>
  <c r="J510" i="3"/>
  <c r="A510" i="3"/>
  <c r="J509" i="3"/>
  <c r="A509" i="3"/>
  <c r="J508" i="3"/>
  <c r="A508" i="3"/>
  <c r="J507" i="3"/>
  <c r="A507" i="3"/>
  <c r="J506" i="3"/>
  <c r="A506" i="3"/>
  <c r="J505" i="3"/>
  <c r="A505" i="3"/>
  <c r="J504" i="3"/>
  <c r="A504" i="3"/>
  <c r="J503" i="3"/>
  <c r="A503" i="3"/>
  <c r="J502" i="3"/>
  <c r="A502" i="3"/>
  <c r="J501" i="3"/>
  <c r="A501" i="3"/>
  <c r="J500" i="3"/>
  <c r="A500" i="3"/>
  <c r="J499" i="3"/>
  <c r="A499" i="3"/>
  <c r="J498" i="3"/>
  <c r="A498" i="3"/>
  <c r="J497" i="3"/>
  <c r="A497" i="3"/>
  <c r="J496" i="3"/>
  <c r="A496" i="3"/>
  <c r="J495" i="3"/>
  <c r="A495" i="3"/>
  <c r="J494" i="3"/>
  <c r="A494" i="3"/>
  <c r="J493" i="3"/>
  <c r="A493" i="3"/>
  <c r="J492" i="3"/>
  <c r="A492" i="3"/>
  <c r="J491" i="3"/>
  <c r="A491" i="3"/>
  <c r="J490" i="3"/>
  <c r="A490" i="3"/>
  <c r="J489" i="3"/>
  <c r="A489" i="3"/>
  <c r="J488" i="3"/>
  <c r="A488" i="3"/>
  <c r="J487" i="3"/>
  <c r="A487" i="3"/>
  <c r="J486" i="3"/>
  <c r="A486" i="3"/>
  <c r="J485" i="3"/>
  <c r="A485" i="3"/>
  <c r="J484" i="3"/>
  <c r="A484" i="3"/>
  <c r="J483" i="3"/>
  <c r="A483" i="3"/>
  <c r="J482" i="3"/>
  <c r="A482" i="3"/>
  <c r="J481" i="3"/>
  <c r="A481" i="3"/>
  <c r="J480" i="3"/>
  <c r="A480" i="3"/>
  <c r="J479" i="3"/>
  <c r="A479" i="3"/>
  <c r="J478" i="3"/>
  <c r="A478" i="3"/>
  <c r="J477" i="3"/>
  <c r="A477" i="3"/>
  <c r="J476" i="3"/>
  <c r="A476" i="3"/>
  <c r="J475" i="3"/>
  <c r="A475" i="3"/>
  <c r="J474" i="3"/>
  <c r="A474" i="3"/>
  <c r="J473" i="3"/>
  <c r="A473" i="3"/>
  <c r="J472" i="3"/>
  <c r="A472" i="3"/>
  <c r="J471" i="3"/>
  <c r="A471" i="3"/>
  <c r="J470" i="3"/>
  <c r="A470" i="3"/>
  <c r="J469" i="3"/>
  <c r="A469" i="3"/>
  <c r="J468" i="3"/>
  <c r="A468" i="3"/>
  <c r="J467" i="3"/>
  <c r="A467" i="3"/>
  <c r="J466" i="3"/>
  <c r="A466" i="3"/>
  <c r="J465" i="3"/>
  <c r="A465" i="3"/>
  <c r="J464" i="3"/>
  <c r="A464" i="3"/>
  <c r="J463" i="3"/>
  <c r="A463" i="3"/>
  <c r="J462" i="3"/>
  <c r="A462" i="3"/>
  <c r="J461" i="3"/>
  <c r="A461" i="3"/>
  <c r="J460" i="3"/>
  <c r="A460" i="3"/>
  <c r="J459" i="3"/>
  <c r="A459" i="3"/>
  <c r="J458" i="3"/>
  <c r="A458" i="3"/>
  <c r="J457" i="3"/>
  <c r="A457" i="3"/>
  <c r="J456" i="3"/>
  <c r="A456" i="3"/>
  <c r="J455" i="3"/>
  <c r="A455" i="3"/>
  <c r="J454" i="3"/>
  <c r="A454" i="3"/>
  <c r="J453" i="3"/>
  <c r="A453" i="3"/>
  <c r="J452" i="3"/>
  <c r="A452" i="3"/>
  <c r="J451" i="3"/>
  <c r="A451" i="3"/>
  <c r="J450" i="3"/>
  <c r="A450" i="3"/>
  <c r="J449" i="3"/>
  <c r="A449" i="3"/>
  <c r="J448" i="3"/>
  <c r="A448" i="3"/>
  <c r="J447" i="3"/>
  <c r="A447" i="3"/>
  <c r="J446" i="3"/>
  <c r="A446" i="3"/>
  <c r="J445" i="3"/>
  <c r="A445" i="3"/>
  <c r="J444" i="3"/>
  <c r="A444" i="3"/>
  <c r="J443" i="3"/>
  <c r="A443" i="3"/>
  <c r="J442" i="3"/>
  <c r="A442" i="3"/>
  <c r="J441" i="3"/>
  <c r="A441" i="3"/>
  <c r="J440" i="3"/>
  <c r="A440" i="3"/>
  <c r="J439" i="3"/>
  <c r="A439" i="3"/>
  <c r="J438" i="3"/>
  <c r="A438" i="3"/>
  <c r="J437" i="3"/>
  <c r="A437" i="3"/>
  <c r="J436" i="3"/>
  <c r="A436" i="3"/>
  <c r="J435" i="3"/>
  <c r="A435" i="3"/>
  <c r="J434" i="3"/>
  <c r="A434" i="3"/>
  <c r="J433" i="3"/>
  <c r="A433" i="3"/>
  <c r="J432" i="3"/>
  <c r="A432" i="3"/>
  <c r="J431" i="3"/>
  <c r="A431" i="3"/>
  <c r="J430" i="3"/>
  <c r="A430" i="3"/>
  <c r="J429" i="3"/>
  <c r="A429" i="3"/>
  <c r="J428" i="3"/>
  <c r="A428" i="3"/>
  <c r="J427" i="3"/>
  <c r="A427" i="3"/>
  <c r="J426" i="3"/>
  <c r="A426" i="3"/>
  <c r="J425" i="3"/>
  <c r="A425" i="3"/>
  <c r="J424" i="3"/>
  <c r="A424" i="3"/>
  <c r="J423" i="3"/>
  <c r="A423" i="3"/>
  <c r="J422" i="3"/>
  <c r="A422" i="3"/>
  <c r="J421" i="3"/>
  <c r="A421" i="3"/>
  <c r="J420" i="3"/>
  <c r="A420" i="3"/>
  <c r="J419" i="3"/>
  <c r="A419" i="3"/>
  <c r="J418" i="3"/>
  <c r="A418" i="3"/>
  <c r="J417" i="3"/>
  <c r="A417" i="3"/>
  <c r="J416" i="3"/>
  <c r="A416" i="3"/>
  <c r="J415" i="3"/>
  <c r="A415" i="3"/>
  <c r="J414" i="3"/>
  <c r="A414" i="3"/>
  <c r="J413" i="3"/>
  <c r="A413" i="3"/>
  <c r="J412" i="3"/>
  <c r="A412" i="3"/>
  <c r="J411" i="3"/>
  <c r="A411" i="3"/>
  <c r="J410" i="3"/>
  <c r="A410" i="3"/>
  <c r="J409" i="3"/>
  <c r="A409" i="3"/>
  <c r="J408" i="3"/>
  <c r="A408" i="3"/>
  <c r="J407" i="3"/>
  <c r="A407" i="3"/>
  <c r="J406" i="3"/>
  <c r="A406" i="3"/>
  <c r="J405" i="3"/>
  <c r="A405" i="3"/>
  <c r="J404" i="3"/>
  <c r="A404" i="3"/>
  <c r="J403" i="3"/>
  <c r="A403" i="3"/>
  <c r="J402" i="3"/>
  <c r="A402" i="3"/>
  <c r="J401" i="3"/>
  <c r="A401" i="3"/>
  <c r="J400" i="3"/>
  <c r="A400" i="3"/>
  <c r="J399" i="3"/>
  <c r="A399" i="3"/>
  <c r="J398" i="3"/>
  <c r="A398" i="3"/>
  <c r="J397" i="3"/>
  <c r="A397" i="3"/>
  <c r="J396" i="3"/>
  <c r="A396" i="3"/>
  <c r="J395" i="3"/>
  <c r="A395" i="3"/>
  <c r="J394" i="3"/>
  <c r="A394" i="3"/>
  <c r="J393" i="3"/>
  <c r="A393" i="3"/>
  <c r="J392" i="3"/>
  <c r="A392" i="3"/>
  <c r="J391" i="3"/>
  <c r="A391" i="3"/>
  <c r="J390" i="3"/>
  <c r="A390" i="3"/>
  <c r="J389" i="3"/>
  <c r="A389" i="3"/>
  <c r="J388" i="3"/>
  <c r="A388" i="3"/>
  <c r="J387" i="3"/>
  <c r="A387" i="3"/>
  <c r="J386" i="3"/>
  <c r="A386" i="3"/>
  <c r="J385" i="3"/>
  <c r="A385" i="3"/>
  <c r="J384" i="3"/>
  <c r="A384" i="3"/>
  <c r="J383" i="3"/>
  <c r="A383" i="3"/>
  <c r="J382" i="3"/>
  <c r="A382" i="3"/>
  <c r="J381" i="3"/>
  <c r="A381" i="3"/>
  <c r="J380" i="3"/>
  <c r="A380" i="3"/>
  <c r="J379" i="3"/>
  <c r="A379" i="3"/>
  <c r="J378" i="3"/>
  <c r="A378" i="3"/>
  <c r="J377" i="3"/>
  <c r="A377" i="3"/>
  <c r="J376" i="3"/>
  <c r="A376" i="3"/>
  <c r="J375" i="3"/>
  <c r="A375" i="3"/>
  <c r="J374" i="3"/>
  <c r="A374" i="3"/>
  <c r="J373" i="3"/>
  <c r="A373" i="3"/>
  <c r="J372" i="3"/>
  <c r="A372" i="3"/>
  <c r="J371" i="3"/>
  <c r="A371" i="3"/>
  <c r="J370" i="3"/>
  <c r="A370" i="3"/>
  <c r="J369" i="3"/>
  <c r="A369" i="3"/>
  <c r="J368" i="3"/>
  <c r="A368" i="3"/>
  <c r="J367" i="3"/>
  <c r="A367" i="3"/>
  <c r="J366" i="3"/>
  <c r="A366" i="3"/>
  <c r="J365" i="3"/>
  <c r="A365" i="3"/>
  <c r="J364" i="3"/>
  <c r="A364" i="3"/>
  <c r="J363" i="3"/>
  <c r="A363" i="3"/>
  <c r="J362" i="3"/>
  <c r="A362" i="3"/>
  <c r="J361" i="3"/>
  <c r="A361" i="3"/>
  <c r="J360" i="3"/>
  <c r="A360" i="3"/>
  <c r="J359" i="3"/>
  <c r="A359" i="3"/>
  <c r="J358" i="3"/>
  <c r="A358" i="3"/>
  <c r="J357" i="3"/>
  <c r="A357" i="3"/>
  <c r="J356" i="3"/>
  <c r="A356" i="3"/>
  <c r="J355" i="3"/>
  <c r="A355" i="3"/>
  <c r="J354" i="3"/>
  <c r="A354" i="3"/>
  <c r="J353" i="3"/>
  <c r="A353" i="3"/>
  <c r="J352" i="3"/>
  <c r="A352" i="3"/>
  <c r="J351" i="3"/>
  <c r="A351" i="3"/>
  <c r="J350" i="3"/>
  <c r="A350" i="3"/>
  <c r="J349" i="3"/>
  <c r="A349" i="3"/>
  <c r="J348" i="3"/>
  <c r="A348" i="3"/>
  <c r="J347" i="3"/>
  <c r="A347" i="3"/>
  <c r="J346" i="3"/>
  <c r="A346" i="3"/>
  <c r="J345" i="3"/>
  <c r="A345" i="3"/>
  <c r="J344" i="3"/>
  <c r="A344" i="3"/>
  <c r="J343" i="3"/>
  <c r="A343" i="3"/>
  <c r="J342" i="3"/>
  <c r="A342" i="3"/>
  <c r="J341" i="3"/>
  <c r="A341" i="3"/>
  <c r="J340" i="3"/>
  <c r="A340" i="3"/>
  <c r="J339" i="3"/>
  <c r="A339" i="3"/>
  <c r="J338" i="3"/>
  <c r="A338" i="3"/>
  <c r="J337" i="3"/>
  <c r="A337" i="3"/>
  <c r="J336" i="3"/>
  <c r="A336" i="3"/>
  <c r="J335" i="3"/>
  <c r="A335" i="3"/>
  <c r="J334" i="3"/>
  <c r="A334" i="3"/>
  <c r="J333" i="3"/>
  <c r="A333" i="3"/>
  <c r="J332" i="3"/>
  <c r="A332" i="3"/>
  <c r="J331" i="3"/>
  <c r="A331" i="3"/>
  <c r="J330" i="3"/>
  <c r="A330" i="3"/>
  <c r="J329" i="3"/>
  <c r="A329" i="3"/>
  <c r="J328" i="3"/>
  <c r="A328" i="3"/>
  <c r="J327" i="3"/>
  <c r="A327" i="3"/>
  <c r="J326" i="3"/>
  <c r="A326" i="3"/>
  <c r="J325" i="3"/>
  <c r="A325" i="3"/>
  <c r="J324" i="3"/>
  <c r="A324" i="3"/>
  <c r="J323" i="3"/>
  <c r="A323" i="3"/>
  <c r="J322" i="3"/>
  <c r="A322" i="3"/>
  <c r="J321" i="3"/>
  <c r="A321" i="3"/>
  <c r="J320" i="3"/>
  <c r="A320" i="3"/>
  <c r="J319" i="3"/>
  <c r="A319" i="3"/>
  <c r="J318" i="3"/>
  <c r="A318" i="3"/>
  <c r="J317" i="3"/>
  <c r="A317" i="3"/>
  <c r="J316" i="3"/>
  <c r="A316" i="3"/>
  <c r="J315" i="3"/>
  <c r="A315" i="3"/>
  <c r="J314" i="3"/>
  <c r="A314" i="3"/>
  <c r="J313" i="3"/>
  <c r="A313" i="3"/>
  <c r="J312" i="3"/>
  <c r="A312" i="3"/>
  <c r="J311" i="3"/>
  <c r="A311" i="3"/>
  <c r="J310" i="3"/>
  <c r="A310" i="3"/>
  <c r="J309" i="3"/>
  <c r="A309" i="3"/>
  <c r="J308" i="3"/>
  <c r="A308" i="3"/>
  <c r="J307" i="3"/>
  <c r="A307" i="3"/>
  <c r="J306" i="3"/>
  <c r="A306" i="3"/>
  <c r="J305" i="3"/>
  <c r="A305" i="3"/>
  <c r="J304" i="3"/>
  <c r="A304" i="3"/>
  <c r="J303" i="3"/>
  <c r="A303" i="3"/>
  <c r="J302" i="3"/>
  <c r="A302" i="3"/>
  <c r="J301" i="3"/>
  <c r="A301" i="3"/>
  <c r="J300" i="3"/>
  <c r="A300" i="3"/>
  <c r="J299" i="3"/>
  <c r="A299" i="3"/>
  <c r="J298" i="3"/>
  <c r="A298" i="3"/>
  <c r="J297" i="3"/>
  <c r="A297" i="3"/>
  <c r="J296" i="3"/>
  <c r="A296" i="3"/>
  <c r="J295" i="3"/>
  <c r="A295" i="3"/>
  <c r="J294" i="3"/>
  <c r="A294" i="3"/>
  <c r="J293" i="3"/>
  <c r="A293" i="3"/>
  <c r="J292" i="3"/>
  <c r="A292" i="3"/>
  <c r="J291" i="3"/>
  <c r="A291" i="3"/>
  <c r="J290" i="3"/>
  <c r="A290" i="3"/>
  <c r="J289" i="3"/>
  <c r="A289" i="3"/>
  <c r="J288" i="3"/>
  <c r="A288" i="3"/>
  <c r="J287" i="3"/>
  <c r="A287" i="3"/>
  <c r="J286" i="3"/>
  <c r="A286" i="3"/>
  <c r="J285" i="3"/>
  <c r="A285" i="3"/>
  <c r="J284" i="3"/>
  <c r="A284" i="3"/>
  <c r="J283" i="3"/>
  <c r="A283" i="3"/>
  <c r="J282" i="3"/>
  <c r="A282" i="3"/>
  <c r="J281" i="3"/>
  <c r="A281" i="3"/>
  <c r="J280" i="3"/>
  <c r="A280" i="3"/>
  <c r="J279" i="3"/>
  <c r="A279" i="3"/>
  <c r="J278" i="3"/>
  <c r="A278" i="3"/>
  <c r="J277" i="3"/>
  <c r="A277" i="3"/>
  <c r="J276" i="3"/>
  <c r="A276" i="3"/>
  <c r="J275" i="3"/>
  <c r="A275" i="3"/>
  <c r="J274" i="3"/>
  <c r="A274" i="3"/>
  <c r="J273" i="3"/>
  <c r="A273" i="3"/>
  <c r="J272" i="3"/>
  <c r="A272" i="3"/>
  <c r="J271" i="3"/>
  <c r="A271" i="3"/>
  <c r="J270" i="3"/>
  <c r="A270" i="3"/>
  <c r="J269" i="3"/>
  <c r="A269" i="3"/>
  <c r="J268" i="3"/>
  <c r="A268" i="3"/>
  <c r="J267" i="3"/>
  <c r="A267" i="3"/>
  <c r="J266" i="3"/>
  <c r="A266" i="3"/>
  <c r="J265" i="3"/>
  <c r="A265" i="3"/>
  <c r="J264" i="3"/>
  <c r="A264" i="3"/>
  <c r="J263" i="3"/>
  <c r="A263" i="3"/>
  <c r="J262" i="3"/>
  <c r="A262" i="3"/>
  <c r="J261" i="3"/>
  <c r="A261" i="3"/>
  <c r="J260" i="3"/>
  <c r="A260" i="3"/>
  <c r="J259" i="3"/>
  <c r="A259" i="3"/>
  <c r="J258" i="3"/>
  <c r="A258" i="3"/>
  <c r="J257" i="3"/>
  <c r="A257" i="3"/>
  <c r="J256" i="3"/>
  <c r="A256" i="3"/>
  <c r="J255" i="3"/>
  <c r="A255" i="3"/>
  <c r="J254" i="3"/>
  <c r="A254" i="3"/>
  <c r="J253" i="3"/>
  <c r="A253" i="3"/>
  <c r="J252" i="3"/>
  <c r="A252" i="3"/>
  <c r="J251" i="3"/>
  <c r="A251" i="3"/>
  <c r="J250" i="3"/>
  <c r="A250" i="3"/>
  <c r="J249" i="3"/>
  <c r="A249" i="3"/>
  <c r="J248" i="3"/>
  <c r="A248" i="3"/>
  <c r="J247" i="3"/>
  <c r="A247" i="3"/>
  <c r="J246" i="3"/>
  <c r="A246" i="3"/>
  <c r="J245" i="3"/>
  <c r="A245" i="3"/>
  <c r="J244" i="3"/>
  <c r="A244" i="3"/>
  <c r="J243" i="3"/>
  <c r="A243" i="3"/>
  <c r="J242" i="3"/>
  <c r="A242" i="3"/>
  <c r="J241" i="3"/>
  <c r="A241" i="3"/>
  <c r="J240" i="3"/>
  <c r="A240" i="3"/>
  <c r="J239" i="3"/>
  <c r="A239" i="3"/>
  <c r="J238" i="3"/>
  <c r="A238" i="3"/>
  <c r="J237" i="3"/>
  <c r="A237" i="3"/>
  <c r="J236" i="3"/>
  <c r="A236" i="3"/>
  <c r="J235" i="3"/>
  <c r="A235" i="3"/>
  <c r="J234" i="3"/>
  <c r="A234" i="3"/>
  <c r="J233" i="3"/>
  <c r="A233" i="3"/>
  <c r="J232" i="3"/>
  <c r="A232" i="3"/>
  <c r="J231" i="3"/>
  <c r="A231" i="3"/>
  <c r="J230" i="3"/>
  <c r="A230" i="3"/>
  <c r="J229" i="3"/>
  <c r="A229" i="3"/>
  <c r="J228" i="3"/>
  <c r="A228" i="3"/>
  <c r="J227" i="3"/>
  <c r="A227" i="3"/>
  <c r="J226" i="3"/>
  <c r="A226" i="3"/>
  <c r="J225" i="3"/>
  <c r="A225" i="3"/>
  <c r="J224" i="3"/>
  <c r="A224" i="3"/>
  <c r="J223" i="3"/>
  <c r="A223" i="3"/>
  <c r="J222" i="3"/>
  <c r="A222" i="3"/>
  <c r="J221" i="3"/>
  <c r="A221" i="3"/>
  <c r="J220" i="3"/>
  <c r="A220" i="3"/>
  <c r="J219" i="3"/>
  <c r="A219" i="3"/>
  <c r="J218" i="3"/>
  <c r="A218" i="3"/>
  <c r="J217" i="3"/>
  <c r="A217" i="3"/>
  <c r="J216" i="3"/>
  <c r="A216" i="3"/>
  <c r="J215" i="3"/>
  <c r="A215" i="3"/>
  <c r="J214" i="3"/>
  <c r="A214" i="3"/>
  <c r="J213" i="3"/>
  <c r="A213" i="3"/>
  <c r="J212" i="3"/>
  <c r="A212" i="3"/>
  <c r="J211" i="3"/>
  <c r="A211" i="3"/>
  <c r="J210" i="3"/>
  <c r="A210" i="3"/>
  <c r="J209" i="3"/>
  <c r="A209" i="3"/>
  <c r="J208" i="3"/>
  <c r="A208" i="3"/>
  <c r="J207" i="3"/>
  <c r="A207" i="3"/>
  <c r="J206" i="3"/>
  <c r="A206" i="3"/>
  <c r="J205" i="3"/>
  <c r="A205" i="3"/>
  <c r="J204" i="3"/>
  <c r="A204" i="3"/>
  <c r="J203" i="3"/>
  <c r="A203" i="3"/>
  <c r="J202" i="3"/>
  <c r="A202" i="3"/>
  <c r="J201" i="3"/>
  <c r="A201" i="3"/>
  <c r="J200" i="3"/>
  <c r="A200" i="3"/>
  <c r="J199" i="3"/>
  <c r="A199" i="3"/>
  <c r="J198" i="3"/>
  <c r="A198" i="3"/>
  <c r="J197" i="3"/>
  <c r="A197" i="3"/>
  <c r="J196" i="3"/>
  <c r="A196" i="3"/>
  <c r="J195" i="3"/>
  <c r="A195" i="3"/>
  <c r="J194" i="3"/>
  <c r="A194" i="3"/>
  <c r="J193" i="3"/>
  <c r="A193" i="3"/>
  <c r="J192" i="3"/>
  <c r="A192" i="3"/>
  <c r="J191" i="3"/>
  <c r="A191" i="3"/>
  <c r="J190" i="3"/>
  <c r="A190" i="3"/>
  <c r="J189" i="3"/>
  <c r="A189" i="3"/>
  <c r="J188" i="3"/>
  <c r="A188" i="3"/>
  <c r="J187" i="3"/>
  <c r="A187" i="3"/>
  <c r="J186" i="3"/>
  <c r="A186" i="3"/>
  <c r="J185" i="3"/>
  <c r="A185" i="3"/>
  <c r="J184" i="3"/>
  <c r="A184" i="3"/>
  <c r="J183" i="3"/>
  <c r="A183" i="3"/>
  <c r="J182" i="3"/>
  <c r="A182" i="3"/>
  <c r="J181" i="3"/>
  <c r="A181" i="3"/>
  <c r="J180" i="3"/>
  <c r="A180" i="3"/>
  <c r="J179" i="3"/>
  <c r="A179" i="3"/>
  <c r="J178" i="3"/>
  <c r="A178" i="3"/>
  <c r="J177" i="3"/>
  <c r="A177" i="3"/>
  <c r="J176" i="3"/>
  <c r="A176" i="3"/>
  <c r="J175" i="3"/>
  <c r="A175" i="3"/>
  <c r="J174" i="3"/>
  <c r="A174" i="3"/>
  <c r="J173" i="3"/>
  <c r="A173" i="3"/>
  <c r="J172" i="3"/>
  <c r="A172" i="3"/>
  <c r="J171" i="3"/>
  <c r="A171" i="3"/>
  <c r="J170" i="3"/>
  <c r="A170" i="3"/>
  <c r="J169" i="3"/>
  <c r="A169" i="3"/>
  <c r="J168" i="3"/>
  <c r="A168" i="3"/>
  <c r="J167" i="3"/>
  <c r="A167" i="3"/>
  <c r="J166" i="3"/>
  <c r="A166" i="3"/>
  <c r="J165" i="3"/>
  <c r="A165" i="3"/>
  <c r="J164" i="3"/>
  <c r="A164" i="3"/>
  <c r="J163" i="3"/>
  <c r="A163" i="3"/>
  <c r="J162" i="3"/>
  <c r="A162" i="3"/>
  <c r="J161" i="3"/>
  <c r="A161" i="3"/>
  <c r="J160" i="3"/>
  <c r="A160" i="3"/>
  <c r="J159" i="3"/>
  <c r="A159" i="3"/>
  <c r="J158" i="3"/>
  <c r="A158" i="3"/>
  <c r="J157" i="3"/>
  <c r="A157" i="3"/>
  <c r="J156" i="3"/>
  <c r="A156" i="3"/>
  <c r="J155" i="3"/>
  <c r="A155" i="3"/>
  <c r="J154" i="3"/>
  <c r="A154" i="3"/>
  <c r="J153" i="3"/>
  <c r="A153" i="3"/>
  <c r="J152" i="3"/>
  <c r="A152" i="3"/>
  <c r="J151" i="3"/>
  <c r="A151" i="3"/>
  <c r="J150" i="3"/>
  <c r="A150" i="3"/>
  <c r="J149" i="3"/>
  <c r="A149" i="3"/>
  <c r="J148" i="3"/>
  <c r="A148" i="3"/>
  <c r="J147" i="3"/>
  <c r="A147" i="3"/>
  <c r="J146" i="3"/>
  <c r="A146" i="3"/>
  <c r="J145" i="3"/>
  <c r="A145" i="3"/>
  <c r="J144" i="3"/>
  <c r="A144" i="3"/>
  <c r="J143" i="3"/>
  <c r="A143" i="3"/>
  <c r="J142" i="3"/>
  <c r="A142" i="3"/>
  <c r="J141" i="3"/>
  <c r="A141" i="3"/>
  <c r="J140" i="3"/>
  <c r="A140" i="3"/>
  <c r="J139" i="3"/>
  <c r="A139" i="3"/>
  <c r="J138" i="3"/>
  <c r="A138" i="3"/>
  <c r="J137" i="3"/>
  <c r="A137" i="3"/>
  <c r="J136" i="3"/>
  <c r="A136" i="3"/>
  <c r="J135" i="3"/>
  <c r="A135" i="3"/>
  <c r="J134" i="3"/>
  <c r="A134" i="3"/>
  <c r="J133" i="3"/>
  <c r="A133" i="3"/>
  <c r="J132" i="3"/>
  <c r="A132" i="3"/>
  <c r="J131" i="3"/>
  <c r="A131" i="3"/>
  <c r="J130" i="3"/>
  <c r="A130" i="3"/>
  <c r="J129" i="3"/>
  <c r="A129" i="3"/>
  <c r="J128" i="3"/>
  <c r="A128" i="3"/>
  <c r="J127" i="3"/>
  <c r="A127" i="3"/>
  <c r="J126" i="3"/>
  <c r="A126" i="3"/>
  <c r="J125" i="3"/>
  <c r="A125" i="3"/>
  <c r="J124" i="3"/>
  <c r="A124" i="3"/>
  <c r="J123" i="3"/>
  <c r="A123" i="3"/>
  <c r="J122" i="3"/>
  <c r="A122" i="3"/>
  <c r="J121" i="3"/>
  <c r="A121" i="3"/>
  <c r="J120" i="3"/>
  <c r="A120" i="3"/>
  <c r="J119" i="3"/>
  <c r="A119" i="3"/>
  <c r="J118" i="3"/>
  <c r="A118" i="3"/>
  <c r="J117" i="3"/>
  <c r="A117" i="3"/>
  <c r="J116" i="3"/>
  <c r="A116" i="3"/>
  <c r="J115" i="3"/>
  <c r="A115" i="3"/>
  <c r="J114" i="3"/>
  <c r="A114" i="3"/>
  <c r="J113" i="3"/>
  <c r="A113" i="3"/>
  <c r="J112" i="3"/>
  <c r="A112" i="3"/>
  <c r="J111" i="3"/>
  <c r="A111" i="3"/>
  <c r="J110" i="3"/>
  <c r="A110" i="3"/>
  <c r="J109" i="3"/>
  <c r="A109" i="3"/>
  <c r="J108" i="3"/>
  <c r="A108" i="3"/>
  <c r="J107" i="3"/>
  <c r="A107" i="3"/>
  <c r="J106" i="3"/>
  <c r="A106" i="3"/>
  <c r="J105" i="3"/>
  <c r="A105" i="3"/>
  <c r="J104" i="3"/>
  <c r="A104" i="3"/>
  <c r="J103" i="3"/>
  <c r="A103" i="3"/>
  <c r="J102" i="3"/>
  <c r="A102" i="3"/>
  <c r="J101" i="3"/>
  <c r="A101" i="3"/>
  <c r="J100" i="3"/>
  <c r="A100" i="3"/>
  <c r="J99" i="3"/>
  <c r="A99" i="3"/>
  <c r="J98" i="3"/>
  <c r="A98" i="3"/>
  <c r="J97" i="3"/>
  <c r="A97" i="3"/>
  <c r="J96" i="3"/>
  <c r="A96" i="3"/>
  <c r="J95" i="3"/>
  <c r="A95" i="3"/>
  <c r="J94" i="3"/>
  <c r="A94" i="3"/>
  <c r="J93" i="3"/>
  <c r="A93" i="3"/>
  <c r="J92" i="3"/>
  <c r="A92" i="3"/>
  <c r="J91" i="3"/>
  <c r="A91" i="3"/>
  <c r="J90" i="3"/>
  <c r="A90" i="3"/>
  <c r="J89" i="3"/>
  <c r="A89" i="3"/>
  <c r="J88" i="3"/>
  <c r="A88" i="3"/>
  <c r="J87" i="3"/>
  <c r="A87" i="3"/>
  <c r="J86" i="3"/>
  <c r="A86" i="3"/>
  <c r="J85" i="3"/>
  <c r="A85" i="3"/>
  <c r="J84" i="3"/>
  <c r="A84" i="3"/>
  <c r="J83" i="3"/>
  <c r="A83" i="3"/>
  <c r="J82" i="3"/>
  <c r="A82" i="3"/>
  <c r="J81" i="3"/>
  <c r="A81" i="3"/>
  <c r="J80" i="3"/>
  <c r="A80" i="3"/>
  <c r="J79" i="3"/>
  <c r="A79" i="3"/>
  <c r="J78" i="3"/>
  <c r="A78" i="3"/>
  <c r="J77" i="3"/>
  <c r="A77" i="3"/>
  <c r="J76" i="3"/>
  <c r="A76" i="3"/>
  <c r="J75" i="3"/>
  <c r="A75" i="3"/>
  <c r="J74" i="3"/>
  <c r="A74" i="3"/>
  <c r="J73" i="3"/>
  <c r="A73" i="3"/>
  <c r="J72" i="3"/>
  <c r="A72" i="3"/>
  <c r="J71" i="3"/>
  <c r="A71" i="3"/>
  <c r="J70" i="3"/>
  <c r="A70" i="3"/>
  <c r="J69" i="3"/>
  <c r="A69" i="3"/>
  <c r="J68" i="3"/>
  <c r="A68" i="3"/>
  <c r="J67" i="3"/>
  <c r="A67" i="3"/>
  <c r="J66" i="3"/>
  <c r="A66" i="3"/>
  <c r="J65" i="3"/>
  <c r="A65" i="3"/>
  <c r="J64" i="3"/>
  <c r="A64" i="3"/>
  <c r="J63" i="3"/>
  <c r="A63" i="3"/>
  <c r="J62" i="3"/>
  <c r="A62" i="3"/>
  <c r="J61" i="3"/>
  <c r="A61" i="3"/>
  <c r="J60" i="3"/>
  <c r="A60" i="3"/>
  <c r="J59" i="3"/>
  <c r="A59" i="3"/>
  <c r="J58" i="3"/>
  <c r="A58" i="3"/>
  <c r="J57" i="3"/>
  <c r="A57" i="3"/>
  <c r="J56" i="3"/>
  <c r="A56" i="3"/>
  <c r="J55" i="3"/>
  <c r="A55" i="3"/>
  <c r="J54" i="3"/>
  <c r="A54" i="3"/>
  <c r="J53" i="3"/>
  <c r="A53" i="3"/>
  <c r="J52" i="3"/>
  <c r="A52" i="3"/>
  <c r="J51" i="3"/>
  <c r="A51" i="3"/>
  <c r="J50" i="3"/>
  <c r="A50" i="3"/>
  <c r="J49" i="3"/>
  <c r="A49" i="3"/>
  <c r="J48" i="3"/>
  <c r="A48" i="3"/>
  <c r="J47" i="3"/>
  <c r="A47" i="3"/>
  <c r="J46" i="3"/>
  <c r="A46" i="3"/>
  <c r="J45" i="3"/>
  <c r="A45" i="3"/>
  <c r="J44" i="3"/>
  <c r="A44" i="3"/>
  <c r="J43" i="3"/>
  <c r="A43" i="3"/>
  <c r="J42" i="3"/>
  <c r="A42" i="3"/>
  <c r="J41" i="3"/>
  <c r="A41" i="3"/>
  <c r="J40" i="3"/>
  <c r="A40" i="3"/>
  <c r="J39" i="3"/>
  <c r="A39" i="3"/>
  <c r="J38" i="3"/>
  <c r="A38" i="3"/>
  <c r="J37" i="3"/>
  <c r="A37" i="3"/>
  <c r="J36" i="3"/>
  <c r="A36" i="3"/>
  <c r="J35" i="3"/>
  <c r="A35" i="3"/>
  <c r="J34" i="3"/>
  <c r="A34" i="3"/>
  <c r="J33" i="3"/>
  <c r="A33" i="3"/>
  <c r="J32" i="3"/>
  <c r="A32" i="3"/>
  <c r="J31" i="3"/>
  <c r="A31" i="3"/>
  <c r="J30" i="3"/>
  <c r="A30" i="3"/>
  <c r="J29" i="3"/>
  <c r="A29" i="3"/>
  <c r="J28" i="3"/>
  <c r="A28" i="3"/>
  <c r="J27" i="3"/>
  <c r="A27" i="3"/>
  <c r="J26" i="3"/>
  <c r="A26" i="3"/>
  <c r="J25" i="3"/>
  <c r="A25" i="3"/>
  <c r="J24" i="3"/>
  <c r="A24" i="3"/>
  <c r="J23" i="3"/>
  <c r="A23" i="3"/>
  <c r="J22" i="3"/>
  <c r="A22" i="3"/>
  <c r="J21" i="3"/>
  <c r="A21" i="3"/>
  <c r="J20" i="3"/>
  <c r="A20" i="3"/>
  <c r="J19" i="3"/>
  <c r="A19" i="3"/>
  <c r="J18" i="3"/>
  <c r="A18" i="3"/>
  <c r="J17" i="3"/>
  <c r="A17" i="3"/>
  <c r="J16" i="3"/>
  <c r="A16" i="3"/>
  <c r="J15" i="3"/>
  <c r="A15" i="3"/>
  <c r="J14" i="3"/>
  <c r="A14" i="3"/>
  <c r="J13" i="3"/>
  <c r="A13" i="3"/>
  <c r="J12" i="3"/>
  <c r="A12" i="3"/>
  <c r="J11" i="3"/>
  <c r="A11" i="3"/>
  <c r="J10" i="3"/>
  <c r="A10" i="3"/>
  <c r="J9" i="3"/>
  <c r="A9" i="3"/>
  <c r="J8" i="3"/>
  <c r="A8" i="3"/>
  <c r="J7" i="3"/>
  <c r="A7" i="3"/>
  <c r="J6" i="3"/>
  <c r="A6" i="3"/>
  <c r="J5" i="3"/>
  <c r="A5" i="3"/>
  <c r="J4" i="3"/>
  <c r="A4" i="3"/>
  <c r="J3" i="3"/>
  <c r="J2" i="3"/>
  <c r="H2" i="3"/>
  <c r="J1" i="3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A982" i="2"/>
  <c r="J981" i="2"/>
  <c r="A981" i="2"/>
  <c r="J980" i="2"/>
  <c r="A980" i="2"/>
  <c r="J979" i="2"/>
  <c r="A979" i="2"/>
  <c r="J978" i="2"/>
  <c r="A978" i="2"/>
  <c r="J977" i="2"/>
  <c r="A977" i="2"/>
  <c r="J976" i="2"/>
  <c r="A976" i="2"/>
  <c r="J975" i="2"/>
  <c r="A975" i="2"/>
  <c r="J974" i="2"/>
  <c r="A974" i="2"/>
  <c r="J973" i="2"/>
  <c r="A973" i="2"/>
  <c r="J972" i="2"/>
  <c r="A972" i="2"/>
  <c r="J971" i="2"/>
  <c r="A971" i="2"/>
  <c r="J970" i="2"/>
  <c r="A970" i="2"/>
  <c r="J969" i="2"/>
  <c r="A969" i="2"/>
  <c r="J968" i="2"/>
  <c r="A968" i="2"/>
  <c r="J967" i="2"/>
  <c r="A967" i="2"/>
  <c r="J966" i="2"/>
  <c r="A966" i="2"/>
  <c r="J965" i="2"/>
  <c r="A965" i="2"/>
  <c r="J964" i="2"/>
  <c r="A964" i="2"/>
  <c r="J963" i="2"/>
  <c r="A963" i="2"/>
  <c r="J962" i="2"/>
  <c r="A962" i="2"/>
  <c r="J961" i="2"/>
  <c r="A961" i="2"/>
  <c r="J960" i="2"/>
  <c r="A960" i="2"/>
  <c r="J959" i="2"/>
  <c r="A959" i="2"/>
  <c r="J958" i="2"/>
  <c r="A958" i="2"/>
  <c r="J957" i="2"/>
  <c r="A957" i="2"/>
  <c r="J956" i="2"/>
  <c r="A956" i="2"/>
  <c r="J955" i="2"/>
  <c r="A955" i="2"/>
  <c r="J954" i="2"/>
  <c r="A954" i="2"/>
  <c r="J953" i="2"/>
  <c r="A953" i="2"/>
  <c r="J952" i="2"/>
  <c r="A952" i="2"/>
  <c r="J951" i="2"/>
  <c r="A951" i="2"/>
  <c r="J950" i="2"/>
  <c r="A950" i="2"/>
  <c r="J949" i="2"/>
  <c r="A949" i="2"/>
  <c r="J948" i="2"/>
  <c r="A948" i="2"/>
  <c r="J947" i="2"/>
  <c r="A947" i="2"/>
  <c r="J946" i="2"/>
  <c r="A946" i="2"/>
  <c r="J945" i="2"/>
  <c r="A945" i="2"/>
  <c r="J944" i="2"/>
  <c r="A944" i="2"/>
  <c r="J943" i="2"/>
  <c r="A943" i="2"/>
  <c r="J942" i="2"/>
  <c r="A942" i="2"/>
  <c r="J941" i="2"/>
  <c r="A941" i="2"/>
  <c r="J940" i="2"/>
  <c r="A940" i="2"/>
  <c r="J939" i="2"/>
  <c r="A939" i="2"/>
  <c r="J938" i="2"/>
  <c r="A938" i="2"/>
  <c r="J937" i="2"/>
  <c r="A937" i="2"/>
  <c r="J936" i="2"/>
  <c r="A936" i="2"/>
  <c r="J935" i="2"/>
  <c r="A935" i="2"/>
  <c r="J934" i="2"/>
  <c r="A934" i="2"/>
  <c r="J933" i="2"/>
  <c r="A933" i="2"/>
  <c r="J932" i="2"/>
  <c r="A932" i="2"/>
  <c r="J931" i="2"/>
  <c r="A931" i="2"/>
  <c r="J930" i="2"/>
  <c r="A930" i="2"/>
  <c r="J929" i="2"/>
  <c r="A929" i="2"/>
  <c r="J928" i="2"/>
  <c r="A928" i="2"/>
  <c r="J927" i="2"/>
  <c r="A927" i="2"/>
  <c r="J926" i="2"/>
  <c r="A926" i="2"/>
  <c r="J925" i="2"/>
  <c r="A925" i="2"/>
  <c r="J924" i="2"/>
  <c r="A924" i="2"/>
  <c r="J923" i="2"/>
  <c r="A923" i="2"/>
  <c r="J922" i="2"/>
  <c r="A922" i="2"/>
  <c r="J921" i="2"/>
  <c r="A921" i="2"/>
  <c r="J920" i="2"/>
  <c r="A920" i="2"/>
  <c r="J919" i="2"/>
  <c r="A919" i="2"/>
  <c r="J918" i="2"/>
  <c r="A918" i="2"/>
  <c r="J917" i="2"/>
  <c r="A917" i="2"/>
  <c r="J916" i="2"/>
  <c r="A916" i="2"/>
  <c r="J915" i="2"/>
  <c r="A915" i="2"/>
  <c r="J914" i="2"/>
  <c r="A914" i="2"/>
  <c r="J913" i="2"/>
  <c r="A913" i="2"/>
  <c r="J912" i="2"/>
  <c r="A912" i="2"/>
  <c r="J911" i="2"/>
  <c r="A911" i="2"/>
  <c r="J910" i="2"/>
  <c r="A910" i="2"/>
  <c r="J909" i="2"/>
  <c r="A909" i="2"/>
  <c r="J908" i="2"/>
  <c r="A908" i="2"/>
  <c r="J907" i="2"/>
  <c r="A907" i="2"/>
  <c r="J906" i="2"/>
  <c r="A906" i="2"/>
  <c r="J905" i="2"/>
  <c r="A905" i="2"/>
  <c r="J904" i="2"/>
  <c r="A904" i="2"/>
  <c r="J903" i="2"/>
  <c r="A903" i="2"/>
  <c r="J902" i="2"/>
  <c r="A902" i="2"/>
  <c r="J901" i="2"/>
  <c r="A901" i="2"/>
  <c r="J900" i="2"/>
  <c r="A900" i="2"/>
  <c r="J899" i="2"/>
  <c r="A899" i="2"/>
  <c r="J898" i="2"/>
  <c r="A898" i="2"/>
  <c r="J897" i="2"/>
  <c r="A897" i="2"/>
  <c r="J896" i="2"/>
  <c r="A896" i="2"/>
  <c r="J895" i="2"/>
  <c r="A895" i="2"/>
  <c r="J894" i="2"/>
  <c r="A894" i="2"/>
  <c r="J893" i="2"/>
  <c r="A893" i="2"/>
  <c r="J892" i="2"/>
  <c r="A892" i="2"/>
  <c r="J891" i="2"/>
  <c r="A891" i="2"/>
  <c r="J890" i="2"/>
  <c r="A890" i="2"/>
  <c r="J889" i="2"/>
  <c r="A889" i="2"/>
  <c r="J888" i="2"/>
  <c r="A888" i="2"/>
  <c r="J887" i="2"/>
  <c r="A887" i="2"/>
  <c r="J886" i="2"/>
  <c r="A886" i="2"/>
  <c r="J885" i="2"/>
  <c r="A885" i="2"/>
  <c r="J884" i="2"/>
  <c r="A884" i="2"/>
  <c r="J883" i="2"/>
  <c r="A883" i="2"/>
  <c r="J882" i="2"/>
  <c r="A882" i="2"/>
  <c r="J881" i="2"/>
  <c r="A881" i="2"/>
  <c r="J880" i="2"/>
  <c r="A880" i="2"/>
  <c r="J879" i="2"/>
  <c r="A879" i="2"/>
  <c r="J878" i="2"/>
  <c r="A878" i="2"/>
  <c r="J877" i="2"/>
  <c r="A877" i="2"/>
  <c r="J876" i="2"/>
  <c r="A876" i="2"/>
  <c r="J875" i="2"/>
  <c r="A875" i="2"/>
  <c r="J874" i="2"/>
  <c r="A874" i="2"/>
  <c r="J873" i="2"/>
  <c r="A873" i="2"/>
  <c r="J872" i="2"/>
  <c r="A872" i="2"/>
  <c r="J871" i="2"/>
  <c r="A871" i="2"/>
  <c r="J870" i="2"/>
  <c r="A870" i="2"/>
  <c r="J869" i="2"/>
  <c r="A869" i="2"/>
  <c r="J868" i="2"/>
  <c r="A868" i="2"/>
  <c r="J867" i="2"/>
  <c r="A867" i="2"/>
  <c r="J866" i="2"/>
  <c r="A866" i="2"/>
  <c r="J865" i="2"/>
  <c r="A865" i="2"/>
  <c r="J864" i="2"/>
  <c r="A864" i="2"/>
  <c r="J863" i="2"/>
  <c r="A863" i="2"/>
  <c r="J862" i="2"/>
  <c r="A862" i="2"/>
  <c r="J861" i="2"/>
  <c r="A861" i="2"/>
  <c r="J860" i="2"/>
  <c r="A860" i="2"/>
  <c r="J859" i="2"/>
  <c r="A859" i="2"/>
  <c r="J858" i="2"/>
  <c r="A858" i="2"/>
  <c r="J857" i="2"/>
  <c r="A857" i="2"/>
  <c r="J856" i="2"/>
  <c r="A856" i="2"/>
  <c r="J855" i="2"/>
  <c r="A855" i="2"/>
  <c r="J854" i="2"/>
  <c r="A854" i="2"/>
  <c r="J853" i="2"/>
  <c r="A853" i="2"/>
  <c r="J852" i="2"/>
  <c r="A852" i="2"/>
  <c r="J851" i="2"/>
  <c r="A851" i="2"/>
  <c r="J850" i="2"/>
  <c r="A850" i="2"/>
  <c r="J849" i="2"/>
  <c r="A849" i="2"/>
  <c r="J848" i="2"/>
  <c r="A848" i="2"/>
  <c r="J847" i="2"/>
  <c r="A847" i="2"/>
  <c r="J846" i="2"/>
  <c r="A846" i="2"/>
  <c r="J845" i="2"/>
  <c r="A845" i="2"/>
  <c r="J844" i="2"/>
  <c r="A844" i="2"/>
  <c r="J843" i="2"/>
  <c r="A843" i="2"/>
  <c r="J842" i="2"/>
  <c r="A842" i="2"/>
  <c r="J841" i="2"/>
  <c r="A841" i="2"/>
  <c r="J840" i="2"/>
  <c r="A840" i="2"/>
  <c r="J839" i="2"/>
  <c r="A839" i="2"/>
  <c r="J838" i="2"/>
  <c r="A838" i="2"/>
  <c r="J837" i="2"/>
  <c r="A837" i="2"/>
  <c r="J836" i="2"/>
  <c r="A836" i="2"/>
  <c r="J835" i="2"/>
  <c r="A835" i="2"/>
  <c r="J834" i="2"/>
  <c r="A834" i="2"/>
  <c r="J833" i="2"/>
  <c r="A833" i="2"/>
  <c r="J832" i="2"/>
  <c r="A832" i="2"/>
  <c r="J831" i="2"/>
  <c r="A831" i="2"/>
  <c r="J830" i="2"/>
  <c r="A830" i="2"/>
  <c r="J829" i="2"/>
  <c r="A829" i="2"/>
  <c r="J828" i="2"/>
  <c r="A828" i="2"/>
  <c r="J827" i="2"/>
  <c r="A827" i="2"/>
  <c r="J826" i="2"/>
  <c r="A826" i="2"/>
  <c r="J825" i="2"/>
  <c r="A825" i="2"/>
  <c r="J824" i="2"/>
  <c r="A824" i="2"/>
  <c r="J823" i="2"/>
  <c r="A823" i="2"/>
  <c r="J822" i="2"/>
  <c r="A822" i="2"/>
  <c r="J821" i="2"/>
  <c r="A821" i="2"/>
  <c r="J820" i="2"/>
  <c r="A820" i="2"/>
  <c r="J819" i="2"/>
  <c r="A819" i="2"/>
  <c r="J818" i="2"/>
  <c r="A818" i="2"/>
  <c r="J817" i="2"/>
  <c r="A817" i="2"/>
  <c r="J816" i="2"/>
  <c r="A816" i="2"/>
  <c r="J815" i="2"/>
  <c r="A815" i="2"/>
  <c r="J814" i="2"/>
  <c r="A814" i="2"/>
  <c r="J813" i="2"/>
  <c r="A813" i="2"/>
  <c r="J812" i="2"/>
  <c r="A812" i="2"/>
  <c r="J811" i="2"/>
  <c r="A811" i="2"/>
  <c r="J810" i="2"/>
  <c r="A810" i="2"/>
  <c r="J809" i="2"/>
  <c r="A809" i="2"/>
  <c r="J808" i="2"/>
  <c r="A808" i="2"/>
  <c r="J807" i="2"/>
  <c r="A807" i="2"/>
  <c r="J806" i="2"/>
  <c r="A806" i="2"/>
  <c r="J805" i="2"/>
  <c r="A805" i="2"/>
  <c r="J804" i="2"/>
  <c r="A804" i="2"/>
  <c r="J803" i="2"/>
  <c r="A803" i="2"/>
  <c r="J802" i="2"/>
  <c r="A802" i="2"/>
  <c r="J801" i="2"/>
  <c r="A801" i="2"/>
  <c r="J800" i="2"/>
  <c r="A800" i="2"/>
  <c r="J799" i="2"/>
  <c r="A799" i="2"/>
  <c r="J798" i="2"/>
  <c r="A798" i="2"/>
  <c r="J797" i="2"/>
  <c r="A797" i="2"/>
  <c r="J796" i="2"/>
  <c r="A796" i="2"/>
  <c r="J795" i="2"/>
  <c r="A795" i="2"/>
  <c r="J794" i="2"/>
  <c r="A794" i="2"/>
  <c r="J793" i="2"/>
  <c r="A793" i="2"/>
  <c r="J792" i="2"/>
  <c r="A792" i="2"/>
  <c r="J791" i="2"/>
  <c r="A791" i="2"/>
  <c r="J790" i="2"/>
  <c r="A790" i="2"/>
  <c r="J789" i="2"/>
  <c r="A789" i="2"/>
  <c r="J788" i="2"/>
  <c r="A788" i="2"/>
  <c r="J787" i="2"/>
  <c r="A787" i="2"/>
  <c r="J786" i="2"/>
  <c r="A786" i="2"/>
  <c r="J785" i="2"/>
  <c r="A785" i="2"/>
  <c r="J784" i="2"/>
  <c r="A784" i="2"/>
  <c r="J783" i="2"/>
  <c r="A783" i="2"/>
  <c r="J782" i="2"/>
  <c r="A782" i="2"/>
  <c r="J781" i="2"/>
  <c r="A781" i="2"/>
  <c r="J780" i="2"/>
  <c r="A780" i="2"/>
  <c r="J779" i="2"/>
  <c r="A779" i="2"/>
  <c r="J778" i="2"/>
  <c r="A778" i="2"/>
  <c r="J777" i="2"/>
  <c r="A777" i="2"/>
  <c r="J776" i="2"/>
  <c r="A776" i="2"/>
  <c r="J775" i="2"/>
  <c r="A775" i="2"/>
  <c r="J774" i="2"/>
  <c r="A774" i="2"/>
  <c r="J773" i="2"/>
  <c r="A773" i="2"/>
  <c r="J772" i="2"/>
  <c r="A772" i="2"/>
  <c r="J771" i="2"/>
  <c r="A771" i="2"/>
  <c r="J770" i="2"/>
  <c r="A770" i="2"/>
  <c r="J769" i="2"/>
  <c r="A769" i="2"/>
  <c r="J768" i="2"/>
  <c r="A768" i="2"/>
  <c r="J767" i="2"/>
  <c r="A767" i="2"/>
  <c r="J766" i="2"/>
  <c r="A766" i="2"/>
  <c r="J765" i="2"/>
  <c r="A765" i="2"/>
  <c r="J764" i="2"/>
  <c r="A764" i="2"/>
  <c r="J763" i="2"/>
  <c r="A763" i="2"/>
  <c r="J762" i="2"/>
  <c r="A762" i="2"/>
  <c r="J761" i="2"/>
  <c r="A761" i="2"/>
  <c r="J760" i="2"/>
  <c r="A760" i="2"/>
  <c r="J759" i="2"/>
  <c r="A759" i="2"/>
  <c r="J758" i="2"/>
  <c r="A758" i="2"/>
  <c r="J757" i="2"/>
  <c r="A757" i="2"/>
  <c r="J756" i="2"/>
  <c r="A756" i="2"/>
  <c r="J755" i="2"/>
  <c r="A755" i="2"/>
  <c r="J754" i="2"/>
  <c r="A754" i="2"/>
  <c r="J753" i="2"/>
  <c r="A753" i="2"/>
  <c r="J752" i="2"/>
  <c r="A752" i="2"/>
  <c r="J751" i="2"/>
  <c r="A751" i="2"/>
  <c r="J750" i="2"/>
  <c r="A750" i="2"/>
  <c r="J749" i="2"/>
  <c r="A749" i="2"/>
  <c r="J748" i="2"/>
  <c r="A748" i="2"/>
  <c r="J747" i="2"/>
  <c r="A747" i="2"/>
  <c r="J746" i="2"/>
  <c r="A746" i="2"/>
  <c r="J745" i="2"/>
  <c r="A745" i="2"/>
  <c r="J744" i="2"/>
  <c r="A744" i="2"/>
  <c r="J743" i="2"/>
  <c r="A743" i="2"/>
  <c r="J742" i="2"/>
  <c r="A742" i="2"/>
  <c r="J741" i="2"/>
  <c r="A741" i="2"/>
  <c r="J740" i="2"/>
  <c r="A740" i="2"/>
  <c r="J739" i="2"/>
  <c r="A739" i="2"/>
  <c r="J738" i="2"/>
  <c r="A738" i="2"/>
  <c r="J737" i="2"/>
  <c r="A737" i="2"/>
  <c r="J736" i="2"/>
  <c r="A736" i="2"/>
  <c r="J735" i="2"/>
  <c r="A735" i="2"/>
  <c r="J734" i="2"/>
  <c r="A734" i="2"/>
  <c r="J733" i="2"/>
  <c r="A733" i="2"/>
  <c r="J732" i="2"/>
  <c r="A732" i="2"/>
  <c r="J731" i="2"/>
  <c r="A731" i="2"/>
  <c r="J730" i="2"/>
  <c r="A730" i="2"/>
  <c r="J729" i="2"/>
  <c r="A729" i="2"/>
  <c r="J728" i="2"/>
  <c r="A728" i="2"/>
  <c r="J727" i="2"/>
  <c r="A727" i="2"/>
  <c r="J726" i="2"/>
  <c r="A726" i="2"/>
  <c r="J725" i="2"/>
  <c r="A725" i="2"/>
  <c r="J724" i="2"/>
  <c r="A724" i="2"/>
  <c r="J723" i="2"/>
  <c r="A723" i="2"/>
  <c r="J722" i="2"/>
  <c r="A722" i="2"/>
  <c r="J721" i="2"/>
  <c r="A721" i="2"/>
  <c r="J720" i="2"/>
  <c r="A720" i="2"/>
  <c r="J719" i="2"/>
  <c r="A719" i="2"/>
  <c r="J718" i="2"/>
  <c r="A718" i="2"/>
  <c r="J717" i="2"/>
  <c r="A717" i="2"/>
  <c r="J716" i="2"/>
  <c r="A716" i="2"/>
  <c r="J715" i="2"/>
  <c r="A715" i="2"/>
  <c r="J714" i="2"/>
  <c r="A714" i="2"/>
  <c r="J713" i="2"/>
  <c r="A713" i="2"/>
  <c r="J712" i="2"/>
  <c r="A712" i="2"/>
  <c r="J711" i="2"/>
  <c r="A711" i="2"/>
  <c r="J710" i="2"/>
  <c r="A710" i="2"/>
  <c r="J709" i="2"/>
  <c r="A709" i="2"/>
  <c r="J708" i="2"/>
  <c r="A708" i="2"/>
  <c r="J707" i="2"/>
  <c r="A707" i="2"/>
  <c r="J706" i="2"/>
  <c r="A706" i="2"/>
  <c r="J705" i="2"/>
  <c r="A705" i="2"/>
  <c r="J704" i="2"/>
  <c r="A704" i="2"/>
  <c r="J703" i="2"/>
  <c r="A703" i="2"/>
  <c r="J702" i="2"/>
  <c r="A702" i="2"/>
  <c r="J701" i="2"/>
  <c r="A701" i="2"/>
  <c r="J700" i="2"/>
  <c r="A700" i="2"/>
  <c r="J699" i="2"/>
  <c r="A699" i="2"/>
  <c r="J698" i="2"/>
  <c r="A698" i="2"/>
  <c r="J697" i="2"/>
  <c r="A697" i="2"/>
  <c r="J696" i="2"/>
  <c r="A696" i="2"/>
  <c r="J695" i="2"/>
  <c r="A695" i="2"/>
  <c r="J694" i="2"/>
  <c r="A694" i="2"/>
  <c r="J693" i="2"/>
  <c r="A693" i="2"/>
  <c r="J692" i="2"/>
  <c r="A692" i="2"/>
  <c r="J691" i="2"/>
  <c r="A691" i="2"/>
  <c r="J690" i="2"/>
  <c r="A690" i="2"/>
  <c r="J689" i="2"/>
  <c r="A689" i="2"/>
  <c r="J688" i="2"/>
  <c r="A688" i="2"/>
  <c r="J687" i="2"/>
  <c r="A687" i="2"/>
  <c r="J686" i="2"/>
  <c r="A686" i="2"/>
  <c r="J685" i="2"/>
  <c r="A685" i="2"/>
  <c r="J684" i="2"/>
  <c r="A684" i="2"/>
  <c r="J683" i="2"/>
  <c r="A683" i="2"/>
  <c r="J682" i="2"/>
  <c r="A682" i="2"/>
  <c r="J681" i="2"/>
  <c r="A681" i="2"/>
  <c r="J680" i="2"/>
  <c r="A680" i="2"/>
  <c r="J679" i="2"/>
  <c r="A679" i="2"/>
  <c r="J678" i="2"/>
  <c r="A678" i="2"/>
  <c r="J677" i="2"/>
  <c r="A677" i="2"/>
  <c r="J676" i="2"/>
  <c r="A676" i="2"/>
  <c r="J675" i="2"/>
  <c r="A675" i="2"/>
  <c r="J674" i="2"/>
  <c r="A674" i="2"/>
  <c r="J673" i="2"/>
  <c r="A673" i="2"/>
  <c r="J672" i="2"/>
  <c r="A672" i="2"/>
  <c r="J671" i="2"/>
  <c r="A671" i="2"/>
  <c r="J670" i="2"/>
  <c r="A670" i="2"/>
  <c r="J669" i="2"/>
  <c r="A669" i="2"/>
  <c r="J668" i="2"/>
  <c r="A668" i="2"/>
  <c r="J667" i="2"/>
  <c r="A667" i="2"/>
  <c r="J666" i="2"/>
  <c r="A666" i="2"/>
  <c r="J665" i="2"/>
  <c r="A665" i="2"/>
  <c r="J664" i="2"/>
  <c r="A664" i="2"/>
  <c r="J663" i="2"/>
  <c r="A663" i="2"/>
  <c r="J662" i="2"/>
  <c r="A662" i="2"/>
  <c r="J661" i="2"/>
  <c r="A661" i="2"/>
  <c r="J660" i="2"/>
  <c r="A660" i="2"/>
  <c r="J659" i="2"/>
  <c r="A659" i="2"/>
  <c r="J658" i="2"/>
  <c r="A658" i="2"/>
  <c r="J657" i="2"/>
  <c r="A657" i="2"/>
  <c r="J656" i="2"/>
  <c r="A656" i="2"/>
  <c r="J655" i="2"/>
  <c r="A655" i="2"/>
  <c r="J654" i="2"/>
  <c r="A654" i="2"/>
  <c r="J653" i="2"/>
  <c r="A653" i="2"/>
  <c r="J652" i="2"/>
  <c r="A652" i="2"/>
  <c r="J651" i="2"/>
  <c r="A651" i="2"/>
  <c r="J650" i="2"/>
  <c r="A650" i="2"/>
  <c r="J649" i="2"/>
  <c r="A649" i="2"/>
  <c r="J648" i="2"/>
  <c r="A648" i="2"/>
  <c r="J647" i="2"/>
  <c r="A647" i="2"/>
  <c r="J646" i="2"/>
  <c r="A646" i="2"/>
  <c r="J645" i="2"/>
  <c r="A645" i="2"/>
  <c r="J644" i="2"/>
  <c r="A644" i="2"/>
  <c r="J643" i="2"/>
  <c r="A643" i="2"/>
  <c r="J642" i="2"/>
  <c r="A642" i="2"/>
  <c r="J641" i="2"/>
  <c r="A641" i="2"/>
  <c r="J640" i="2"/>
  <c r="A640" i="2"/>
  <c r="J639" i="2"/>
  <c r="A639" i="2"/>
  <c r="J638" i="2"/>
  <c r="A638" i="2"/>
  <c r="J637" i="2"/>
  <c r="A637" i="2"/>
  <c r="J636" i="2"/>
  <c r="A636" i="2"/>
  <c r="J635" i="2"/>
  <c r="A635" i="2"/>
  <c r="J634" i="2"/>
  <c r="A634" i="2"/>
  <c r="J633" i="2"/>
  <c r="A633" i="2"/>
  <c r="J632" i="2"/>
  <c r="A632" i="2"/>
  <c r="J631" i="2"/>
  <c r="A631" i="2"/>
  <c r="J630" i="2"/>
  <c r="A630" i="2"/>
  <c r="J629" i="2"/>
  <c r="A629" i="2"/>
  <c r="J628" i="2"/>
  <c r="A628" i="2"/>
  <c r="J627" i="2"/>
  <c r="A627" i="2"/>
  <c r="J626" i="2"/>
  <c r="A626" i="2"/>
  <c r="J625" i="2"/>
  <c r="A625" i="2"/>
  <c r="J624" i="2"/>
  <c r="A624" i="2"/>
  <c r="J623" i="2"/>
  <c r="A623" i="2"/>
  <c r="J622" i="2"/>
  <c r="A622" i="2"/>
  <c r="J621" i="2"/>
  <c r="A621" i="2"/>
  <c r="J620" i="2"/>
  <c r="A620" i="2"/>
  <c r="J619" i="2"/>
  <c r="A619" i="2"/>
  <c r="J618" i="2"/>
  <c r="A618" i="2"/>
  <c r="J617" i="2"/>
  <c r="A617" i="2"/>
  <c r="J616" i="2"/>
  <c r="A616" i="2"/>
  <c r="J615" i="2"/>
  <c r="A615" i="2"/>
  <c r="J614" i="2"/>
  <c r="A614" i="2"/>
  <c r="J613" i="2"/>
  <c r="A613" i="2"/>
  <c r="J612" i="2"/>
  <c r="A612" i="2"/>
  <c r="J611" i="2"/>
  <c r="A611" i="2"/>
  <c r="J610" i="2"/>
  <c r="A610" i="2"/>
  <c r="J609" i="2"/>
  <c r="A609" i="2"/>
  <c r="J608" i="2"/>
  <c r="A608" i="2"/>
  <c r="J607" i="2"/>
  <c r="A607" i="2"/>
  <c r="J606" i="2"/>
  <c r="A606" i="2"/>
  <c r="J605" i="2"/>
  <c r="A605" i="2"/>
  <c r="J604" i="2"/>
  <c r="A604" i="2"/>
  <c r="J603" i="2"/>
  <c r="A603" i="2"/>
  <c r="J602" i="2"/>
  <c r="A602" i="2"/>
  <c r="J601" i="2"/>
  <c r="A601" i="2"/>
  <c r="J600" i="2"/>
  <c r="A600" i="2"/>
  <c r="J599" i="2"/>
  <c r="A599" i="2"/>
  <c r="J598" i="2"/>
  <c r="A598" i="2"/>
  <c r="J597" i="2"/>
  <c r="A597" i="2"/>
  <c r="J596" i="2"/>
  <c r="A596" i="2"/>
  <c r="J595" i="2"/>
  <c r="A595" i="2"/>
  <c r="J594" i="2"/>
  <c r="A594" i="2"/>
  <c r="J593" i="2"/>
  <c r="A593" i="2"/>
  <c r="J592" i="2"/>
  <c r="A592" i="2"/>
  <c r="J591" i="2"/>
  <c r="A591" i="2"/>
  <c r="J590" i="2"/>
  <c r="A590" i="2"/>
  <c r="J589" i="2"/>
  <c r="A589" i="2"/>
  <c r="J588" i="2"/>
  <c r="A588" i="2"/>
  <c r="J587" i="2"/>
  <c r="A587" i="2"/>
  <c r="J586" i="2"/>
  <c r="A586" i="2"/>
  <c r="J585" i="2"/>
  <c r="A585" i="2"/>
  <c r="J584" i="2"/>
  <c r="A584" i="2"/>
  <c r="J583" i="2"/>
  <c r="A583" i="2"/>
  <c r="J582" i="2"/>
  <c r="A582" i="2"/>
  <c r="J581" i="2"/>
  <c r="A581" i="2"/>
  <c r="J580" i="2"/>
  <c r="A580" i="2"/>
  <c r="J579" i="2"/>
  <c r="A579" i="2"/>
  <c r="J578" i="2"/>
  <c r="A578" i="2"/>
  <c r="J577" i="2"/>
  <c r="A577" i="2"/>
  <c r="J576" i="2"/>
  <c r="A576" i="2"/>
  <c r="J575" i="2"/>
  <c r="A575" i="2"/>
  <c r="J574" i="2"/>
  <c r="A574" i="2"/>
  <c r="J573" i="2"/>
  <c r="A573" i="2"/>
  <c r="J572" i="2"/>
  <c r="A572" i="2"/>
  <c r="J571" i="2"/>
  <c r="A571" i="2"/>
  <c r="J570" i="2"/>
  <c r="A570" i="2"/>
  <c r="J569" i="2"/>
  <c r="A569" i="2"/>
  <c r="J568" i="2"/>
  <c r="A568" i="2"/>
  <c r="J567" i="2"/>
  <c r="A567" i="2"/>
  <c r="J566" i="2"/>
  <c r="A566" i="2"/>
  <c r="J565" i="2"/>
  <c r="A565" i="2"/>
  <c r="J564" i="2"/>
  <c r="A564" i="2"/>
  <c r="J563" i="2"/>
  <c r="A563" i="2"/>
  <c r="J562" i="2"/>
  <c r="A562" i="2"/>
  <c r="J561" i="2"/>
  <c r="A561" i="2"/>
  <c r="J560" i="2"/>
  <c r="A560" i="2"/>
  <c r="J559" i="2"/>
  <c r="A559" i="2"/>
  <c r="J558" i="2"/>
  <c r="A558" i="2"/>
  <c r="J557" i="2"/>
  <c r="A557" i="2"/>
  <c r="J556" i="2"/>
  <c r="A556" i="2"/>
  <c r="J555" i="2"/>
  <c r="A555" i="2"/>
  <c r="J554" i="2"/>
  <c r="A554" i="2"/>
  <c r="J553" i="2"/>
  <c r="A553" i="2"/>
  <c r="J552" i="2"/>
  <c r="A552" i="2"/>
  <c r="J551" i="2"/>
  <c r="A551" i="2"/>
  <c r="J550" i="2"/>
  <c r="A550" i="2"/>
  <c r="J549" i="2"/>
  <c r="A549" i="2"/>
  <c r="J548" i="2"/>
  <c r="A548" i="2"/>
  <c r="J547" i="2"/>
  <c r="A547" i="2"/>
  <c r="J546" i="2"/>
  <c r="A546" i="2"/>
  <c r="J545" i="2"/>
  <c r="A545" i="2"/>
  <c r="J544" i="2"/>
  <c r="A544" i="2"/>
  <c r="J543" i="2"/>
  <c r="A543" i="2"/>
  <c r="J542" i="2"/>
  <c r="A542" i="2"/>
  <c r="J541" i="2"/>
  <c r="A541" i="2"/>
  <c r="J540" i="2"/>
  <c r="A540" i="2"/>
  <c r="J539" i="2"/>
  <c r="A539" i="2"/>
  <c r="J538" i="2"/>
  <c r="A538" i="2"/>
  <c r="J537" i="2"/>
  <c r="A537" i="2"/>
  <c r="J536" i="2"/>
  <c r="A536" i="2"/>
  <c r="J535" i="2"/>
  <c r="A535" i="2"/>
  <c r="J534" i="2"/>
  <c r="A534" i="2"/>
  <c r="J533" i="2"/>
  <c r="A533" i="2"/>
  <c r="J532" i="2"/>
  <c r="A532" i="2"/>
  <c r="J531" i="2"/>
  <c r="A531" i="2"/>
  <c r="J530" i="2"/>
  <c r="A530" i="2"/>
  <c r="J529" i="2"/>
  <c r="A529" i="2"/>
  <c r="J528" i="2"/>
  <c r="A528" i="2"/>
  <c r="J527" i="2"/>
  <c r="A527" i="2"/>
  <c r="J526" i="2"/>
  <c r="A526" i="2"/>
  <c r="J525" i="2"/>
  <c r="A525" i="2"/>
  <c r="J524" i="2"/>
  <c r="A524" i="2"/>
  <c r="J523" i="2"/>
  <c r="A523" i="2"/>
  <c r="J522" i="2"/>
  <c r="A522" i="2"/>
  <c r="J521" i="2"/>
  <c r="A521" i="2"/>
  <c r="J520" i="2"/>
  <c r="A520" i="2"/>
  <c r="J519" i="2"/>
  <c r="A519" i="2"/>
  <c r="J518" i="2"/>
  <c r="A518" i="2"/>
  <c r="J517" i="2"/>
  <c r="A517" i="2"/>
  <c r="J516" i="2"/>
  <c r="A516" i="2"/>
  <c r="J515" i="2"/>
  <c r="A515" i="2"/>
  <c r="J514" i="2"/>
  <c r="A514" i="2"/>
  <c r="J513" i="2"/>
  <c r="A513" i="2"/>
  <c r="J512" i="2"/>
  <c r="A512" i="2"/>
  <c r="J511" i="2"/>
  <c r="A511" i="2"/>
  <c r="J510" i="2"/>
  <c r="A510" i="2"/>
  <c r="J509" i="2"/>
  <c r="A509" i="2"/>
  <c r="J508" i="2"/>
  <c r="A508" i="2"/>
  <c r="J507" i="2"/>
  <c r="A507" i="2"/>
  <c r="J506" i="2"/>
  <c r="A506" i="2"/>
  <c r="J505" i="2"/>
  <c r="A505" i="2"/>
  <c r="J504" i="2"/>
  <c r="A504" i="2"/>
  <c r="J503" i="2"/>
  <c r="A503" i="2"/>
  <c r="J502" i="2"/>
  <c r="A502" i="2"/>
  <c r="J501" i="2"/>
  <c r="A501" i="2"/>
  <c r="J500" i="2"/>
  <c r="A500" i="2"/>
  <c r="J499" i="2"/>
  <c r="A499" i="2"/>
  <c r="J498" i="2"/>
  <c r="A498" i="2"/>
  <c r="J497" i="2"/>
  <c r="A497" i="2"/>
  <c r="J496" i="2"/>
  <c r="A496" i="2"/>
  <c r="J495" i="2"/>
  <c r="A495" i="2"/>
  <c r="J494" i="2"/>
  <c r="A494" i="2"/>
  <c r="J493" i="2"/>
  <c r="A493" i="2"/>
  <c r="J492" i="2"/>
  <c r="A492" i="2"/>
  <c r="J491" i="2"/>
  <c r="A491" i="2"/>
  <c r="J490" i="2"/>
  <c r="A490" i="2"/>
  <c r="J489" i="2"/>
  <c r="A489" i="2"/>
  <c r="J488" i="2"/>
  <c r="A488" i="2"/>
  <c r="J487" i="2"/>
  <c r="A487" i="2"/>
  <c r="J486" i="2"/>
  <c r="A486" i="2"/>
  <c r="J485" i="2"/>
  <c r="A485" i="2"/>
  <c r="J484" i="2"/>
  <c r="A484" i="2"/>
  <c r="J483" i="2"/>
  <c r="A483" i="2"/>
  <c r="J482" i="2"/>
  <c r="A482" i="2"/>
  <c r="J481" i="2"/>
  <c r="A481" i="2"/>
  <c r="J480" i="2"/>
  <c r="A480" i="2"/>
  <c r="J479" i="2"/>
  <c r="A479" i="2"/>
  <c r="J478" i="2"/>
  <c r="A478" i="2"/>
  <c r="J477" i="2"/>
  <c r="A477" i="2"/>
  <c r="J476" i="2"/>
  <c r="A476" i="2"/>
  <c r="J475" i="2"/>
  <c r="A475" i="2"/>
  <c r="J474" i="2"/>
  <c r="A474" i="2"/>
  <c r="J473" i="2"/>
  <c r="A473" i="2"/>
  <c r="J472" i="2"/>
  <c r="A472" i="2"/>
  <c r="J471" i="2"/>
  <c r="A471" i="2"/>
  <c r="J470" i="2"/>
  <c r="A470" i="2"/>
  <c r="J469" i="2"/>
  <c r="A469" i="2"/>
  <c r="J468" i="2"/>
  <c r="A468" i="2"/>
  <c r="J467" i="2"/>
  <c r="A467" i="2"/>
  <c r="J466" i="2"/>
  <c r="A466" i="2"/>
  <c r="J465" i="2"/>
  <c r="A465" i="2"/>
  <c r="J464" i="2"/>
  <c r="A464" i="2"/>
  <c r="J463" i="2"/>
  <c r="A463" i="2"/>
  <c r="J462" i="2"/>
  <c r="A462" i="2"/>
  <c r="J461" i="2"/>
  <c r="A461" i="2"/>
  <c r="J460" i="2"/>
  <c r="A460" i="2"/>
  <c r="J459" i="2"/>
  <c r="A459" i="2"/>
  <c r="J458" i="2"/>
  <c r="A458" i="2"/>
  <c r="J457" i="2"/>
  <c r="A457" i="2"/>
  <c r="J456" i="2"/>
  <c r="A456" i="2"/>
  <c r="J455" i="2"/>
  <c r="A455" i="2"/>
  <c r="J454" i="2"/>
  <c r="A454" i="2"/>
  <c r="J453" i="2"/>
  <c r="A453" i="2"/>
  <c r="J452" i="2"/>
  <c r="A452" i="2"/>
  <c r="J451" i="2"/>
  <c r="A451" i="2"/>
  <c r="J450" i="2"/>
  <c r="A450" i="2"/>
  <c r="J449" i="2"/>
  <c r="A449" i="2"/>
  <c r="J448" i="2"/>
  <c r="A448" i="2"/>
  <c r="J447" i="2"/>
  <c r="A447" i="2"/>
  <c r="J446" i="2"/>
  <c r="A446" i="2"/>
  <c r="J445" i="2"/>
  <c r="A445" i="2"/>
  <c r="J444" i="2"/>
  <c r="A444" i="2"/>
  <c r="J443" i="2"/>
  <c r="A443" i="2"/>
  <c r="J442" i="2"/>
  <c r="A442" i="2"/>
  <c r="J441" i="2"/>
  <c r="A441" i="2"/>
  <c r="J440" i="2"/>
  <c r="A440" i="2"/>
  <c r="J439" i="2"/>
  <c r="A439" i="2"/>
  <c r="J438" i="2"/>
  <c r="A438" i="2"/>
  <c r="J437" i="2"/>
  <c r="A437" i="2"/>
  <c r="J436" i="2"/>
  <c r="A436" i="2"/>
  <c r="J435" i="2"/>
  <c r="A435" i="2"/>
  <c r="J434" i="2"/>
  <c r="A434" i="2"/>
  <c r="J433" i="2"/>
  <c r="A433" i="2"/>
  <c r="J432" i="2"/>
  <c r="A432" i="2"/>
  <c r="J431" i="2"/>
  <c r="A431" i="2"/>
  <c r="J430" i="2"/>
  <c r="A430" i="2"/>
  <c r="J429" i="2"/>
  <c r="A429" i="2"/>
  <c r="J428" i="2"/>
  <c r="A428" i="2"/>
  <c r="J427" i="2"/>
  <c r="A427" i="2"/>
  <c r="J426" i="2"/>
  <c r="A426" i="2"/>
  <c r="J425" i="2"/>
  <c r="A425" i="2"/>
  <c r="J424" i="2"/>
  <c r="A424" i="2"/>
  <c r="J423" i="2"/>
  <c r="A423" i="2"/>
  <c r="J422" i="2"/>
  <c r="A422" i="2"/>
  <c r="J421" i="2"/>
  <c r="A421" i="2"/>
  <c r="J420" i="2"/>
  <c r="A420" i="2"/>
  <c r="J419" i="2"/>
  <c r="A419" i="2"/>
  <c r="J418" i="2"/>
  <c r="A418" i="2"/>
  <c r="J417" i="2"/>
  <c r="A417" i="2"/>
  <c r="J416" i="2"/>
  <c r="A416" i="2"/>
  <c r="J415" i="2"/>
  <c r="A415" i="2"/>
  <c r="J414" i="2"/>
  <c r="A414" i="2"/>
  <c r="J413" i="2"/>
  <c r="A413" i="2"/>
  <c r="J412" i="2"/>
  <c r="A412" i="2"/>
  <c r="J411" i="2"/>
  <c r="A411" i="2"/>
  <c r="J410" i="2"/>
  <c r="A410" i="2"/>
  <c r="J409" i="2"/>
  <c r="A409" i="2"/>
  <c r="J408" i="2"/>
  <c r="A408" i="2"/>
  <c r="J407" i="2"/>
  <c r="A407" i="2"/>
  <c r="J406" i="2"/>
  <c r="A406" i="2"/>
  <c r="J405" i="2"/>
  <c r="A405" i="2"/>
  <c r="J404" i="2"/>
  <c r="A404" i="2"/>
  <c r="J403" i="2"/>
  <c r="A403" i="2"/>
  <c r="J402" i="2"/>
  <c r="A402" i="2"/>
  <c r="J401" i="2"/>
  <c r="A401" i="2"/>
  <c r="J400" i="2"/>
  <c r="A400" i="2"/>
  <c r="J399" i="2"/>
  <c r="A399" i="2"/>
  <c r="J398" i="2"/>
  <c r="A398" i="2"/>
  <c r="J397" i="2"/>
  <c r="A397" i="2"/>
  <c r="J396" i="2"/>
  <c r="A396" i="2"/>
  <c r="J395" i="2"/>
  <c r="A395" i="2"/>
  <c r="J394" i="2"/>
  <c r="A394" i="2"/>
  <c r="J393" i="2"/>
  <c r="A393" i="2"/>
  <c r="J392" i="2"/>
  <c r="A392" i="2"/>
  <c r="J391" i="2"/>
  <c r="A391" i="2"/>
  <c r="J390" i="2"/>
  <c r="A390" i="2"/>
  <c r="J389" i="2"/>
  <c r="A389" i="2"/>
  <c r="J388" i="2"/>
  <c r="A388" i="2"/>
  <c r="J387" i="2"/>
  <c r="A387" i="2"/>
  <c r="J386" i="2"/>
  <c r="A386" i="2"/>
  <c r="J385" i="2"/>
  <c r="A385" i="2"/>
  <c r="J384" i="2"/>
  <c r="A384" i="2"/>
  <c r="J383" i="2"/>
  <c r="A383" i="2"/>
  <c r="J382" i="2"/>
  <c r="A382" i="2"/>
  <c r="J381" i="2"/>
  <c r="A381" i="2"/>
  <c r="J380" i="2"/>
  <c r="A380" i="2"/>
  <c r="J379" i="2"/>
  <c r="A379" i="2"/>
  <c r="J378" i="2"/>
  <c r="A378" i="2"/>
  <c r="J377" i="2"/>
  <c r="A377" i="2"/>
  <c r="J376" i="2"/>
  <c r="A376" i="2"/>
  <c r="J375" i="2"/>
  <c r="A375" i="2"/>
  <c r="J374" i="2"/>
  <c r="A374" i="2"/>
  <c r="J373" i="2"/>
  <c r="A373" i="2"/>
  <c r="J372" i="2"/>
  <c r="A372" i="2"/>
  <c r="J371" i="2"/>
  <c r="A371" i="2"/>
  <c r="J370" i="2"/>
  <c r="A370" i="2"/>
  <c r="J369" i="2"/>
  <c r="A369" i="2"/>
  <c r="J368" i="2"/>
  <c r="A368" i="2"/>
  <c r="J367" i="2"/>
  <c r="A367" i="2"/>
  <c r="J366" i="2"/>
  <c r="A366" i="2"/>
  <c r="J365" i="2"/>
  <c r="A365" i="2"/>
  <c r="J364" i="2"/>
  <c r="A364" i="2"/>
  <c r="J363" i="2"/>
  <c r="A363" i="2"/>
  <c r="J362" i="2"/>
  <c r="A362" i="2"/>
  <c r="J361" i="2"/>
  <c r="A361" i="2"/>
  <c r="J360" i="2"/>
  <c r="A360" i="2"/>
  <c r="J359" i="2"/>
  <c r="A359" i="2"/>
  <c r="J358" i="2"/>
  <c r="A358" i="2"/>
  <c r="J357" i="2"/>
  <c r="A357" i="2"/>
  <c r="J356" i="2"/>
  <c r="A356" i="2"/>
  <c r="J355" i="2"/>
  <c r="A355" i="2"/>
  <c r="J354" i="2"/>
  <c r="A354" i="2"/>
  <c r="J353" i="2"/>
  <c r="A353" i="2"/>
  <c r="J352" i="2"/>
  <c r="A352" i="2"/>
  <c r="J351" i="2"/>
  <c r="A351" i="2"/>
  <c r="J350" i="2"/>
  <c r="A350" i="2"/>
  <c r="J349" i="2"/>
  <c r="A349" i="2"/>
  <c r="J348" i="2"/>
  <c r="A348" i="2"/>
  <c r="J347" i="2"/>
  <c r="A347" i="2"/>
  <c r="J346" i="2"/>
  <c r="A346" i="2"/>
  <c r="J345" i="2"/>
  <c r="A345" i="2"/>
  <c r="J344" i="2"/>
  <c r="A344" i="2"/>
  <c r="J343" i="2"/>
  <c r="A343" i="2"/>
  <c r="J342" i="2"/>
  <c r="A342" i="2"/>
  <c r="J341" i="2"/>
  <c r="A341" i="2"/>
  <c r="J340" i="2"/>
  <c r="A340" i="2"/>
  <c r="J339" i="2"/>
  <c r="A339" i="2"/>
  <c r="J338" i="2"/>
  <c r="A338" i="2"/>
  <c r="J337" i="2"/>
  <c r="A337" i="2"/>
  <c r="J336" i="2"/>
  <c r="A336" i="2"/>
  <c r="J335" i="2"/>
  <c r="A335" i="2"/>
  <c r="J334" i="2"/>
  <c r="A334" i="2"/>
  <c r="J333" i="2"/>
  <c r="A333" i="2"/>
  <c r="J332" i="2"/>
  <c r="A332" i="2"/>
  <c r="J331" i="2"/>
  <c r="A331" i="2"/>
  <c r="J330" i="2"/>
  <c r="A330" i="2"/>
  <c r="J329" i="2"/>
  <c r="A329" i="2"/>
  <c r="J328" i="2"/>
  <c r="A328" i="2"/>
  <c r="J327" i="2"/>
  <c r="A327" i="2"/>
  <c r="J326" i="2"/>
  <c r="A326" i="2"/>
  <c r="J325" i="2"/>
  <c r="A325" i="2"/>
  <c r="J324" i="2"/>
  <c r="A324" i="2"/>
  <c r="J323" i="2"/>
  <c r="A323" i="2"/>
  <c r="J322" i="2"/>
  <c r="A322" i="2"/>
  <c r="J321" i="2"/>
  <c r="A321" i="2"/>
  <c r="J320" i="2"/>
  <c r="A320" i="2"/>
  <c r="J319" i="2"/>
  <c r="A319" i="2"/>
  <c r="J318" i="2"/>
  <c r="A318" i="2"/>
  <c r="J317" i="2"/>
  <c r="A317" i="2"/>
  <c r="J316" i="2"/>
  <c r="A316" i="2"/>
  <c r="J315" i="2"/>
  <c r="A315" i="2"/>
  <c r="J314" i="2"/>
  <c r="A314" i="2"/>
  <c r="J313" i="2"/>
  <c r="A313" i="2"/>
  <c r="J312" i="2"/>
  <c r="A312" i="2"/>
  <c r="J311" i="2"/>
  <c r="A311" i="2"/>
  <c r="J310" i="2"/>
  <c r="A310" i="2"/>
  <c r="J309" i="2"/>
  <c r="A309" i="2"/>
  <c r="J308" i="2"/>
  <c r="A308" i="2"/>
  <c r="J307" i="2"/>
  <c r="A307" i="2"/>
  <c r="J306" i="2"/>
  <c r="A306" i="2"/>
  <c r="J305" i="2"/>
  <c r="A305" i="2"/>
  <c r="J304" i="2"/>
  <c r="A304" i="2"/>
  <c r="J303" i="2"/>
  <c r="A303" i="2"/>
  <c r="J302" i="2"/>
  <c r="A302" i="2"/>
  <c r="J301" i="2"/>
  <c r="A301" i="2"/>
  <c r="J300" i="2"/>
  <c r="A300" i="2"/>
  <c r="J299" i="2"/>
  <c r="A299" i="2"/>
  <c r="J298" i="2"/>
  <c r="A298" i="2"/>
  <c r="J297" i="2"/>
  <c r="A297" i="2"/>
  <c r="J296" i="2"/>
  <c r="A296" i="2"/>
  <c r="J295" i="2"/>
  <c r="A295" i="2"/>
  <c r="J294" i="2"/>
  <c r="A294" i="2"/>
  <c r="J293" i="2"/>
  <c r="A293" i="2"/>
  <c r="J292" i="2"/>
  <c r="A292" i="2"/>
  <c r="J291" i="2"/>
  <c r="A291" i="2"/>
  <c r="J290" i="2"/>
  <c r="A290" i="2"/>
  <c r="J289" i="2"/>
  <c r="A289" i="2"/>
  <c r="J288" i="2"/>
  <c r="A288" i="2"/>
  <c r="J287" i="2"/>
  <c r="A287" i="2"/>
  <c r="J286" i="2"/>
  <c r="A286" i="2"/>
  <c r="J285" i="2"/>
  <c r="A285" i="2"/>
  <c r="J284" i="2"/>
  <c r="A284" i="2"/>
  <c r="J283" i="2"/>
  <c r="A283" i="2"/>
  <c r="J282" i="2"/>
  <c r="A282" i="2"/>
  <c r="J281" i="2"/>
  <c r="A281" i="2"/>
  <c r="J280" i="2"/>
  <c r="A280" i="2"/>
  <c r="J279" i="2"/>
  <c r="A279" i="2"/>
  <c r="J278" i="2"/>
  <c r="A278" i="2"/>
  <c r="J277" i="2"/>
  <c r="A277" i="2"/>
  <c r="J276" i="2"/>
  <c r="A276" i="2"/>
  <c r="J275" i="2"/>
  <c r="A275" i="2"/>
  <c r="J274" i="2"/>
  <c r="A274" i="2"/>
  <c r="J273" i="2"/>
  <c r="A273" i="2"/>
  <c r="J272" i="2"/>
  <c r="A272" i="2"/>
  <c r="J271" i="2"/>
  <c r="A271" i="2"/>
  <c r="J270" i="2"/>
  <c r="A270" i="2"/>
  <c r="J269" i="2"/>
  <c r="A269" i="2"/>
  <c r="J268" i="2"/>
  <c r="A268" i="2"/>
  <c r="J267" i="2"/>
  <c r="A267" i="2"/>
  <c r="J266" i="2"/>
  <c r="A266" i="2"/>
  <c r="J265" i="2"/>
  <c r="A265" i="2"/>
  <c r="J264" i="2"/>
  <c r="A264" i="2"/>
  <c r="J263" i="2"/>
  <c r="A263" i="2"/>
  <c r="J262" i="2"/>
  <c r="A262" i="2"/>
  <c r="J261" i="2"/>
  <c r="A261" i="2"/>
  <c r="J260" i="2"/>
  <c r="A260" i="2"/>
  <c r="J259" i="2"/>
  <c r="A259" i="2"/>
  <c r="J258" i="2"/>
  <c r="A258" i="2"/>
  <c r="J257" i="2"/>
  <c r="A257" i="2"/>
  <c r="J256" i="2"/>
  <c r="A256" i="2"/>
  <c r="J255" i="2"/>
  <c r="A255" i="2"/>
  <c r="J254" i="2"/>
  <c r="A254" i="2"/>
  <c r="J253" i="2"/>
  <c r="A253" i="2"/>
  <c r="J252" i="2"/>
  <c r="A252" i="2"/>
  <c r="J251" i="2"/>
  <c r="A251" i="2"/>
  <c r="J250" i="2"/>
  <c r="A250" i="2"/>
  <c r="J249" i="2"/>
  <c r="A249" i="2"/>
  <c r="J248" i="2"/>
  <c r="A248" i="2"/>
  <c r="J247" i="2"/>
  <c r="A247" i="2"/>
  <c r="J246" i="2"/>
  <c r="A246" i="2"/>
  <c r="J245" i="2"/>
  <c r="A245" i="2"/>
  <c r="J244" i="2"/>
  <c r="A244" i="2"/>
  <c r="J243" i="2"/>
  <c r="A243" i="2"/>
  <c r="J242" i="2"/>
  <c r="A242" i="2"/>
  <c r="J241" i="2"/>
  <c r="A241" i="2"/>
  <c r="J240" i="2"/>
  <c r="A240" i="2"/>
  <c r="J239" i="2"/>
  <c r="A239" i="2"/>
  <c r="J238" i="2"/>
  <c r="A238" i="2"/>
  <c r="J237" i="2"/>
  <c r="A237" i="2"/>
  <c r="J236" i="2"/>
  <c r="A236" i="2"/>
  <c r="J235" i="2"/>
  <c r="A235" i="2"/>
  <c r="J234" i="2"/>
  <c r="A234" i="2"/>
  <c r="J233" i="2"/>
  <c r="A233" i="2"/>
  <c r="J232" i="2"/>
  <c r="A232" i="2"/>
  <c r="J231" i="2"/>
  <c r="A231" i="2"/>
  <c r="J230" i="2"/>
  <c r="A230" i="2"/>
  <c r="J229" i="2"/>
  <c r="A229" i="2"/>
  <c r="J228" i="2"/>
  <c r="A228" i="2"/>
  <c r="J227" i="2"/>
  <c r="A227" i="2"/>
  <c r="J226" i="2"/>
  <c r="A226" i="2"/>
  <c r="J225" i="2"/>
  <c r="A225" i="2"/>
  <c r="J224" i="2"/>
  <c r="A224" i="2"/>
  <c r="J223" i="2"/>
  <c r="A223" i="2"/>
  <c r="J222" i="2"/>
  <c r="A222" i="2"/>
  <c r="J221" i="2"/>
  <c r="A221" i="2"/>
  <c r="J220" i="2"/>
  <c r="A220" i="2"/>
  <c r="J219" i="2"/>
  <c r="A219" i="2"/>
  <c r="J218" i="2"/>
  <c r="A218" i="2"/>
  <c r="J217" i="2"/>
  <c r="A217" i="2"/>
  <c r="J216" i="2"/>
  <c r="A216" i="2"/>
  <c r="J215" i="2"/>
  <c r="A215" i="2"/>
  <c r="J214" i="2"/>
  <c r="A214" i="2"/>
  <c r="J213" i="2"/>
  <c r="A213" i="2"/>
  <c r="J212" i="2"/>
  <c r="A212" i="2"/>
  <c r="J211" i="2"/>
  <c r="A211" i="2"/>
  <c r="J210" i="2"/>
  <c r="A210" i="2"/>
  <c r="J209" i="2"/>
  <c r="A209" i="2"/>
  <c r="J208" i="2"/>
  <c r="A208" i="2"/>
  <c r="J207" i="2"/>
  <c r="A207" i="2"/>
  <c r="J206" i="2"/>
  <c r="A206" i="2"/>
  <c r="J205" i="2"/>
  <c r="A205" i="2"/>
  <c r="J204" i="2"/>
  <c r="A204" i="2"/>
  <c r="J203" i="2"/>
  <c r="A203" i="2"/>
  <c r="J202" i="2"/>
  <c r="A202" i="2"/>
  <c r="J201" i="2"/>
  <c r="A201" i="2"/>
  <c r="J200" i="2"/>
  <c r="A200" i="2"/>
  <c r="J199" i="2"/>
  <c r="A199" i="2"/>
  <c r="J198" i="2"/>
  <c r="A198" i="2"/>
  <c r="J197" i="2"/>
  <c r="A197" i="2"/>
  <c r="J196" i="2"/>
  <c r="A196" i="2"/>
  <c r="J195" i="2"/>
  <c r="A195" i="2"/>
  <c r="J194" i="2"/>
  <c r="A194" i="2"/>
  <c r="J193" i="2"/>
  <c r="A193" i="2"/>
  <c r="J192" i="2"/>
  <c r="A192" i="2"/>
  <c r="J191" i="2"/>
  <c r="A191" i="2"/>
  <c r="J190" i="2"/>
  <c r="A190" i="2"/>
  <c r="J189" i="2"/>
  <c r="A189" i="2"/>
  <c r="J188" i="2"/>
  <c r="A188" i="2"/>
  <c r="J187" i="2"/>
  <c r="A187" i="2"/>
  <c r="J186" i="2"/>
  <c r="A186" i="2"/>
  <c r="J185" i="2"/>
  <c r="A185" i="2"/>
  <c r="J184" i="2"/>
  <c r="A184" i="2"/>
  <c r="J183" i="2"/>
  <c r="A183" i="2"/>
  <c r="J182" i="2"/>
  <c r="A182" i="2"/>
  <c r="J181" i="2"/>
  <c r="A181" i="2"/>
  <c r="J180" i="2"/>
  <c r="A180" i="2"/>
  <c r="J179" i="2"/>
  <c r="A179" i="2"/>
  <c r="J178" i="2"/>
  <c r="A178" i="2"/>
  <c r="J177" i="2"/>
  <c r="A177" i="2"/>
  <c r="J176" i="2"/>
  <c r="A176" i="2"/>
  <c r="J175" i="2"/>
  <c r="A175" i="2"/>
  <c r="J174" i="2"/>
  <c r="A174" i="2"/>
  <c r="J173" i="2"/>
  <c r="A173" i="2"/>
  <c r="J172" i="2"/>
  <c r="A172" i="2"/>
  <c r="J171" i="2"/>
  <c r="A171" i="2"/>
  <c r="J170" i="2"/>
  <c r="A170" i="2"/>
  <c r="J169" i="2"/>
  <c r="A169" i="2"/>
  <c r="J168" i="2"/>
  <c r="A168" i="2"/>
  <c r="J167" i="2"/>
  <c r="A167" i="2"/>
  <c r="J166" i="2"/>
  <c r="A166" i="2"/>
  <c r="J165" i="2"/>
  <c r="A165" i="2"/>
  <c r="J164" i="2"/>
  <c r="A164" i="2"/>
  <c r="J163" i="2"/>
  <c r="A163" i="2"/>
  <c r="J162" i="2"/>
  <c r="A162" i="2"/>
  <c r="J161" i="2"/>
  <c r="A161" i="2"/>
  <c r="J160" i="2"/>
  <c r="A160" i="2"/>
  <c r="J159" i="2"/>
  <c r="A159" i="2"/>
  <c r="J158" i="2"/>
  <c r="A158" i="2"/>
  <c r="J157" i="2"/>
  <c r="A157" i="2"/>
  <c r="J156" i="2"/>
  <c r="A156" i="2"/>
  <c r="J155" i="2"/>
  <c r="A155" i="2"/>
  <c r="J154" i="2"/>
  <c r="A154" i="2"/>
  <c r="J153" i="2"/>
  <c r="A153" i="2"/>
  <c r="J152" i="2"/>
  <c r="A152" i="2"/>
  <c r="J151" i="2"/>
  <c r="A151" i="2"/>
  <c r="J150" i="2"/>
  <c r="A150" i="2"/>
  <c r="J149" i="2"/>
  <c r="A149" i="2"/>
  <c r="J148" i="2"/>
  <c r="A148" i="2"/>
  <c r="J147" i="2"/>
  <c r="A147" i="2"/>
  <c r="J146" i="2"/>
  <c r="A146" i="2"/>
  <c r="J145" i="2"/>
  <c r="A145" i="2"/>
  <c r="J144" i="2"/>
  <c r="A144" i="2"/>
  <c r="J143" i="2"/>
  <c r="A143" i="2"/>
  <c r="J142" i="2"/>
  <c r="A142" i="2"/>
  <c r="J141" i="2"/>
  <c r="A141" i="2"/>
  <c r="J140" i="2"/>
  <c r="A140" i="2"/>
  <c r="J139" i="2"/>
  <c r="A139" i="2"/>
  <c r="J138" i="2"/>
  <c r="A138" i="2"/>
  <c r="J137" i="2"/>
  <c r="A137" i="2"/>
  <c r="J136" i="2"/>
  <c r="A136" i="2"/>
  <c r="J135" i="2"/>
  <c r="A135" i="2"/>
  <c r="J134" i="2"/>
  <c r="A134" i="2"/>
  <c r="J133" i="2"/>
  <c r="A133" i="2"/>
  <c r="J132" i="2"/>
  <c r="A132" i="2"/>
  <c r="J131" i="2"/>
  <c r="A131" i="2"/>
  <c r="J130" i="2"/>
  <c r="A130" i="2"/>
  <c r="J129" i="2"/>
  <c r="A129" i="2"/>
  <c r="J128" i="2"/>
  <c r="A128" i="2"/>
  <c r="J127" i="2"/>
  <c r="A127" i="2"/>
  <c r="J126" i="2"/>
  <c r="A126" i="2"/>
  <c r="J125" i="2"/>
  <c r="A125" i="2"/>
  <c r="J124" i="2"/>
  <c r="A124" i="2"/>
  <c r="J123" i="2"/>
  <c r="A123" i="2"/>
  <c r="J122" i="2"/>
  <c r="A122" i="2"/>
  <c r="J121" i="2"/>
  <c r="A121" i="2"/>
  <c r="J120" i="2"/>
  <c r="A120" i="2"/>
  <c r="J119" i="2"/>
  <c r="A119" i="2"/>
  <c r="J118" i="2"/>
  <c r="A118" i="2"/>
  <c r="J117" i="2"/>
  <c r="A117" i="2"/>
  <c r="J116" i="2"/>
  <c r="A116" i="2"/>
  <c r="J115" i="2"/>
  <c r="A115" i="2"/>
  <c r="J114" i="2"/>
  <c r="A114" i="2"/>
  <c r="J113" i="2"/>
  <c r="A113" i="2"/>
  <c r="J112" i="2"/>
  <c r="A112" i="2"/>
  <c r="J111" i="2"/>
  <c r="A111" i="2"/>
  <c r="J110" i="2"/>
  <c r="A110" i="2"/>
  <c r="J109" i="2"/>
  <c r="A109" i="2"/>
  <c r="J108" i="2"/>
  <c r="A108" i="2"/>
  <c r="J107" i="2"/>
  <c r="A107" i="2"/>
  <c r="J106" i="2"/>
  <c r="A106" i="2"/>
  <c r="J105" i="2"/>
  <c r="A105" i="2"/>
  <c r="J104" i="2"/>
  <c r="A104" i="2"/>
  <c r="J103" i="2"/>
  <c r="A103" i="2"/>
  <c r="J102" i="2"/>
  <c r="A102" i="2"/>
  <c r="J101" i="2"/>
  <c r="A101" i="2"/>
  <c r="J100" i="2"/>
  <c r="A100" i="2"/>
  <c r="J99" i="2"/>
  <c r="A99" i="2"/>
  <c r="J98" i="2"/>
  <c r="A98" i="2"/>
  <c r="J97" i="2"/>
  <c r="A97" i="2"/>
  <c r="J96" i="2"/>
  <c r="A96" i="2"/>
  <c r="J95" i="2"/>
  <c r="A95" i="2"/>
  <c r="J94" i="2"/>
  <c r="A94" i="2"/>
  <c r="J93" i="2"/>
  <c r="A93" i="2"/>
  <c r="J92" i="2"/>
  <c r="A92" i="2"/>
  <c r="J91" i="2"/>
  <c r="A91" i="2"/>
  <c r="J90" i="2"/>
  <c r="A90" i="2"/>
  <c r="J89" i="2"/>
  <c r="A89" i="2"/>
  <c r="J88" i="2"/>
  <c r="A88" i="2"/>
  <c r="J87" i="2"/>
  <c r="A87" i="2"/>
  <c r="J86" i="2"/>
  <c r="A86" i="2"/>
  <c r="J85" i="2"/>
  <c r="A85" i="2"/>
  <c r="J84" i="2"/>
  <c r="A84" i="2"/>
  <c r="J83" i="2"/>
  <c r="A83" i="2"/>
  <c r="J82" i="2"/>
  <c r="A82" i="2"/>
  <c r="J81" i="2"/>
  <c r="A81" i="2"/>
  <c r="J80" i="2"/>
  <c r="A80" i="2"/>
  <c r="J79" i="2"/>
  <c r="A79" i="2"/>
  <c r="J78" i="2"/>
  <c r="A78" i="2"/>
  <c r="J77" i="2"/>
  <c r="A77" i="2"/>
  <c r="J76" i="2"/>
  <c r="A76" i="2"/>
  <c r="J75" i="2"/>
  <c r="A75" i="2"/>
  <c r="J74" i="2"/>
  <c r="A74" i="2"/>
  <c r="J73" i="2"/>
  <c r="A73" i="2"/>
  <c r="J72" i="2"/>
  <c r="A72" i="2"/>
  <c r="J71" i="2"/>
  <c r="A71" i="2"/>
  <c r="J70" i="2"/>
  <c r="A70" i="2"/>
  <c r="J69" i="2"/>
  <c r="A69" i="2"/>
  <c r="J68" i="2"/>
  <c r="A68" i="2"/>
  <c r="J67" i="2"/>
  <c r="A67" i="2"/>
  <c r="J66" i="2"/>
  <c r="A66" i="2"/>
  <c r="J65" i="2"/>
  <c r="A65" i="2"/>
  <c r="J64" i="2"/>
  <c r="A64" i="2"/>
  <c r="J63" i="2"/>
  <c r="A63" i="2"/>
  <c r="J62" i="2"/>
  <c r="A62" i="2"/>
  <c r="J61" i="2"/>
  <c r="A61" i="2"/>
  <c r="J60" i="2"/>
  <c r="A60" i="2"/>
  <c r="J59" i="2"/>
  <c r="A59" i="2"/>
  <c r="J58" i="2"/>
  <c r="A58" i="2"/>
  <c r="J57" i="2"/>
  <c r="A57" i="2"/>
  <c r="J56" i="2"/>
  <c r="A56" i="2"/>
  <c r="J55" i="2"/>
  <c r="A55" i="2"/>
  <c r="J54" i="2"/>
  <c r="A54" i="2"/>
  <c r="J53" i="2"/>
  <c r="A53" i="2"/>
  <c r="J52" i="2"/>
  <c r="A52" i="2"/>
  <c r="J51" i="2"/>
  <c r="A51" i="2"/>
  <c r="J50" i="2"/>
  <c r="A50" i="2"/>
  <c r="J49" i="2"/>
  <c r="A49" i="2"/>
  <c r="J48" i="2"/>
  <c r="A48" i="2"/>
  <c r="J47" i="2"/>
  <c r="A47" i="2"/>
  <c r="J46" i="2"/>
  <c r="A46" i="2"/>
  <c r="J45" i="2"/>
  <c r="A45" i="2"/>
  <c r="J44" i="2"/>
  <c r="A44" i="2"/>
  <c r="J43" i="2"/>
  <c r="A43" i="2"/>
  <c r="J42" i="2"/>
  <c r="A42" i="2"/>
  <c r="J41" i="2"/>
  <c r="A41" i="2"/>
  <c r="J40" i="2"/>
  <c r="A40" i="2"/>
  <c r="J39" i="2"/>
  <c r="A39" i="2"/>
  <c r="J38" i="2"/>
  <c r="A38" i="2"/>
  <c r="J37" i="2"/>
  <c r="A37" i="2"/>
  <c r="J36" i="2"/>
  <c r="A36" i="2"/>
  <c r="J35" i="2"/>
  <c r="A35" i="2"/>
  <c r="J34" i="2"/>
  <c r="A34" i="2"/>
  <c r="J33" i="2"/>
  <c r="A33" i="2"/>
  <c r="J32" i="2"/>
  <c r="A32" i="2"/>
  <c r="J31" i="2"/>
  <c r="A31" i="2"/>
  <c r="J30" i="2"/>
  <c r="A30" i="2"/>
  <c r="J29" i="2"/>
  <c r="A29" i="2"/>
  <c r="J28" i="2"/>
  <c r="A28" i="2"/>
  <c r="J27" i="2"/>
  <c r="A27" i="2"/>
  <c r="J26" i="2"/>
  <c r="A26" i="2"/>
  <c r="J25" i="2"/>
  <c r="A25" i="2"/>
  <c r="J24" i="2"/>
  <c r="A24" i="2"/>
  <c r="J23" i="2"/>
  <c r="A23" i="2"/>
  <c r="J22" i="2"/>
  <c r="A22" i="2"/>
  <c r="J21" i="2"/>
  <c r="A21" i="2"/>
  <c r="J20" i="2"/>
  <c r="A20" i="2"/>
  <c r="J19" i="2"/>
  <c r="A19" i="2"/>
  <c r="J18" i="2"/>
  <c r="A18" i="2"/>
  <c r="J17" i="2"/>
  <c r="A17" i="2"/>
  <c r="J16" i="2"/>
  <c r="A16" i="2"/>
  <c r="J15" i="2"/>
  <c r="A15" i="2"/>
  <c r="J14" i="2"/>
  <c r="A14" i="2"/>
  <c r="J13" i="2"/>
  <c r="A13" i="2"/>
  <c r="J12" i="2"/>
  <c r="A12" i="2"/>
  <c r="J11" i="2"/>
  <c r="A11" i="2"/>
  <c r="J10" i="2"/>
  <c r="A10" i="2"/>
  <c r="J9" i="2"/>
  <c r="A9" i="2"/>
  <c r="J8" i="2"/>
  <c r="A8" i="2"/>
  <c r="J7" i="2"/>
  <c r="A7" i="2"/>
  <c r="J6" i="2"/>
  <c r="A6" i="2"/>
  <c r="J5" i="2"/>
  <c r="A5" i="2"/>
  <c r="J4" i="2"/>
  <c r="A4" i="2"/>
  <c r="J3" i="2"/>
  <c r="J2" i="2"/>
  <c r="H2" i="2"/>
  <c r="J1" i="2"/>
  <c r="L983" i="1"/>
  <c r="L982" i="1"/>
  <c r="J982" i="1"/>
  <c r="A982" i="1"/>
  <c r="L981" i="1"/>
  <c r="A981" i="1"/>
  <c r="L980" i="1"/>
  <c r="A980" i="1"/>
  <c r="L979" i="1"/>
  <c r="J979" i="1"/>
  <c r="A979" i="1"/>
  <c r="L978" i="1"/>
  <c r="A978" i="1"/>
  <c r="L977" i="1"/>
  <c r="A977" i="1"/>
  <c r="L976" i="1"/>
  <c r="J976" i="1"/>
  <c r="A976" i="1"/>
  <c r="L975" i="1"/>
  <c r="J975" i="1"/>
  <c r="A975" i="1"/>
  <c r="L974" i="1"/>
  <c r="A974" i="1"/>
  <c r="L973" i="1"/>
  <c r="J973" i="1"/>
  <c r="A973" i="1"/>
  <c r="L972" i="1"/>
  <c r="A972" i="1"/>
  <c r="L971" i="1"/>
  <c r="J971" i="1"/>
  <c r="A971" i="1"/>
  <c r="L970" i="1"/>
  <c r="J970" i="1"/>
  <c r="A970" i="1"/>
  <c r="L969" i="1"/>
  <c r="J969" i="1"/>
  <c r="A969" i="1"/>
  <c r="L968" i="1"/>
  <c r="J968" i="1"/>
  <c r="A968" i="1"/>
  <c r="L967" i="1"/>
  <c r="J967" i="1"/>
  <c r="A967" i="1"/>
  <c r="L966" i="1"/>
  <c r="J966" i="1"/>
  <c r="A966" i="1"/>
  <c r="L965" i="1"/>
  <c r="J965" i="1"/>
  <c r="A965" i="1"/>
  <c r="L964" i="1"/>
  <c r="J964" i="1"/>
  <c r="A964" i="1"/>
  <c r="L963" i="1"/>
  <c r="J963" i="1"/>
  <c r="A963" i="1"/>
  <c r="L962" i="1"/>
  <c r="J962" i="1"/>
  <c r="A962" i="1"/>
  <c r="L961" i="1"/>
  <c r="J961" i="1"/>
  <c r="A961" i="1"/>
  <c r="L960" i="1"/>
  <c r="J960" i="1"/>
  <c r="A960" i="1"/>
  <c r="L959" i="1"/>
  <c r="J959" i="1"/>
  <c r="A959" i="1"/>
  <c r="L958" i="1"/>
  <c r="J958" i="1"/>
  <c r="A958" i="1"/>
  <c r="L957" i="1"/>
  <c r="J957" i="1"/>
  <c r="A957" i="1"/>
  <c r="L956" i="1"/>
  <c r="J956" i="1"/>
  <c r="A956" i="1"/>
  <c r="L955" i="1"/>
  <c r="J955" i="1"/>
  <c r="A955" i="1"/>
  <c r="L954" i="1"/>
  <c r="J954" i="1"/>
  <c r="A954" i="1"/>
  <c r="L953" i="1"/>
  <c r="J953" i="1"/>
  <c r="A953" i="1"/>
  <c r="L952" i="1"/>
  <c r="A952" i="1"/>
  <c r="L951" i="1"/>
  <c r="A951" i="1"/>
  <c r="L950" i="1"/>
  <c r="J950" i="1"/>
  <c r="A950" i="1"/>
  <c r="L949" i="1"/>
  <c r="J949" i="1"/>
  <c r="A949" i="1"/>
  <c r="L948" i="1"/>
  <c r="A948" i="1"/>
  <c r="L947" i="1"/>
  <c r="A947" i="1"/>
  <c r="L946" i="1"/>
  <c r="J946" i="1"/>
  <c r="A946" i="1"/>
  <c r="L945" i="1"/>
  <c r="J945" i="1"/>
  <c r="A945" i="1"/>
  <c r="L944" i="1"/>
  <c r="J944" i="1"/>
  <c r="A944" i="1"/>
  <c r="L943" i="1"/>
  <c r="A943" i="1"/>
  <c r="L942" i="1"/>
  <c r="A942" i="1"/>
  <c r="L941" i="1"/>
  <c r="A941" i="1"/>
  <c r="L940" i="1"/>
  <c r="J940" i="1"/>
  <c r="A940" i="1"/>
  <c r="L939" i="1"/>
  <c r="J939" i="1"/>
  <c r="A939" i="1"/>
  <c r="L938" i="1"/>
  <c r="J938" i="1"/>
  <c r="A938" i="1"/>
  <c r="L937" i="1"/>
  <c r="J937" i="1"/>
  <c r="A937" i="1"/>
  <c r="L936" i="1"/>
  <c r="J936" i="1"/>
  <c r="A936" i="1"/>
  <c r="L935" i="1"/>
  <c r="J935" i="1"/>
  <c r="A935" i="1"/>
  <c r="L934" i="1"/>
  <c r="J934" i="1"/>
  <c r="A934" i="1"/>
  <c r="L933" i="1"/>
  <c r="J933" i="1"/>
  <c r="A933" i="1"/>
  <c r="L932" i="1"/>
  <c r="A932" i="1"/>
  <c r="L931" i="1"/>
  <c r="A931" i="1"/>
  <c r="L930" i="1"/>
  <c r="A930" i="1"/>
  <c r="L929" i="1"/>
  <c r="A929" i="1"/>
  <c r="L928" i="1"/>
  <c r="J928" i="1"/>
  <c r="A928" i="1"/>
  <c r="L927" i="1"/>
  <c r="A927" i="1"/>
  <c r="L926" i="1"/>
  <c r="J926" i="1"/>
  <c r="A926" i="1"/>
  <c r="L925" i="1"/>
  <c r="J925" i="1"/>
  <c r="A925" i="1"/>
  <c r="L924" i="1"/>
  <c r="J924" i="1"/>
  <c r="A924" i="1"/>
  <c r="L923" i="1"/>
  <c r="J923" i="1"/>
  <c r="A923" i="1"/>
  <c r="L922" i="1"/>
  <c r="J922" i="1"/>
  <c r="A922" i="1"/>
  <c r="L921" i="1"/>
  <c r="J921" i="1"/>
  <c r="A921" i="1"/>
  <c r="L920" i="1"/>
  <c r="J920" i="1"/>
  <c r="A920" i="1"/>
  <c r="L919" i="1"/>
  <c r="J919" i="1"/>
  <c r="A919" i="1"/>
  <c r="L918" i="1"/>
  <c r="A918" i="1"/>
  <c r="L917" i="1"/>
  <c r="J917" i="1"/>
  <c r="A917" i="1"/>
  <c r="L916" i="1"/>
  <c r="J916" i="1"/>
  <c r="A916" i="1"/>
  <c r="L915" i="1"/>
  <c r="J915" i="1"/>
  <c r="A915" i="1"/>
  <c r="L914" i="1"/>
  <c r="J914" i="1"/>
  <c r="A914" i="1"/>
  <c r="L913" i="1"/>
  <c r="J913" i="1"/>
  <c r="A913" i="1"/>
  <c r="L912" i="1"/>
  <c r="J912" i="1"/>
  <c r="A912" i="1"/>
  <c r="L911" i="1"/>
  <c r="J911" i="1"/>
  <c r="A911" i="1"/>
  <c r="L910" i="1"/>
  <c r="J910" i="1"/>
  <c r="A910" i="1"/>
  <c r="L909" i="1"/>
  <c r="A909" i="1"/>
  <c r="L908" i="1"/>
  <c r="J908" i="1"/>
  <c r="A908" i="1"/>
  <c r="L907" i="1"/>
  <c r="J907" i="1"/>
  <c r="A907" i="1"/>
  <c r="L906" i="1"/>
  <c r="J906" i="1"/>
  <c r="A906" i="1"/>
  <c r="L905" i="1"/>
  <c r="J905" i="1"/>
  <c r="A905" i="1"/>
  <c r="L904" i="1"/>
  <c r="J904" i="1"/>
  <c r="A904" i="1"/>
  <c r="L903" i="1"/>
  <c r="J903" i="1"/>
  <c r="A903" i="1"/>
  <c r="L902" i="1"/>
  <c r="A902" i="1"/>
  <c r="L901" i="1"/>
  <c r="J901" i="1"/>
  <c r="A901" i="1"/>
  <c r="L900" i="1"/>
  <c r="J900" i="1"/>
  <c r="A900" i="1"/>
  <c r="L899" i="1"/>
  <c r="J899" i="1"/>
  <c r="A899" i="1"/>
  <c r="L898" i="1"/>
  <c r="J898" i="1"/>
  <c r="A898" i="1"/>
  <c r="L897" i="1"/>
  <c r="A897" i="1"/>
  <c r="L896" i="1"/>
  <c r="J896" i="1"/>
  <c r="A896" i="1"/>
  <c r="L895" i="1"/>
  <c r="A895" i="1"/>
  <c r="L894" i="1"/>
  <c r="A894" i="1"/>
  <c r="L893" i="1"/>
  <c r="A893" i="1"/>
  <c r="L892" i="1"/>
  <c r="A892" i="1"/>
  <c r="L891" i="1"/>
  <c r="A891" i="1"/>
  <c r="L890" i="1"/>
  <c r="A890" i="1"/>
  <c r="L889" i="1"/>
  <c r="J889" i="1"/>
  <c r="A889" i="1"/>
  <c r="L888" i="1"/>
  <c r="J888" i="1"/>
  <c r="A888" i="1"/>
  <c r="L887" i="1"/>
  <c r="J887" i="1"/>
  <c r="A887" i="1"/>
  <c r="L886" i="1"/>
  <c r="A886" i="1"/>
  <c r="L885" i="1"/>
  <c r="J885" i="1"/>
  <c r="A885" i="1"/>
  <c r="L884" i="1"/>
  <c r="J884" i="1"/>
  <c r="A884" i="1"/>
  <c r="L883" i="1"/>
  <c r="A883" i="1"/>
  <c r="L882" i="1"/>
  <c r="J882" i="1"/>
  <c r="A882" i="1"/>
  <c r="L881" i="1"/>
  <c r="J881" i="1"/>
  <c r="A881" i="1"/>
  <c r="L880" i="1"/>
  <c r="J880" i="1"/>
  <c r="A880" i="1"/>
  <c r="L879" i="1"/>
  <c r="A879" i="1"/>
  <c r="L878" i="1"/>
  <c r="J878" i="1"/>
  <c r="A878" i="1"/>
  <c r="L877" i="1"/>
  <c r="A877" i="1"/>
  <c r="L876" i="1"/>
  <c r="A876" i="1"/>
  <c r="L875" i="1"/>
  <c r="A875" i="1"/>
  <c r="L874" i="1"/>
  <c r="A874" i="1"/>
  <c r="L873" i="1"/>
  <c r="J873" i="1"/>
  <c r="A873" i="1"/>
  <c r="L872" i="1"/>
  <c r="A872" i="1"/>
  <c r="L871" i="1"/>
  <c r="J871" i="1"/>
  <c r="A871" i="1"/>
  <c r="L870" i="1"/>
  <c r="A870" i="1"/>
  <c r="L869" i="1"/>
  <c r="J869" i="1"/>
  <c r="A869" i="1"/>
  <c r="L868" i="1"/>
  <c r="J868" i="1"/>
  <c r="A868" i="1"/>
  <c r="L867" i="1"/>
  <c r="A867" i="1"/>
  <c r="L866" i="1"/>
  <c r="J866" i="1"/>
  <c r="A866" i="1"/>
  <c r="L865" i="1"/>
  <c r="J865" i="1"/>
  <c r="A865" i="1"/>
  <c r="L864" i="1"/>
  <c r="A864" i="1"/>
  <c r="L863" i="1"/>
  <c r="J863" i="1"/>
  <c r="A863" i="1"/>
  <c r="L862" i="1"/>
  <c r="A862" i="1"/>
  <c r="L861" i="1"/>
  <c r="A861" i="1"/>
  <c r="L860" i="1"/>
  <c r="A860" i="1"/>
  <c r="L859" i="1"/>
  <c r="A859" i="1"/>
  <c r="L858" i="1"/>
  <c r="A858" i="1"/>
  <c r="L857" i="1"/>
  <c r="A857" i="1"/>
  <c r="L856" i="1"/>
  <c r="J856" i="1"/>
  <c r="A856" i="1"/>
  <c r="L855" i="1"/>
  <c r="J855" i="1"/>
  <c r="A855" i="1"/>
  <c r="L854" i="1"/>
  <c r="J854" i="1"/>
  <c r="A854" i="1"/>
  <c r="L853" i="1"/>
  <c r="J853" i="1"/>
  <c r="A853" i="1"/>
  <c r="L852" i="1"/>
  <c r="A852" i="1"/>
  <c r="L851" i="1"/>
  <c r="J851" i="1"/>
  <c r="A851" i="1"/>
  <c r="L850" i="1"/>
  <c r="A850" i="1"/>
  <c r="L849" i="1"/>
  <c r="A849" i="1"/>
  <c r="L848" i="1"/>
  <c r="A848" i="1"/>
  <c r="L847" i="1"/>
  <c r="J847" i="1"/>
  <c r="A847" i="1"/>
  <c r="L846" i="1"/>
  <c r="A846" i="1"/>
  <c r="L845" i="1"/>
  <c r="A845" i="1"/>
  <c r="L844" i="1"/>
  <c r="A844" i="1"/>
  <c r="L843" i="1"/>
  <c r="J843" i="1"/>
  <c r="A843" i="1"/>
  <c r="L842" i="1"/>
  <c r="J842" i="1"/>
  <c r="A842" i="1"/>
  <c r="L841" i="1"/>
  <c r="J841" i="1"/>
  <c r="A841" i="1"/>
  <c r="L840" i="1"/>
  <c r="J840" i="1"/>
  <c r="A840" i="1"/>
  <c r="L839" i="1"/>
  <c r="A839" i="1"/>
  <c r="L838" i="1"/>
  <c r="A838" i="1"/>
  <c r="L837" i="1"/>
  <c r="J837" i="1"/>
  <c r="A837" i="1"/>
  <c r="L836" i="1"/>
  <c r="J836" i="1"/>
  <c r="A836" i="1"/>
  <c r="L835" i="1"/>
  <c r="A835" i="1"/>
  <c r="L834" i="1"/>
  <c r="J834" i="1"/>
  <c r="A834" i="1"/>
  <c r="L833" i="1"/>
  <c r="J833" i="1"/>
  <c r="A833" i="1"/>
  <c r="L832" i="1"/>
  <c r="J832" i="1"/>
  <c r="A832" i="1"/>
  <c r="L831" i="1"/>
  <c r="A831" i="1"/>
  <c r="L830" i="1"/>
  <c r="A830" i="1"/>
  <c r="L829" i="1"/>
  <c r="J829" i="1"/>
  <c r="A829" i="1"/>
  <c r="L828" i="1"/>
  <c r="J828" i="1"/>
  <c r="A828" i="1"/>
  <c r="L827" i="1"/>
  <c r="J827" i="1"/>
  <c r="A827" i="1"/>
  <c r="L826" i="1"/>
  <c r="A826" i="1"/>
  <c r="L825" i="1"/>
  <c r="A825" i="1"/>
  <c r="L824" i="1"/>
  <c r="A824" i="1"/>
  <c r="L823" i="1"/>
  <c r="J823" i="1"/>
  <c r="A823" i="1"/>
  <c r="L822" i="1"/>
  <c r="J822" i="1"/>
  <c r="A822" i="1"/>
  <c r="L821" i="1"/>
  <c r="J821" i="1"/>
  <c r="A821" i="1"/>
  <c r="L820" i="1"/>
  <c r="J820" i="1"/>
  <c r="A820" i="1"/>
  <c r="L819" i="1"/>
  <c r="A819" i="1"/>
  <c r="L818" i="1"/>
  <c r="J818" i="1"/>
  <c r="A818" i="1"/>
  <c r="L817" i="1"/>
  <c r="A817" i="1"/>
  <c r="L816" i="1"/>
  <c r="A816" i="1"/>
  <c r="L815" i="1"/>
  <c r="J815" i="1"/>
  <c r="A815" i="1"/>
  <c r="L814" i="1"/>
  <c r="A814" i="1"/>
  <c r="L813" i="1"/>
  <c r="J813" i="1"/>
  <c r="A813" i="1"/>
  <c r="L812" i="1"/>
  <c r="A812" i="1"/>
  <c r="L811" i="1"/>
  <c r="A811" i="1"/>
  <c r="L810" i="1"/>
  <c r="J810" i="1"/>
  <c r="A810" i="1"/>
  <c r="L809" i="1"/>
  <c r="A809" i="1"/>
  <c r="L808" i="1"/>
  <c r="J808" i="1"/>
  <c r="A808" i="1"/>
  <c r="L807" i="1"/>
  <c r="A807" i="1"/>
  <c r="L806" i="1"/>
  <c r="J806" i="1"/>
  <c r="A806" i="1"/>
  <c r="L805" i="1"/>
  <c r="J805" i="1"/>
  <c r="A805" i="1"/>
  <c r="L804" i="1"/>
  <c r="A804" i="1"/>
  <c r="L803" i="1"/>
  <c r="A803" i="1"/>
  <c r="L802" i="1"/>
  <c r="J802" i="1"/>
  <c r="A802" i="1"/>
  <c r="L801" i="1"/>
  <c r="J801" i="1"/>
  <c r="A801" i="1"/>
  <c r="L800" i="1"/>
  <c r="J800" i="1"/>
  <c r="A800" i="1"/>
  <c r="L799" i="1"/>
  <c r="J799" i="1"/>
  <c r="A799" i="1"/>
  <c r="L798" i="1"/>
  <c r="A798" i="1"/>
  <c r="L797" i="1"/>
  <c r="J797" i="1"/>
  <c r="A797" i="1"/>
  <c r="L796" i="1"/>
  <c r="J796" i="1"/>
  <c r="A796" i="1"/>
  <c r="L795" i="1"/>
  <c r="J795" i="1"/>
  <c r="A795" i="1"/>
  <c r="L794" i="1"/>
  <c r="A794" i="1"/>
  <c r="L793" i="1"/>
  <c r="J793" i="1"/>
  <c r="A793" i="1"/>
  <c r="L792" i="1"/>
  <c r="A792" i="1"/>
  <c r="L791" i="1"/>
  <c r="A791" i="1"/>
  <c r="L790" i="1"/>
  <c r="J790" i="1"/>
  <c r="A790" i="1"/>
  <c r="L789" i="1"/>
  <c r="A789" i="1"/>
  <c r="L788" i="1"/>
  <c r="A788" i="1"/>
  <c r="L787" i="1"/>
  <c r="J787" i="1"/>
  <c r="A787" i="1"/>
  <c r="L786" i="1"/>
  <c r="J786" i="1"/>
  <c r="A786" i="1"/>
  <c r="L785" i="1"/>
  <c r="J785" i="1"/>
  <c r="A785" i="1"/>
  <c r="L784" i="1"/>
  <c r="J784" i="1"/>
  <c r="A784" i="1"/>
  <c r="L783" i="1"/>
  <c r="A783" i="1"/>
  <c r="L782" i="1"/>
  <c r="J782" i="1"/>
  <c r="A782" i="1"/>
  <c r="L781" i="1"/>
  <c r="A781" i="1"/>
  <c r="L780" i="1"/>
  <c r="J780" i="1"/>
  <c r="A780" i="1"/>
  <c r="L779" i="1"/>
  <c r="J779" i="1"/>
  <c r="A779" i="1"/>
  <c r="L778" i="1"/>
  <c r="J778" i="1"/>
  <c r="A778" i="1"/>
  <c r="L777" i="1"/>
  <c r="A777" i="1"/>
  <c r="L776" i="1"/>
  <c r="J776" i="1"/>
  <c r="A776" i="1"/>
  <c r="L775" i="1"/>
  <c r="J775" i="1"/>
  <c r="A775" i="1"/>
  <c r="L774" i="1"/>
  <c r="J774" i="1"/>
  <c r="A774" i="1"/>
  <c r="L773" i="1"/>
  <c r="J773" i="1"/>
  <c r="A773" i="1"/>
  <c r="L772" i="1"/>
  <c r="J772" i="1"/>
  <c r="A772" i="1"/>
  <c r="L771" i="1"/>
  <c r="J771" i="1"/>
  <c r="A771" i="1"/>
  <c r="L770" i="1"/>
  <c r="A770" i="1"/>
  <c r="L769" i="1"/>
  <c r="J769" i="1"/>
  <c r="A769" i="1"/>
  <c r="L768" i="1"/>
  <c r="A768" i="1"/>
  <c r="L767" i="1"/>
  <c r="A767" i="1"/>
  <c r="L766" i="1"/>
  <c r="J766" i="1"/>
  <c r="A766" i="1"/>
  <c r="L765" i="1"/>
  <c r="J765" i="1"/>
  <c r="A765" i="1"/>
  <c r="L764" i="1"/>
  <c r="J764" i="1"/>
  <c r="A764" i="1"/>
  <c r="L763" i="1"/>
  <c r="A763" i="1"/>
  <c r="L762" i="1"/>
  <c r="J762" i="1"/>
  <c r="A762" i="1"/>
  <c r="L761" i="1"/>
  <c r="A761" i="1"/>
  <c r="L760" i="1"/>
  <c r="J760" i="1"/>
  <c r="A760" i="1"/>
  <c r="L759" i="1"/>
  <c r="J759" i="1"/>
  <c r="A759" i="1"/>
  <c r="L758" i="1"/>
  <c r="A758" i="1"/>
  <c r="L757" i="1"/>
  <c r="J757" i="1"/>
  <c r="A757" i="1"/>
  <c r="L756" i="1"/>
  <c r="J756" i="1"/>
  <c r="A756" i="1"/>
  <c r="L755" i="1"/>
  <c r="J755" i="1"/>
  <c r="A755" i="1"/>
  <c r="L754" i="1"/>
  <c r="J754" i="1"/>
  <c r="A754" i="1"/>
  <c r="L753" i="1"/>
  <c r="J753" i="1"/>
  <c r="A753" i="1"/>
  <c r="L752" i="1"/>
  <c r="J752" i="1"/>
  <c r="A752" i="1"/>
  <c r="L751" i="1"/>
  <c r="J751" i="1"/>
  <c r="A751" i="1"/>
  <c r="L750" i="1"/>
  <c r="J750" i="1"/>
  <c r="A750" i="1"/>
  <c r="L749" i="1"/>
  <c r="J749" i="1"/>
  <c r="A749" i="1"/>
  <c r="L748" i="1"/>
  <c r="J748" i="1"/>
  <c r="A748" i="1"/>
  <c r="L747" i="1"/>
  <c r="J747" i="1"/>
  <c r="A747" i="1"/>
  <c r="L746" i="1"/>
  <c r="J746" i="1"/>
  <c r="A746" i="1"/>
  <c r="L745" i="1"/>
  <c r="A745" i="1"/>
  <c r="L744" i="1"/>
  <c r="J744" i="1"/>
  <c r="A744" i="1"/>
  <c r="L743" i="1"/>
  <c r="J743" i="1"/>
  <c r="A743" i="1"/>
  <c r="L742" i="1"/>
  <c r="J742" i="1"/>
  <c r="A742" i="1"/>
  <c r="L741" i="1"/>
  <c r="A741" i="1"/>
  <c r="L740" i="1"/>
  <c r="J740" i="1"/>
  <c r="A740" i="1"/>
  <c r="L739" i="1"/>
  <c r="J739" i="1"/>
  <c r="A739" i="1"/>
  <c r="L738" i="1"/>
  <c r="A738" i="1"/>
  <c r="L737" i="1"/>
  <c r="J737" i="1"/>
  <c r="A737" i="1"/>
  <c r="L736" i="1"/>
  <c r="A736" i="1"/>
  <c r="L735" i="1"/>
  <c r="J735" i="1"/>
  <c r="A735" i="1"/>
  <c r="L734" i="1"/>
  <c r="A734" i="1"/>
  <c r="L733" i="1"/>
  <c r="A733" i="1"/>
  <c r="L732" i="1"/>
  <c r="A732" i="1"/>
  <c r="L731" i="1"/>
  <c r="J731" i="1"/>
  <c r="A731" i="1"/>
  <c r="L730" i="1"/>
  <c r="A730" i="1"/>
  <c r="L729" i="1"/>
  <c r="J729" i="1"/>
  <c r="A729" i="1"/>
  <c r="L728" i="1"/>
  <c r="J728" i="1"/>
  <c r="A728" i="1"/>
  <c r="L727" i="1"/>
  <c r="A727" i="1"/>
  <c r="L726" i="1"/>
  <c r="J726" i="1"/>
  <c r="A726" i="1"/>
  <c r="L725" i="1"/>
  <c r="J725" i="1"/>
  <c r="A725" i="1"/>
  <c r="L724" i="1"/>
  <c r="A724" i="1"/>
  <c r="L723" i="1"/>
  <c r="J723" i="1"/>
  <c r="A723" i="1"/>
  <c r="L722" i="1"/>
  <c r="J722" i="1"/>
  <c r="A722" i="1"/>
  <c r="L721" i="1"/>
  <c r="J721" i="1"/>
  <c r="A721" i="1"/>
  <c r="L720" i="1"/>
  <c r="J720" i="1"/>
  <c r="A720" i="1"/>
  <c r="L719" i="1"/>
  <c r="A719" i="1"/>
  <c r="L718" i="1"/>
  <c r="A718" i="1"/>
  <c r="L717" i="1"/>
  <c r="A717" i="1"/>
  <c r="L716" i="1"/>
  <c r="A716" i="1"/>
  <c r="L715" i="1"/>
  <c r="A715" i="1"/>
  <c r="L714" i="1"/>
  <c r="J714" i="1"/>
  <c r="A714" i="1"/>
  <c r="L713" i="1"/>
  <c r="J713" i="1"/>
  <c r="A713" i="1"/>
  <c r="L712" i="1"/>
  <c r="J712" i="1"/>
  <c r="A712" i="1"/>
  <c r="L711" i="1"/>
  <c r="A711" i="1"/>
  <c r="L710" i="1"/>
  <c r="J710" i="1"/>
  <c r="A710" i="1"/>
  <c r="L709" i="1"/>
  <c r="A709" i="1"/>
  <c r="L708" i="1"/>
  <c r="A708" i="1"/>
  <c r="L707" i="1"/>
  <c r="J707" i="1"/>
  <c r="A707" i="1"/>
  <c r="L706" i="1"/>
  <c r="A706" i="1"/>
  <c r="L705" i="1"/>
  <c r="A705" i="1"/>
  <c r="L704" i="1"/>
  <c r="A704" i="1"/>
  <c r="L703" i="1"/>
  <c r="J703" i="1"/>
  <c r="A703" i="1"/>
  <c r="L702" i="1"/>
  <c r="J702" i="1"/>
  <c r="A702" i="1"/>
  <c r="L701" i="1"/>
  <c r="J701" i="1"/>
  <c r="A701" i="1"/>
  <c r="L700" i="1"/>
  <c r="J700" i="1"/>
  <c r="A700" i="1"/>
  <c r="L699" i="1"/>
  <c r="J699" i="1"/>
  <c r="A699" i="1"/>
  <c r="L698" i="1"/>
  <c r="A698" i="1"/>
  <c r="L697" i="1"/>
  <c r="A697" i="1"/>
  <c r="L696" i="1"/>
  <c r="J696" i="1"/>
  <c r="A696" i="1"/>
  <c r="L695" i="1"/>
  <c r="A695" i="1"/>
  <c r="L694" i="1"/>
  <c r="A694" i="1"/>
  <c r="L693" i="1"/>
  <c r="J693" i="1"/>
  <c r="A693" i="1"/>
  <c r="L692" i="1"/>
  <c r="A692" i="1"/>
  <c r="L691" i="1"/>
  <c r="A691" i="1"/>
  <c r="L690" i="1"/>
  <c r="A690" i="1"/>
  <c r="L689" i="1"/>
  <c r="J689" i="1"/>
  <c r="A689" i="1"/>
  <c r="L688" i="1"/>
  <c r="A688" i="1"/>
  <c r="L687" i="1"/>
  <c r="J687" i="1"/>
  <c r="A687" i="1"/>
  <c r="L686" i="1"/>
  <c r="A686" i="1"/>
  <c r="L685" i="1"/>
  <c r="J685" i="1"/>
  <c r="A685" i="1"/>
  <c r="L684" i="1"/>
  <c r="J684" i="1"/>
  <c r="A684" i="1"/>
  <c r="L683" i="1"/>
  <c r="J683" i="1"/>
  <c r="A683" i="1"/>
  <c r="L682" i="1"/>
  <c r="J682" i="1"/>
  <c r="A682" i="1"/>
  <c r="L681" i="1"/>
  <c r="J681" i="1"/>
  <c r="A681" i="1"/>
  <c r="L680" i="1"/>
  <c r="J680" i="1"/>
  <c r="A680" i="1"/>
  <c r="L679" i="1"/>
  <c r="J679" i="1"/>
  <c r="A679" i="1"/>
  <c r="L678" i="1"/>
  <c r="J678" i="1"/>
  <c r="A678" i="1"/>
  <c r="L677" i="1"/>
  <c r="J677" i="1"/>
  <c r="A677" i="1"/>
  <c r="L676" i="1"/>
  <c r="A676" i="1"/>
  <c r="L675" i="1"/>
  <c r="J675" i="1"/>
  <c r="A675" i="1"/>
  <c r="L674" i="1"/>
  <c r="A674" i="1"/>
  <c r="L673" i="1"/>
  <c r="A673" i="1"/>
  <c r="L672" i="1"/>
  <c r="A672" i="1"/>
  <c r="L671" i="1"/>
  <c r="J671" i="1"/>
  <c r="A671" i="1"/>
  <c r="L670" i="1"/>
  <c r="A670" i="1"/>
  <c r="L669" i="1"/>
  <c r="J669" i="1"/>
  <c r="A669" i="1"/>
  <c r="L668" i="1"/>
  <c r="J668" i="1"/>
  <c r="A668" i="1"/>
  <c r="L667" i="1"/>
  <c r="J667" i="1"/>
  <c r="A667" i="1"/>
  <c r="L666" i="1"/>
  <c r="J666" i="1"/>
  <c r="A666" i="1"/>
  <c r="L665" i="1"/>
  <c r="A665" i="1"/>
  <c r="L664" i="1"/>
  <c r="J664" i="1"/>
  <c r="A664" i="1"/>
  <c r="L663" i="1"/>
  <c r="J663" i="1"/>
  <c r="A663" i="1"/>
  <c r="L662" i="1"/>
  <c r="A662" i="1"/>
  <c r="L661" i="1"/>
  <c r="A661" i="1"/>
  <c r="L660" i="1"/>
  <c r="A660" i="1"/>
  <c r="L659" i="1"/>
  <c r="J659" i="1"/>
  <c r="A659" i="1"/>
  <c r="L658" i="1"/>
  <c r="J658" i="1"/>
  <c r="A658" i="1"/>
  <c r="L657" i="1"/>
  <c r="A657" i="1"/>
  <c r="L656" i="1"/>
  <c r="A656" i="1"/>
  <c r="L655" i="1"/>
  <c r="J655" i="1"/>
  <c r="A655" i="1"/>
  <c r="L654" i="1"/>
  <c r="J654" i="1"/>
  <c r="A654" i="1"/>
  <c r="L653" i="1"/>
  <c r="J653" i="1"/>
  <c r="A653" i="1"/>
  <c r="L652" i="1"/>
  <c r="J652" i="1"/>
  <c r="A652" i="1"/>
  <c r="L651" i="1"/>
  <c r="J651" i="1"/>
  <c r="A651" i="1"/>
  <c r="L650" i="1"/>
  <c r="J650" i="1"/>
  <c r="A650" i="1"/>
  <c r="L649" i="1"/>
  <c r="J649" i="1"/>
  <c r="A649" i="1"/>
  <c r="L648" i="1"/>
  <c r="J648" i="1"/>
  <c r="A648" i="1"/>
  <c r="L647" i="1"/>
  <c r="J647" i="1"/>
  <c r="A647" i="1"/>
  <c r="L646" i="1"/>
  <c r="J646" i="1"/>
  <c r="A646" i="1"/>
  <c r="L645" i="1"/>
  <c r="J645" i="1"/>
  <c r="A645" i="1"/>
  <c r="L644" i="1"/>
  <c r="J644" i="1"/>
  <c r="A644" i="1"/>
  <c r="L643" i="1"/>
  <c r="J643" i="1"/>
  <c r="A643" i="1"/>
  <c r="L642" i="1"/>
  <c r="J642" i="1"/>
  <c r="A642" i="1"/>
  <c r="L641" i="1"/>
  <c r="A641" i="1"/>
  <c r="L640" i="1"/>
  <c r="A640" i="1"/>
  <c r="L639" i="1"/>
  <c r="A639" i="1"/>
  <c r="L638" i="1"/>
  <c r="J638" i="1"/>
  <c r="A638" i="1"/>
  <c r="L637" i="1"/>
  <c r="J637" i="1"/>
  <c r="A637" i="1"/>
  <c r="L636" i="1"/>
  <c r="J636" i="1"/>
  <c r="A636" i="1"/>
  <c r="L635" i="1"/>
  <c r="A635" i="1"/>
  <c r="L634" i="1"/>
  <c r="A634" i="1"/>
  <c r="L633" i="1"/>
  <c r="A633" i="1"/>
  <c r="L632" i="1"/>
  <c r="J632" i="1"/>
  <c r="A632" i="1"/>
  <c r="L631" i="1"/>
  <c r="J631" i="1"/>
  <c r="A631" i="1"/>
  <c r="L630" i="1"/>
  <c r="J630" i="1"/>
  <c r="A630" i="1"/>
  <c r="L629" i="1"/>
  <c r="A629" i="1"/>
  <c r="L628" i="1"/>
  <c r="J628" i="1"/>
  <c r="A628" i="1"/>
  <c r="L627" i="1"/>
  <c r="J627" i="1"/>
  <c r="A627" i="1"/>
  <c r="L626" i="1"/>
  <c r="J626" i="1"/>
  <c r="A626" i="1"/>
  <c r="L625" i="1"/>
  <c r="J625" i="1"/>
  <c r="A625" i="1"/>
  <c r="L624" i="1"/>
  <c r="J624" i="1"/>
  <c r="A624" i="1"/>
  <c r="L623" i="1"/>
  <c r="J623" i="1"/>
  <c r="A623" i="1"/>
  <c r="L622" i="1"/>
  <c r="A622" i="1"/>
  <c r="L621" i="1"/>
  <c r="J621" i="1"/>
  <c r="A621" i="1"/>
  <c r="L620" i="1"/>
  <c r="A620" i="1"/>
  <c r="L619" i="1"/>
  <c r="J619" i="1"/>
  <c r="A619" i="1"/>
  <c r="L618" i="1"/>
  <c r="J618" i="1"/>
  <c r="A618" i="1"/>
  <c r="L617" i="1"/>
  <c r="J617" i="1"/>
  <c r="A617" i="1"/>
  <c r="L616" i="1"/>
  <c r="A616" i="1"/>
  <c r="L615" i="1"/>
  <c r="A615" i="1"/>
  <c r="L614" i="1"/>
  <c r="J614" i="1"/>
  <c r="A614" i="1"/>
  <c r="L613" i="1"/>
  <c r="A613" i="1"/>
  <c r="L612" i="1"/>
  <c r="J612" i="1"/>
  <c r="A612" i="1"/>
  <c r="L611" i="1"/>
  <c r="A611" i="1"/>
  <c r="L610" i="1"/>
  <c r="A610" i="1"/>
  <c r="L609" i="1"/>
  <c r="A609" i="1"/>
  <c r="L608" i="1"/>
  <c r="A608" i="1"/>
  <c r="L607" i="1"/>
  <c r="J607" i="1"/>
  <c r="A607" i="1"/>
  <c r="L606" i="1"/>
  <c r="A606" i="1"/>
  <c r="L605" i="1"/>
  <c r="A605" i="1"/>
  <c r="L604" i="1"/>
  <c r="A604" i="1"/>
  <c r="L603" i="1"/>
  <c r="J603" i="1"/>
  <c r="A603" i="1"/>
  <c r="L602" i="1"/>
  <c r="J602" i="1"/>
  <c r="A602" i="1"/>
  <c r="L601" i="1"/>
  <c r="J601" i="1"/>
  <c r="A601" i="1"/>
  <c r="L600" i="1"/>
  <c r="J600" i="1"/>
  <c r="A600" i="1"/>
  <c r="L599" i="1"/>
  <c r="J599" i="1"/>
  <c r="A599" i="1"/>
  <c r="L598" i="1"/>
  <c r="J598" i="1"/>
  <c r="A598" i="1"/>
  <c r="L597" i="1"/>
  <c r="J597" i="1"/>
  <c r="A597" i="1"/>
  <c r="L596" i="1"/>
  <c r="J596" i="1"/>
  <c r="A596" i="1"/>
  <c r="L595" i="1"/>
  <c r="J595" i="1"/>
  <c r="A595" i="1"/>
  <c r="L594" i="1"/>
  <c r="J594" i="1"/>
  <c r="A594" i="1"/>
  <c r="L593" i="1"/>
  <c r="J593" i="1"/>
  <c r="A593" i="1"/>
  <c r="L592" i="1"/>
  <c r="J592" i="1"/>
  <c r="A592" i="1"/>
  <c r="L591" i="1"/>
  <c r="A591" i="1"/>
  <c r="L590" i="1"/>
  <c r="J590" i="1"/>
  <c r="A590" i="1"/>
  <c r="L589" i="1"/>
  <c r="A589" i="1"/>
  <c r="L588" i="1"/>
  <c r="J588" i="1"/>
  <c r="A588" i="1"/>
  <c r="L587" i="1"/>
  <c r="J587" i="1"/>
  <c r="A587" i="1"/>
  <c r="L586" i="1"/>
  <c r="A586" i="1"/>
  <c r="L585" i="1"/>
  <c r="A585" i="1"/>
  <c r="L584" i="1"/>
  <c r="J584" i="1"/>
  <c r="A584" i="1"/>
  <c r="L583" i="1"/>
  <c r="J583" i="1"/>
  <c r="A583" i="1"/>
  <c r="L582" i="1"/>
  <c r="J582" i="1"/>
  <c r="A582" i="1"/>
  <c r="L581" i="1"/>
  <c r="J581" i="1"/>
  <c r="A581" i="1"/>
  <c r="L580" i="1"/>
  <c r="J580" i="1"/>
  <c r="A580" i="1"/>
  <c r="L579" i="1"/>
  <c r="J579" i="1"/>
  <c r="A579" i="1"/>
  <c r="L578" i="1"/>
  <c r="J578" i="1"/>
  <c r="A578" i="1"/>
  <c r="L577" i="1"/>
  <c r="A577" i="1"/>
  <c r="L576" i="1"/>
  <c r="J576" i="1"/>
  <c r="A576" i="1"/>
  <c r="L575" i="1"/>
  <c r="J575" i="1"/>
  <c r="A575" i="1"/>
  <c r="L574" i="1"/>
  <c r="J574" i="1"/>
  <c r="A574" i="1"/>
  <c r="L573" i="1"/>
  <c r="J573" i="1"/>
  <c r="A573" i="1"/>
  <c r="L572" i="1"/>
  <c r="J572" i="1"/>
  <c r="A572" i="1"/>
  <c r="L571" i="1"/>
  <c r="J571" i="1"/>
  <c r="A571" i="1"/>
  <c r="L570" i="1"/>
  <c r="J570" i="1"/>
  <c r="A570" i="1"/>
  <c r="L569" i="1"/>
  <c r="J569" i="1"/>
  <c r="A569" i="1"/>
  <c r="L568" i="1"/>
  <c r="A568" i="1"/>
  <c r="L567" i="1"/>
  <c r="J567" i="1"/>
  <c r="A567" i="1"/>
  <c r="L566" i="1"/>
  <c r="J566" i="1"/>
  <c r="A566" i="1"/>
  <c r="L565" i="1"/>
  <c r="J565" i="1"/>
  <c r="A565" i="1"/>
  <c r="L564" i="1"/>
  <c r="J564" i="1"/>
  <c r="A564" i="1"/>
  <c r="L563" i="1"/>
  <c r="J563" i="1"/>
  <c r="A563" i="1"/>
  <c r="L562" i="1"/>
  <c r="J562" i="1"/>
  <c r="A562" i="1"/>
  <c r="L561" i="1"/>
  <c r="J561" i="1"/>
  <c r="A561" i="1"/>
  <c r="L560" i="1"/>
  <c r="J560" i="1"/>
  <c r="A560" i="1"/>
  <c r="L559" i="1"/>
  <c r="J559" i="1"/>
  <c r="A559" i="1"/>
  <c r="L558" i="1"/>
  <c r="A558" i="1"/>
  <c r="L557" i="1"/>
  <c r="A557" i="1"/>
  <c r="L556" i="1"/>
  <c r="J556" i="1"/>
  <c r="A556" i="1"/>
  <c r="L555" i="1"/>
  <c r="J555" i="1"/>
  <c r="A555" i="1"/>
  <c r="L554" i="1"/>
  <c r="J554" i="1"/>
  <c r="A554" i="1"/>
  <c r="L553" i="1"/>
  <c r="J553" i="1"/>
  <c r="A553" i="1"/>
  <c r="L552" i="1"/>
  <c r="A552" i="1"/>
  <c r="L551" i="1"/>
  <c r="J551" i="1"/>
  <c r="A551" i="1"/>
  <c r="L550" i="1"/>
  <c r="J550" i="1"/>
  <c r="A550" i="1"/>
  <c r="L549" i="1"/>
  <c r="A549" i="1"/>
  <c r="L548" i="1"/>
  <c r="J548" i="1"/>
  <c r="A548" i="1"/>
  <c r="L547" i="1"/>
  <c r="J547" i="1"/>
  <c r="A547" i="1"/>
  <c r="L546" i="1"/>
  <c r="J546" i="1"/>
  <c r="A546" i="1"/>
  <c r="L545" i="1"/>
  <c r="J545" i="1"/>
  <c r="A545" i="1"/>
  <c r="L544" i="1"/>
  <c r="J544" i="1"/>
  <c r="A544" i="1"/>
  <c r="L543" i="1"/>
  <c r="J543" i="1"/>
  <c r="A543" i="1"/>
  <c r="L542" i="1"/>
  <c r="J542" i="1"/>
  <c r="A542" i="1"/>
  <c r="L541" i="1"/>
  <c r="J541" i="1"/>
  <c r="A541" i="1"/>
  <c r="L540" i="1"/>
  <c r="J540" i="1"/>
  <c r="A540" i="1"/>
  <c r="L539" i="1"/>
  <c r="A539" i="1"/>
  <c r="L538" i="1"/>
  <c r="J538" i="1"/>
  <c r="A538" i="1"/>
  <c r="L537" i="1"/>
  <c r="J537" i="1"/>
  <c r="A537" i="1"/>
  <c r="L536" i="1"/>
  <c r="J536" i="1"/>
  <c r="A536" i="1"/>
  <c r="L535" i="1"/>
  <c r="A535" i="1"/>
  <c r="L534" i="1"/>
  <c r="J534" i="1"/>
  <c r="A534" i="1"/>
  <c r="L533" i="1"/>
  <c r="J533" i="1"/>
  <c r="A533" i="1"/>
  <c r="L532" i="1"/>
  <c r="A532" i="1"/>
  <c r="L531" i="1"/>
  <c r="J531" i="1"/>
  <c r="A531" i="1"/>
  <c r="L530" i="1"/>
  <c r="A530" i="1"/>
  <c r="L529" i="1"/>
  <c r="J529" i="1"/>
  <c r="A529" i="1"/>
  <c r="L528" i="1"/>
  <c r="J528" i="1"/>
  <c r="A528" i="1"/>
  <c r="L527" i="1"/>
  <c r="A527" i="1"/>
  <c r="L526" i="1"/>
  <c r="J526" i="1"/>
  <c r="A526" i="1"/>
  <c r="L525" i="1"/>
  <c r="J525" i="1"/>
  <c r="A525" i="1"/>
  <c r="L524" i="1"/>
  <c r="A524" i="1"/>
  <c r="L523" i="1"/>
  <c r="A523" i="1"/>
  <c r="L522" i="1"/>
  <c r="J522" i="1"/>
  <c r="A522" i="1"/>
  <c r="L521" i="1"/>
  <c r="J521" i="1"/>
  <c r="A521" i="1"/>
  <c r="L520" i="1"/>
  <c r="A520" i="1"/>
  <c r="L519" i="1"/>
  <c r="J519" i="1"/>
  <c r="A519" i="1"/>
  <c r="L518" i="1"/>
  <c r="J518" i="1"/>
  <c r="A518" i="1"/>
  <c r="L517" i="1"/>
  <c r="J517" i="1"/>
  <c r="A517" i="1"/>
  <c r="L516" i="1"/>
  <c r="J516" i="1"/>
  <c r="A516" i="1"/>
  <c r="L515" i="1"/>
  <c r="J515" i="1"/>
  <c r="A515" i="1"/>
  <c r="L514" i="1"/>
  <c r="J514" i="1"/>
  <c r="A514" i="1"/>
  <c r="L513" i="1"/>
  <c r="J513" i="1"/>
  <c r="A513" i="1"/>
  <c r="L512" i="1"/>
  <c r="A512" i="1"/>
  <c r="L511" i="1"/>
  <c r="J511" i="1"/>
  <c r="A511" i="1"/>
  <c r="L510" i="1"/>
  <c r="A510" i="1"/>
  <c r="L509" i="1"/>
  <c r="A509" i="1"/>
  <c r="L508" i="1"/>
  <c r="A508" i="1"/>
  <c r="L507" i="1"/>
  <c r="A507" i="1"/>
  <c r="L506" i="1"/>
  <c r="J506" i="1"/>
  <c r="A506" i="1"/>
  <c r="L505" i="1"/>
  <c r="A505" i="1"/>
  <c r="L504" i="1"/>
  <c r="A504" i="1"/>
  <c r="L503" i="1"/>
  <c r="J503" i="1"/>
  <c r="A503" i="1"/>
  <c r="L502" i="1"/>
  <c r="A502" i="1"/>
  <c r="L501" i="1"/>
  <c r="A501" i="1"/>
  <c r="L500" i="1"/>
  <c r="J500" i="1"/>
  <c r="A500" i="1"/>
  <c r="L499" i="1"/>
  <c r="J499" i="1"/>
  <c r="A499" i="1"/>
  <c r="L498" i="1"/>
  <c r="A498" i="1"/>
  <c r="L497" i="1"/>
  <c r="J497" i="1"/>
  <c r="A497" i="1"/>
  <c r="L496" i="1"/>
  <c r="J496" i="1"/>
  <c r="A496" i="1"/>
  <c r="L495" i="1"/>
  <c r="J495" i="1"/>
  <c r="A495" i="1"/>
  <c r="L494" i="1"/>
  <c r="J494" i="1"/>
  <c r="A494" i="1"/>
  <c r="L493" i="1"/>
  <c r="J493" i="1"/>
  <c r="A493" i="1"/>
  <c r="L492" i="1"/>
  <c r="A492" i="1"/>
  <c r="L491" i="1"/>
  <c r="A491" i="1"/>
  <c r="L490" i="1"/>
  <c r="J490" i="1"/>
  <c r="A490" i="1"/>
  <c r="L489" i="1"/>
  <c r="A489" i="1"/>
  <c r="L488" i="1"/>
  <c r="J488" i="1"/>
  <c r="A488" i="1"/>
  <c r="L487" i="1"/>
  <c r="J487" i="1"/>
  <c r="A487" i="1"/>
  <c r="L486" i="1"/>
  <c r="J486" i="1"/>
  <c r="A486" i="1"/>
  <c r="L485" i="1"/>
  <c r="J485" i="1"/>
  <c r="A485" i="1"/>
  <c r="L484" i="1"/>
  <c r="J484" i="1"/>
  <c r="A484" i="1"/>
  <c r="L483" i="1"/>
  <c r="J483" i="1"/>
  <c r="A483" i="1"/>
  <c r="L482" i="1"/>
  <c r="A482" i="1"/>
  <c r="L481" i="1"/>
  <c r="J481" i="1"/>
  <c r="A481" i="1"/>
  <c r="L480" i="1"/>
  <c r="J480" i="1"/>
  <c r="A480" i="1"/>
  <c r="L479" i="1"/>
  <c r="A479" i="1"/>
  <c r="L478" i="1"/>
  <c r="A478" i="1"/>
  <c r="L477" i="1"/>
  <c r="A477" i="1"/>
  <c r="L476" i="1"/>
  <c r="A476" i="1"/>
  <c r="L475" i="1"/>
  <c r="A475" i="1"/>
  <c r="L474" i="1"/>
  <c r="A474" i="1"/>
  <c r="L473" i="1"/>
  <c r="A473" i="1"/>
  <c r="L472" i="1"/>
  <c r="A472" i="1"/>
  <c r="L471" i="1"/>
  <c r="J471" i="1"/>
  <c r="A471" i="1"/>
  <c r="L470" i="1"/>
  <c r="J470" i="1"/>
  <c r="A470" i="1"/>
  <c r="L469" i="1"/>
  <c r="J469" i="1"/>
  <c r="A469" i="1"/>
  <c r="L468" i="1"/>
  <c r="A468" i="1"/>
  <c r="L467" i="1"/>
  <c r="A467" i="1"/>
  <c r="L466" i="1"/>
  <c r="A466" i="1"/>
  <c r="L465" i="1"/>
  <c r="A465" i="1"/>
  <c r="L464" i="1"/>
  <c r="J464" i="1"/>
  <c r="A464" i="1"/>
  <c r="L463" i="1"/>
  <c r="A463" i="1"/>
  <c r="L462" i="1"/>
  <c r="J462" i="1"/>
  <c r="A462" i="1"/>
  <c r="L461" i="1"/>
  <c r="J461" i="1"/>
  <c r="A461" i="1"/>
  <c r="L460" i="1"/>
  <c r="J460" i="1"/>
  <c r="A460" i="1"/>
  <c r="L459" i="1"/>
  <c r="J459" i="1"/>
  <c r="A459" i="1"/>
  <c r="L458" i="1"/>
  <c r="A458" i="1"/>
  <c r="L457" i="1"/>
  <c r="J457" i="1"/>
  <c r="A457" i="1"/>
  <c r="L456" i="1"/>
  <c r="J456" i="1"/>
  <c r="A456" i="1"/>
  <c r="L455" i="1"/>
  <c r="J455" i="1"/>
  <c r="A455" i="1"/>
  <c r="L454" i="1"/>
  <c r="J454" i="1"/>
  <c r="A454" i="1"/>
  <c r="L453" i="1"/>
  <c r="J453" i="1"/>
  <c r="A453" i="1"/>
  <c r="L452" i="1"/>
  <c r="J452" i="1"/>
  <c r="A452" i="1"/>
  <c r="L451" i="1"/>
  <c r="J451" i="1"/>
  <c r="A451" i="1"/>
  <c r="L450" i="1"/>
  <c r="J450" i="1"/>
  <c r="A450" i="1"/>
  <c r="L449" i="1"/>
  <c r="J449" i="1"/>
  <c r="A449" i="1"/>
  <c r="L448" i="1"/>
  <c r="A448" i="1"/>
  <c r="L447" i="1"/>
  <c r="A447" i="1"/>
  <c r="L446" i="1"/>
  <c r="J446" i="1"/>
  <c r="A446" i="1"/>
  <c r="L445" i="1"/>
  <c r="J445" i="1"/>
  <c r="A445" i="1"/>
  <c r="L444" i="1"/>
  <c r="A444" i="1"/>
  <c r="L443" i="1"/>
  <c r="J443" i="1"/>
  <c r="A443" i="1"/>
  <c r="L442" i="1"/>
  <c r="J442" i="1"/>
  <c r="A442" i="1"/>
  <c r="L441" i="1"/>
  <c r="A441" i="1"/>
  <c r="L440" i="1"/>
  <c r="J440" i="1"/>
  <c r="A440" i="1"/>
  <c r="L439" i="1"/>
  <c r="A439" i="1"/>
  <c r="L438" i="1"/>
  <c r="J438" i="1"/>
  <c r="A438" i="1"/>
  <c r="L437" i="1"/>
  <c r="J437" i="1"/>
  <c r="A437" i="1"/>
  <c r="L436" i="1"/>
  <c r="A436" i="1"/>
  <c r="L435" i="1"/>
  <c r="A435" i="1"/>
  <c r="L434" i="1"/>
  <c r="A434" i="1"/>
  <c r="L433" i="1"/>
  <c r="J433" i="1"/>
  <c r="A433" i="1"/>
  <c r="L432" i="1"/>
  <c r="J432" i="1"/>
  <c r="A432" i="1"/>
  <c r="L431" i="1"/>
  <c r="J431" i="1"/>
  <c r="A431" i="1"/>
  <c r="L430" i="1"/>
  <c r="J430" i="1"/>
  <c r="A430" i="1"/>
  <c r="L429" i="1"/>
  <c r="A429" i="1"/>
  <c r="L428" i="1"/>
  <c r="A428" i="1"/>
  <c r="L427" i="1"/>
  <c r="J427" i="1"/>
  <c r="A427" i="1"/>
  <c r="L426" i="1"/>
  <c r="J426" i="1"/>
  <c r="A426" i="1"/>
  <c r="L425" i="1"/>
  <c r="A425" i="1"/>
  <c r="L424" i="1"/>
  <c r="J424" i="1"/>
  <c r="A424" i="1"/>
  <c r="L423" i="1"/>
  <c r="A423" i="1"/>
  <c r="L422" i="1"/>
  <c r="A422" i="1"/>
  <c r="L421" i="1"/>
  <c r="J421" i="1"/>
  <c r="A421" i="1"/>
  <c r="L420" i="1"/>
  <c r="J420" i="1"/>
  <c r="A420" i="1"/>
  <c r="L419" i="1"/>
  <c r="A419" i="1"/>
  <c r="L418" i="1"/>
  <c r="J418" i="1"/>
  <c r="A418" i="1"/>
  <c r="L417" i="1"/>
  <c r="J417" i="1"/>
  <c r="A417" i="1"/>
  <c r="L416" i="1"/>
  <c r="J416" i="1"/>
  <c r="A416" i="1"/>
  <c r="L415" i="1"/>
  <c r="A415" i="1"/>
  <c r="L414" i="1"/>
  <c r="A414" i="1"/>
  <c r="L413" i="1"/>
  <c r="J413" i="1"/>
  <c r="A413" i="1"/>
  <c r="L412" i="1"/>
  <c r="J412" i="1"/>
  <c r="A412" i="1"/>
  <c r="L411" i="1"/>
  <c r="A411" i="1"/>
  <c r="L410" i="1"/>
  <c r="A410" i="1"/>
  <c r="L409" i="1"/>
  <c r="J409" i="1"/>
  <c r="A409" i="1"/>
  <c r="L408" i="1"/>
  <c r="J408" i="1"/>
  <c r="A408" i="1"/>
  <c r="L407" i="1"/>
  <c r="A407" i="1"/>
  <c r="L406" i="1"/>
  <c r="A406" i="1"/>
  <c r="L405" i="1"/>
  <c r="J405" i="1"/>
  <c r="A405" i="1"/>
  <c r="L404" i="1"/>
  <c r="J404" i="1"/>
  <c r="A404" i="1"/>
  <c r="L403" i="1"/>
  <c r="J403" i="1"/>
  <c r="A403" i="1"/>
  <c r="L402" i="1"/>
  <c r="J402" i="1"/>
  <c r="A402" i="1"/>
  <c r="L401" i="1"/>
  <c r="A401" i="1"/>
  <c r="L400" i="1"/>
  <c r="A400" i="1"/>
  <c r="L399" i="1"/>
  <c r="J399" i="1"/>
  <c r="A399" i="1"/>
  <c r="L398" i="1"/>
  <c r="J398" i="1"/>
  <c r="A398" i="1"/>
  <c r="L397" i="1"/>
  <c r="J397" i="1"/>
  <c r="A397" i="1"/>
  <c r="L396" i="1"/>
  <c r="J396" i="1"/>
  <c r="A396" i="1"/>
  <c r="L395" i="1"/>
  <c r="A395" i="1"/>
  <c r="L394" i="1"/>
  <c r="A394" i="1"/>
  <c r="L393" i="1"/>
  <c r="A393" i="1"/>
  <c r="L392" i="1"/>
  <c r="J392" i="1"/>
  <c r="A392" i="1"/>
  <c r="L391" i="1"/>
  <c r="J391" i="1"/>
  <c r="A391" i="1"/>
  <c r="L390" i="1"/>
  <c r="J390" i="1"/>
  <c r="A390" i="1"/>
  <c r="L389" i="1"/>
  <c r="J389" i="1"/>
  <c r="A389" i="1"/>
  <c r="L388" i="1"/>
  <c r="J388" i="1"/>
  <c r="A388" i="1"/>
  <c r="L387" i="1"/>
  <c r="J387" i="1"/>
  <c r="A387" i="1"/>
  <c r="L386" i="1"/>
  <c r="J386" i="1"/>
  <c r="A386" i="1"/>
  <c r="L385" i="1"/>
  <c r="A385" i="1"/>
  <c r="L384" i="1"/>
  <c r="A384" i="1"/>
  <c r="L383" i="1"/>
  <c r="A383" i="1"/>
  <c r="L382" i="1"/>
  <c r="J382" i="1"/>
  <c r="A382" i="1"/>
  <c r="L381" i="1"/>
  <c r="J381" i="1"/>
  <c r="A381" i="1"/>
  <c r="L380" i="1"/>
  <c r="A380" i="1"/>
  <c r="L379" i="1"/>
  <c r="J379" i="1"/>
  <c r="A379" i="1"/>
  <c r="L378" i="1"/>
  <c r="A378" i="1"/>
  <c r="L377" i="1"/>
  <c r="J377" i="1"/>
  <c r="A377" i="1"/>
  <c r="L376" i="1"/>
  <c r="A376" i="1"/>
  <c r="L375" i="1"/>
  <c r="A375" i="1"/>
  <c r="L374" i="1"/>
  <c r="J374" i="1"/>
  <c r="A374" i="1"/>
  <c r="L373" i="1"/>
  <c r="A373" i="1"/>
  <c r="L372" i="1"/>
  <c r="J372" i="1"/>
  <c r="A372" i="1"/>
  <c r="L371" i="1"/>
  <c r="A371" i="1"/>
  <c r="L370" i="1"/>
  <c r="A370" i="1"/>
  <c r="L369" i="1"/>
  <c r="J369" i="1"/>
  <c r="A369" i="1"/>
  <c r="L368" i="1"/>
  <c r="A368" i="1"/>
  <c r="L367" i="1"/>
  <c r="J367" i="1"/>
  <c r="A367" i="1"/>
  <c r="L366" i="1"/>
  <c r="J366" i="1"/>
  <c r="A366" i="1"/>
  <c r="L365" i="1"/>
  <c r="J365" i="1"/>
  <c r="A365" i="1"/>
  <c r="L364" i="1"/>
  <c r="A364" i="1"/>
  <c r="L363" i="1"/>
  <c r="J363" i="1"/>
  <c r="A363" i="1"/>
  <c r="L362" i="1"/>
  <c r="A362" i="1"/>
  <c r="L361" i="1"/>
  <c r="A361" i="1"/>
  <c r="L360" i="1"/>
  <c r="A360" i="1"/>
  <c r="L359" i="1"/>
  <c r="J359" i="1"/>
  <c r="A359" i="1"/>
  <c r="L358" i="1"/>
  <c r="A358" i="1"/>
  <c r="L357" i="1"/>
  <c r="A357" i="1"/>
  <c r="L356" i="1"/>
  <c r="A356" i="1"/>
  <c r="L355" i="1"/>
  <c r="J355" i="1"/>
  <c r="A355" i="1"/>
  <c r="L354" i="1"/>
  <c r="J354" i="1"/>
  <c r="A354" i="1"/>
  <c r="L353" i="1"/>
  <c r="J353" i="1"/>
  <c r="A353" i="1"/>
  <c r="L352" i="1"/>
  <c r="J352" i="1"/>
  <c r="A352" i="1"/>
  <c r="L351" i="1"/>
  <c r="J351" i="1"/>
  <c r="A351" i="1"/>
  <c r="L350" i="1"/>
  <c r="A350" i="1"/>
  <c r="L349" i="1"/>
  <c r="J349" i="1"/>
  <c r="A349" i="1"/>
  <c r="L348" i="1"/>
  <c r="J348" i="1"/>
  <c r="A348" i="1"/>
  <c r="L347" i="1"/>
  <c r="J347" i="1"/>
  <c r="A347" i="1"/>
  <c r="L346" i="1"/>
  <c r="A346" i="1"/>
  <c r="L345" i="1"/>
  <c r="A345" i="1"/>
  <c r="L344" i="1"/>
  <c r="A344" i="1"/>
  <c r="L343" i="1"/>
  <c r="J343" i="1"/>
  <c r="A343" i="1"/>
  <c r="L342" i="1"/>
  <c r="J342" i="1"/>
  <c r="A342" i="1"/>
  <c r="L341" i="1"/>
  <c r="A341" i="1"/>
  <c r="L340" i="1"/>
  <c r="A340" i="1"/>
  <c r="L339" i="1"/>
  <c r="J339" i="1"/>
  <c r="A339" i="1"/>
  <c r="L338" i="1"/>
  <c r="A338" i="1"/>
  <c r="L337" i="1"/>
  <c r="J337" i="1"/>
  <c r="A337" i="1"/>
  <c r="L336" i="1"/>
  <c r="A336" i="1"/>
  <c r="L335" i="1"/>
  <c r="A335" i="1"/>
  <c r="L334" i="1"/>
  <c r="J334" i="1"/>
  <c r="A334" i="1"/>
  <c r="L333" i="1"/>
  <c r="A333" i="1"/>
  <c r="L332" i="1"/>
  <c r="A332" i="1"/>
  <c r="L331" i="1"/>
  <c r="J331" i="1"/>
  <c r="A331" i="1"/>
  <c r="L330" i="1"/>
  <c r="J330" i="1"/>
  <c r="A330" i="1"/>
  <c r="L329" i="1"/>
  <c r="A329" i="1"/>
  <c r="L328" i="1"/>
  <c r="A328" i="1"/>
  <c r="L327" i="1"/>
  <c r="J327" i="1"/>
  <c r="A327" i="1"/>
  <c r="L326" i="1"/>
  <c r="J326" i="1"/>
  <c r="A326" i="1"/>
  <c r="L325" i="1"/>
  <c r="J325" i="1"/>
  <c r="A325" i="1"/>
  <c r="L324" i="1"/>
  <c r="J324" i="1"/>
  <c r="A324" i="1"/>
  <c r="L323" i="1"/>
  <c r="J323" i="1"/>
  <c r="A323" i="1"/>
  <c r="L322" i="1"/>
  <c r="J322" i="1"/>
  <c r="A322" i="1"/>
  <c r="L321" i="1"/>
  <c r="J321" i="1"/>
  <c r="A321" i="1"/>
  <c r="L320" i="1"/>
  <c r="A320" i="1"/>
  <c r="L319" i="1"/>
  <c r="J319" i="1"/>
  <c r="A319" i="1"/>
  <c r="L318" i="1"/>
  <c r="A318" i="1"/>
  <c r="L317" i="1"/>
  <c r="J317" i="1"/>
  <c r="A317" i="1"/>
  <c r="L316" i="1"/>
  <c r="J316" i="1"/>
  <c r="A316" i="1"/>
  <c r="L315" i="1"/>
  <c r="J315" i="1"/>
  <c r="A315" i="1"/>
  <c r="L314" i="1"/>
  <c r="J314" i="1"/>
  <c r="A314" i="1"/>
  <c r="L313" i="1"/>
  <c r="J313" i="1"/>
  <c r="A313" i="1"/>
  <c r="L312" i="1"/>
  <c r="A312" i="1"/>
  <c r="L311" i="1"/>
  <c r="J311" i="1"/>
  <c r="A311" i="1"/>
  <c r="L310" i="1"/>
  <c r="J310" i="1"/>
  <c r="A310" i="1"/>
  <c r="L309" i="1"/>
  <c r="J309" i="1"/>
  <c r="A309" i="1"/>
  <c r="L308" i="1"/>
  <c r="J308" i="1"/>
  <c r="A308" i="1"/>
  <c r="L307" i="1"/>
  <c r="A307" i="1"/>
  <c r="L306" i="1"/>
  <c r="J306" i="1"/>
  <c r="A306" i="1"/>
  <c r="L305" i="1"/>
  <c r="A305" i="1"/>
  <c r="L304" i="1"/>
  <c r="J304" i="1"/>
  <c r="A304" i="1"/>
  <c r="L303" i="1"/>
  <c r="A303" i="1"/>
  <c r="L302" i="1"/>
  <c r="A302" i="1"/>
  <c r="L301" i="1"/>
  <c r="A301" i="1"/>
  <c r="L300" i="1"/>
  <c r="A300" i="1"/>
  <c r="L299" i="1"/>
  <c r="A299" i="1"/>
  <c r="L298" i="1"/>
  <c r="A298" i="1"/>
  <c r="L297" i="1"/>
  <c r="J297" i="1"/>
  <c r="A297" i="1"/>
  <c r="L296" i="1"/>
  <c r="J296" i="1"/>
  <c r="A296" i="1"/>
  <c r="L295" i="1"/>
  <c r="J295" i="1"/>
  <c r="A295" i="1"/>
  <c r="L294" i="1"/>
  <c r="J294" i="1"/>
  <c r="A294" i="1"/>
  <c r="L293" i="1"/>
  <c r="J293" i="1"/>
  <c r="A293" i="1"/>
  <c r="L292" i="1"/>
  <c r="J292" i="1"/>
  <c r="A292" i="1"/>
  <c r="L291" i="1"/>
  <c r="J291" i="1"/>
  <c r="A291" i="1"/>
  <c r="L290" i="1"/>
  <c r="J290" i="1"/>
  <c r="A290" i="1"/>
  <c r="L289" i="1"/>
  <c r="A289" i="1"/>
  <c r="L288" i="1"/>
  <c r="A288" i="1"/>
  <c r="L287" i="1"/>
  <c r="J287" i="1"/>
  <c r="A287" i="1"/>
  <c r="L286" i="1"/>
  <c r="A286" i="1"/>
  <c r="L285" i="1"/>
  <c r="A285" i="1"/>
  <c r="L284" i="1"/>
  <c r="J284" i="1"/>
  <c r="A284" i="1"/>
  <c r="L283" i="1"/>
  <c r="A283" i="1"/>
  <c r="L282" i="1"/>
  <c r="J282" i="1"/>
  <c r="A282" i="1"/>
  <c r="L281" i="1"/>
  <c r="J281" i="1"/>
  <c r="A281" i="1"/>
  <c r="L280" i="1"/>
  <c r="A280" i="1"/>
  <c r="L279" i="1"/>
  <c r="A279" i="1"/>
  <c r="L278" i="1"/>
  <c r="J278" i="1"/>
  <c r="A278" i="1"/>
  <c r="L277" i="1"/>
  <c r="J277" i="1"/>
  <c r="A277" i="1"/>
  <c r="L276" i="1"/>
  <c r="A276" i="1"/>
  <c r="L275" i="1"/>
  <c r="J275" i="1"/>
  <c r="A275" i="1"/>
  <c r="L274" i="1"/>
  <c r="J274" i="1"/>
  <c r="A274" i="1"/>
  <c r="L273" i="1"/>
  <c r="A273" i="1"/>
  <c r="L272" i="1"/>
  <c r="A272" i="1"/>
  <c r="L271" i="1"/>
  <c r="A271" i="1"/>
  <c r="L270" i="1"/>
  <c r="A270" i="1"/>
  <c r="L269" i="1"/>
  <c r="J269" i="1"/>
  <c r="A269" i="1"/>
  <c r="L268" i="1"/>
  <c r="J268" i="1"/>
  <c r="A268" i="1"/>
  <c r="L267" i="1"/>
  <c r="A267" i="1"/>
  <c r="L266" i="1"/>
  <c r="J266" i="1"/>
  <c r="A266" i="1"/>
  <c r="L265" i="1"/>
  <c r="J265" i="1"/>
  <c r="A265" i="1"/>
  <c r="L264" i="1"/>
  <c r="J264" i="1"/>
  <c r="A264" i="1"/>
  <c r="L263" i="1"/>
  <c r="J263" i="1"/>
  <c r="A263" i="1"/>
  <c r="L262" i="1"/>
  <c r="A262" i="1"/>
  <c r="L261" i="1"/>
  <c r="J261" i="1"/>
  <c r="A261" i="1"/>
  <c r="L260" i="1"/>
  <c r="A260" i="1"/>
  <c r="L259" i="1"/>
  <c r="J259" i="1"/>
  <c r="A259" i="1"/>
  <c r="L258" i="1"/>
  <c r="J258" i="1"/>
  <c r="A258" i="1"/>
  <c r="L257" i="1"/>
  <c r="J257" i="1"/>
  <c r="A257" i="1"/>
  <c r="L256" i="1"/>
  <c r="J256" i="1"/>
  <c r="A256" i="1"/>
  <c r="L255" i="1"/>
  <c r="A255" i="1"/>
  <c r="L254" i="1"/>
  <c r="J254" i="1"/>
  <c r="A254" i="1"/>
  <c r="L253" i="1"/>
  <c r="J253" i="1"/>
  <c r="A253" i="1"/>
  <c r="L252" i="1"/>
  <c r="J252" i="1"/>
  <c r="A252" i="1"/>
  <c r="L251" i="1"/>
  <c r="J251" i="1"/>
  <c r="A251" i="1"/>
  <c r="L250" i="1"/>
  <c r="J250" i="1"/>
  <c r="A250" i="1"/>
  <c r="L249" i="1"/>
  <c r="A249" i="1"/>
  <c r="L248" i="1"/>
  <c r="J248" i="1"/>
  <c r="A248" i="1"/>
  <c r="L247" i="1"/>
  <c r="A247" i="1"/>
  <c r="L246" i="1"/>
  <c r="J246" i="1"/>
  <c r="A246" i="1"/>
  <c r="L245" i="1"/>
  <c r="J245" i="1"/>
  <c r="A245" i="1"/>
  <c r="L244" i="1"/>
  <c r="J244" i="1"/>
  <c r="A244" i="1"/>
  <c r="L243" i="1"/>
  <c r="J243" i="1"/>
  <c r="A243" i="1"/>
  <c r="L242" i="1"/>
  <c r="J242" i="1"/>
  <c r="A242" i="1"/>
  <c r="L241" i="1"/>
  <c r="J241" i="1"/>
  <c r="A241" i="1"/>
  <c r="L240" i="1"/>
  <c r="J240" i="1"/>
  <c r="A240" i="1"/>
  <c r="L239" i="1"/>
  <c r="A239" i="1"/>
  <c r="L238" i="1"/>
  <c r="J238" i="1"/>
  <c r="A238" i="1"/>
  <c r="L237" i="1"/>
  <c r="J237" i="1"/>
  <c r="A237" i="1"/>
  <c r="L236" i="1"/>
  <c r="A236" i="1"/>
  <c r="L235" i="1"/>
  <c r="A235" i="1"/>
  <c r="L234" i="1"/>
  <c r="A234" i="1"/>
  <c r="L233" i="1"/>
  <c r="J233" i="1"/>
  <c r="A233" i="1"/>
  <c r="L232" i="1"/>
  <c r="J232" i="1"/>
  <c r="A232" i="1"/>
  <c r="L231" i="1"/>
  <c r="A231" i="1"/>
  <c r="L230" i="1"/>
  <c r="J230" i="1"/>
  <c r="A230" i="1"/>
  <c r="L229" i="1"/>
  <c r="J229" i="1"/>
  <c r="A229" i="1"/>
  <c r="L228" i="1"/>
  <c r="A228" i="1"/>
  <c r="L227" i="1"/>
  <c r="A227" i="1"/>
  <c r="L226" i="1"/>
  <c r="J226" i="1"/>
  <c r="A226" i="1"/>
  <c r="L225" i="1"/>
  <c r="A225" i="1"/>
  <c r="L224" i="1"/>
  <c r="A224" i="1"/>
  <c r="L223" i="1"/>
  <c r="J223" i="1"/>
  <c r="A223" i="1"/>
  <c r="L222" i="1"/>
  <c r="J222" i="1"/>
  <c r="A222" i="1"/>
  <c r="L221" i="1"/>
  <c r="J221" i="1"/>
  <c r="A221" i="1"/>
  <c r="L220" i="1"/>
  <c r="A220" i="1"/>
  <c r="L219" i="1"/>
  <c r="J219" i="1"/>
  <c r="A219" i="1"/>
  <c r="L218" i="1"/>
  <c r="A218" i="1"/>
  <c r="L217" i="1"/>
  <c r="J217" i="1"/>
  <c r="A217" i="1"/>
  <c r="L216" i="1"/>
  <c r="J216" i="1"/>
  <c r="A216" i="1"/>
  <c r="L215" i="1"/>
  <c r="J215" i="1"/>
  <c r="A215" i="1"/>
  <c r="L214" i="1"/>
  <c r="J214" i="1"/>
  <c r="A214" i="1"/>
  <c r="L213" i="1"/>
  <c r="J213" i="1"/>
  <c r="A213" i="1"/>
  <c r="L212" i="1"/>
  <c r="J212" i="1"/>
  <c r="A212" i="1"/>
  <c r="L211" i="1"/>
  <c r="J211" i="1"/>
  <c r="A211" i="1"/>
  <c r="L210" i="1"/>
  <c r="J210" i="1"/>
  <c r="A210" i="1"/>
  <c r="L209" i="1"/>
  <c r="J209" i="1"/>
  <c r="A209" i="1"/>
  <c r="L208" i="1"/>
  <c r="A208" i="1"/>
  <c r="L207" i="1"/>
  <c r="J207" i="1"/>
  <c r="A207" i="1"/>
  <c r="L206" i="1"/>
  <c r="A206" i="1"/>
  <c r="L205" i="1"/>
  <c r="J205" i="1"/>
  <c r="A205" i="1"/>
  <c r="L204" i="1"/>
  <c r="A204" i="1"/>
  <c r="L203" i="1"/>
  <c r="A203" i="1"/>
  <c r="L202" i="1"/>
  <c r="A202" i="1"/>
  <c r="L201" i="1"/>
  <c r="A201" i="1"/>
  <c r="L200" i="1"/>
  <c r="A200" i="1"/>
  <c r="L199" i="1"/>
  <c r="J199" i="1"/>
  <c r="A199" i="1"/>
  <c r="L198" i="1"/>
  <c r="J198" i="1"/>
  <c r="A198" i="1"/>
  <c r="L197" i="1"/>
  <c r="J197" i="1"/>
  <c r="A197" i="1"/>
  <c r="L196" i="1"/>
  <c r="J196" i="1"/>
  <c r="A196" i="1"/>
  <c r="L195" i="1"/>
  <c r="J195" i="1"/>
  <c r="A195" i="1"/>
  <c r="L194" i="1"/>
  <c r="J194" i="1"/>
  <c r="A194" i="1"/>
  <c r="L193" i="1"/>
  <c r="J193" i="1"/>
  <c r="A193" i="1"/>
  <c r="L192" i="1"/>
  <c r="A192" i="1"/>
  <c r="L191" i="1"/>
  <c r="J191" i="1"/>
  <c r="A191" i="1"/>
  <c r="L190" i="1"/>
  <c r="J190" i="1"/>
  <c r="A190" i="1"/>
  <c r="L189" i="1"/>
  <c r="J189" i="1"/>
  <c r="A189" i="1"/>
  <c r="L188" i="1"/>
  <c r="J188" i="1"/>
  <c r="A188" i="1"/>
  <c r="L187" i="1"/>
  <c r="J187" i="1"/>
  <c r="A187" i="1"/>
  <c r="L186" i="1"/>
  <c r="A186" i="1"/>
  <c r="L185" i="1"/>
  <c r="J185" i="1"/>
  <c r="A185" i="1"/>
  <c r="L184" i="1"/>
  <c r="J184" i="1"/>
  <c r="A184" i="1"/>
  <c r="L183" i="1"/>
  <c r="J183" i="1"/>
  <c r="A183" i="1"/>
  <c r="L182" i="1"/>
  <c r="J182" i="1"/>
  <c r="A182" i="1"/>
  <c r="L181" i="1"/>
  <c r="A181" i="1"/>
  <c r="L180" i="1"/>
  <c r="J180" i="1"/>
  <c r="A180" i="1"/>
  <c r="L179" i="1"/>
  <c r="J179" i="1"/>
  <c r="A179" i="1"/>
  <c r="L178" i="1"/>
  <c r="A178" i="1"/>
  <c r="L177" i="1"/>
  <c r="J177" i="1"/>
  <c r="A177" i="1"/>
  <c r="L176" i="1"/>
  <c r="J176" i="1"/>
  <c r="A176" i="1"/>
  <c r="L175" i="1"/>
  <c r="J175" i="1"/>
  <c r="A175" i="1"/>
  <c r="L174" i="1"/>
  <c r="J174" i="1"/>
  <c r="A174" i="1"/>
  <c r="L173" i="1"/>
  <c r="A173" i="1"/>
  <c r="L172" i="1"/>
  <c r="J172" i="1"/>
  <c r="A172" i="1"/>
  <c r="L171" i="1"/>
  <c r="J171" i="1"/>
  <c r="A171" i="1"/>
  <c r="L170" i="1"/>
  <c r="J170" i="1"/>
  <c r="A170" i="1"/>
  <c r="L169" i="1"/>
  <c r="J169" i="1"/>
  <c r="A169" i="1"/>
  <c r="L168" i="1"/>
  <c r="A168" i="1"/>
  <c r="L167" i="1"/>
  <c r="J167" i="1"/>
  <c r="A167" i="1"/>
  <c r="L166" i="1"/>
  <c r="J166" i="1"/>
  <c r="A166" i="1"/>
  <c r="L165" i="1"/>
  <c r="J165" i="1"/>
  <c r="A165" i="1"/>
  <c r="L164" i="1"/>
  <c r="J164" i="1"/>
  <c r="A164" i="1"/>
  <c r="L163" i="1"/>
  <c r="A163" i="1"/>
  <c r="L162" i="1"/>
  <c r="A162" i="1"/>
  <c r="L161" i="1"/>
  <c r="J161" i="1"/>
  <c r="A161" i="1"/>
  <c r="L160" i="1"/>
  <c r="J160" i="1"/>
  <c r="A160" i="1"/>
  <c r="L159" i="1"/>
  <c r="A159" i="1"/>
  <c r="L158" i="1"/>
  <c r="J158" i="1"/>
  <c r="A158" i="1"/>
  <c r="L157" i="1"/>
  <c r="J157" i="1"/>
  <c r="A157" i="1"/>
  <c r="L156" i="1"/>
  <c r="J156" i="1"/>
  <c r="A156" i="1"/>
  <c r="L155" i="1"/>
  <c r="J155" i="1"/>
  <c r="A155" i="1"/>
  <c r="L154" i="1"/>
  <c r="J154" i="1"/>
  <c r="A154" i="1"/>
  <c r="L153" i="1"/>
  <c r="A153" i="1"/>
  <c r="L152" i="1"/>
  <c r="A152" i="1"/>
  <c r="L151" i="1"/>
  <c r="A151" i="1"/>
  <c r="L150" i="1"/>
  <c r="J150" i="1"/>
  <c r="A150" i="1"/>
  <c r="L149" i="1"/>
  <c r="J149" i="1"/>
  <c r="A149" i="1"/>
  <c r="L148" i="1"/>
  <c r="J148" i="1"/>
  <c r="A148" i="1"/>
  <c r="L147" i="1"/>
  <c r="J147" i="1"/>
  <c r="A147" i="1"/>
  <c r="L146" i="1"/>
  <c r="J146" i="1"/>
  <c r="A146" i="1"/>
  <c r="L145" i="1"/>
  <c r="J145" i="1"/>
  <c r="A145" i="1"/>
  <c r="L144" i="1"/>
  <c r="J144" i="1"/>
  <c r="A144" i="1"/>
  <c r="L143" i="1"/>
  <c r="A143" i="1"/>
  <c r="L142" i="1"/>
  <c r="J142" i="1"/>
  <c r="A142" i="1"/>
  <c r="L141" i="1"/>
  <c r="J141" i="1"/>
  <c r="A141" i="1"/>
  <c r="L140" i="1"/>
  <c r="J140" i="1"/>
  <c r="A140" i="1"/>
  <c r="L139" i="1"/>
  <c r="J139" i="1"/>
  <c r="A139" i="1"/>
  <c r="L138" i="1"/>
  <c r="A138" i="1"/>
  <c r="L137" i="1"/>
  <c r="J137" i="1"/>
  <c r="A137" i="1"/>
  <c r="L136" i="1"/>
  <c r="J136" i="1"/>
  <c r="A136" i="1"/>
  <c r="L135" i="1"/>
  <c r="J135" i="1"/>
  <c r="A135" i="1"/>
  <c r="L134" i="1"/>
  <c r="J134" i="1"/>
  <c r="A134" i="1"/>
  <c r="L133" i="1"/>
  <c r="A133" i="1"/>
  <c r="L132" i="1"/>
  <c r="A132" i="1"/>
  <c r="L131" i="1"/>
  <c r="A131" i="1"/>
  <c r="L130" i="1"/>
  <c r="A130" i="1"/>
  <c r="L129" i="1"/>
  <c r="J129" i="1"/>
  <c r="A129" i="1"/>
  <c r="L128" i="1"/>
  <c r="A128" i="1"/>
  <c r="L127" i="1"/>
  <c r="A127" i="1"/>
  <c r="L126" i="1"/>
  <c r="J126" i="1"/>
  <c r="A126" i="1"/>
  <c r="L125" i="1"/>
  <c r="A125" i="1"/>
  <c r="L124" i="1"/>
  <c r="J124" i="1"/>
  <c r="A124" i="1"/>
  <c r="L123" i="1"/>
  <c r="J123" i="1"/>
  <c r="A123" i="1"/>
  <c r="L122" i="1"/>
  <c r="A122" i="1"/>
  <c r="L121" i="1"/>
  <c r="J121" i="1"/>
  <c r="A121" i="1"/>
  <c r="L120" i="1"/>
  <c r="J120" i="1"/>
  <c r="A120" i="1"/>
  <c r="L119" i="1"/>
  <c r="A119" i="1"/>
  <c r="L118" i="1"/>
  <c r="J118" i="1"/>
  <c r="A118" i="1"/>
  <c r="L117" i="1"/>
  <c r="A117" i="1"/>
  <c r="L116" i="1"/>
  <c r="A116" i="1"/>
  <c r="L115" i="1"/>
  <c r="J115" i="1"/>
  <c r="A115" i="1"/>
  <c r="L114" i="1"/>
  <c r="J114" i="1"/>
  <c r="A114" i="1"/>
  <c r="L113" i="1"/>
  <c r="J113" i="1"/>
  <c r="A113" i="1"/>
  <c r="L112" i="1"/>
  <c r="A112" i="1"/>
  <c r="L111" i="1"/>
  <c r="J111" i="1"/>
  <c r="A111" i="1"/>
  <c r="L110" i="1"/>
  <c r="J110" i="1"/>
  <c r="A110" i="1"/>
  <c r="L109" i="1"/>
  <c r="J109" i="1"/>
  <c r="A109" i="1"/>
  <c r="L108" i="1"/>
  <c r="A108" i="1"/>
  <c r="L107" i="1"/>
  <c r="J107" i="1"/>
  <c r="A107" i="1"/>
  <c r="L106" i="1"/>
  <c r="J106" i="1"/>
  <c r="A106" i="1"/>
  <c r="L105" i="1"/>
  <c r="J105" i="1"/>
  <c r="A105" i="1"/>
  <c r="L104" i="1"/>
  <c r="A104" i="1"/>
  <c r="L103" i="1"/>
  <c r="J103" i="1"/>
  <c r="A103" i="1"/>
  <c r="L102" i="1"/>
  <c r="J102" i="1"/>
  <c r="A102" i="1"/>
  <c r="L101" i="1"/>
  <c r="J101" i="1"/>
  <c r="A101" i="1"/>
  <c r="L100" i="1"/>
  <c r="J100" i="1"/>
  <c r="A100" i="1"/>
  <c r="L99" i="1"/>
  <c r="J99" i="1"/>
  <c r="A99" i="1"/>
  <c r="L98" i="1"/>
  <c r="J98" i="1"/>
  <c r="A98" i="1"/>
  <c r="L97" i="1"/>
  <c r="J97" i="1"/>
  <c r="A97" i="1"/>
  <c r="L96" i="1"/>
  <c r="J96" i="1"/>
  <c r="A96" i="1"/>
  <c r="L95" i="1"/>
  <c r="J95" i="1"/>
  <c r="A95" i="1"/>
  <c r="L94" i="1"/>
  <c r="A94" i="1"/>
  <c r="L93" i="1"/>
  <c r="J93" i="1"/>
  <c r="A93" i="1"/>
  <c r="L92" i="1"/>
  <c r="J92" i="1"/>
  <c r="A92" i="1"/>
  <c r="L91" i="1"/>
  <c r="J91" i="1"/>
  <c r="A91" i="1"/>
  <c r="L90" i="1"/>
  <c r="J90" i="1"/>
  <c r="A90" i="1"/>
  <c r="L89" i="1"/>
  <c r="J89" i="1"/>
  <c r="A89" i="1"/>
  <c r="L88" i="1"/>
  <c r="J88" i="1"/>
  <c r="A88" i="1"/>
  <c r="L87" i="1"/>
  <c r="J87" i="1"/>
  <c r="A87" i="1"/>
  <c r="L86" i="1"/>
  <c r="J86" i="1"/>
  <c r="A86" i="1"/>
  <c r="L85" i="1"/>
  <c r="J85" i="1"/>
  <c r="A85" i="1"/>
  <c r="L84" i="1"/>
  <c r="J84" i="1"/>
  <c r="A84" i="1"/>
  <c r="L83" i="1"/>
  <c r="J83" i="1"/>
  <c r="A83" i="1"/>
  <c r="L82" i="1"/>
  <c r="J82" i="1"/>
  <c r="A82" i="1"/>
  <c r="L81" i="1"/>
  <c r="J81" i="1"/>
  <c r="A81" i="1"/>
  <c r="L80" i="1"/>
  <c r="J80" i="1"/>
  <c r="A80" i="1"/>
  <c r="L79" i="1"/>
  <c r="J79" i="1"/>
  <c r="A79" i="1"/>
  <c r="L78" i="1"/>
  <c r="J78" i="1"/>
  <c r="A78" i="1"/>
  <c r="L77" i="1"/>
  <c r="J77" i="1"/>
  <c r="A77" i="1"/>
  <c r="L76" i="1"/>
  <c r="J76" i="1"/>
  <c r="A76" i="1"/>
  <c r="L75" i="1"/>
  <c r="J75" i="1"/>
  <c r="A75" i="1"/>
  <c r="L74" i="1"/>
  <c r="J74" i="1"/>
  <c r="A74" i="1"/>
  <c r="L73" i="1"/>
  <c r="J73" i="1"/>
  <c r="A73" i="1"/>
  <c r="L72" i="1"/>
  <c r="J72" i="1"/>
  <c r="A72" i="1"/>
  <c r="L71" i="1"/>
  <c r="J71" i="1"/>
  <c r="A71" i="1"/>
  <c r="L70" i="1"/>
  <c r="A70" i="1"/>
  <c r="L69" i="1"/>
  <c r="A69" i="1"/>
  <c r="L68" i="1"/>
  <c r="J68" i="1"/>
  <c r="A68" i="1"/>
  <c r="L67" i="1"/>
  <c r="A67" i="1"/>
  <c r="L66" i="1"/>
  <c r="A66" i="1"/>
  <c r="L65" i="1"/>
  <c r="A65" i="1"/>
  <c r="L64" i="1"/>
  <c r="J64" i="1"/>
  <c r="A64" i="1"/>
  <c r="L63" i="1"/>
  <c r="A63" i="1"/>
  <c r="L62" i="1"/>
  <c r="J62" i="1"/>
  <c r="A62" i="1"/>
  <c r="L61" i="1"/>
  <c r="J61" i="1"/>
  <c r="A61" i="1"/>
  <c r="L60" i="1"/>
  <c r="A60" i="1"/>
  <c r="L59" i="1"/>
  <c r="J59" i="1"/>
  <c r="A59" i="1"/>
  <c r="L58" i="1"/>
  <c r="J58" i="1"/>
  <c r="A58" i="1"/>
  <c r="L57" i="1"/>
  <c r="A57" i="1"/>
  <c r="L56" i="1"/>
  <c r="J56" i="1"/>
  <c r="A56" i="1"/>
  <c r="L55" i="1"/>
  <c r="J55" i="1"/>
  <c r="A55" i="1"/>
  <c r="L54" i="1"/>
  <c r="J54" i="1"/>
  <c r="A54" i="1"/>
  <c r="L53" i="1"/>
  <c r="J53" i="1"/>
  <c r="A53" i="1"/>
  <c r="L52" i="1"/>
  <c r="J52" i="1"/>
  <c r="A52" i="1"/>
  <c r="L51" i="1"/>
  <c r="A51" i="1"/>
  <c r="L50" i="1"/>
  <c r="J50" i="1"/>
  <c r="A50" i="1"/>
  <c r="L49" i="1"/>
  <c r="J49" i="1"/>
  <c r="A49" i="1"/>
  <c r="L48" i="1"/>
  <c r="J48" i="1"/>
  <c r="A48" i="1"/>
  <c r="L47" i="1"/>
  <c r="J47" i="1"/>
  <c r="A47" i="1"/>
  <c r="L46" i="1"/>
  <c r="A46" i="1"/>
  <c r="L45" i="1"/>
  <c r="J45" i="1"/>
  <c r="A45" i="1"/>
  <c r="L44" i="1"/>
  <c r="J44" i="1"/>
  <c r="A44" i="1"/>
  <c r="L43" i="1"/>
  <c r="A43" i="1"/>
  <c r="L42" i="1"/>
  <c r="J42" i="1"/>
  <c r="A42" i="1"/>
  <c r="L41" i="1"/>
  <c r="J41" i="1"/>
  <c r="A41" i="1"/>
  <c r="L40" i="1"/>
  <c r="A40" i="1"/>
  <c r="L39" i="1"/>
  <c r="A39" i="1"/>
  <c r="L38" i="1"/>
  <c r="J38" i="1"/>
  <c r="A38" i="1"/>
  <c r="L37" i="1"/>
  <c r="J37" i="1"/>
  <c r="A37" i="1"/>
  <c r="L36" i="1"/>
  <c r="J36" i="1"/>
  <c r="A36" i="1"/>
  <c r="L35" i="1"/>
  <c r="J35" i="1"/>
  <c r="A35" i="1"/>
  <c r="L34" i="1"/>
  <c r="J34" i="1"/>
  <c r="A34" i="1"/>
  <c r="L33" i="1"/>
  <c r="J33" i="1"/>
  <c r="A33" i="1"/>
  <c r="L32" i="1"/>
  <c r="J32" i="1"/>
  <c r="A32" i="1"/>
  <c r="L31" i="1"/>
  <c r="A31" i="1"/>
  <c r="L30" i="1"/>
  <c r="A30" i="1"/>
  <c r="L29" i="1"/>
  <c r="J29" i="1"/>
  <c r="A29" i="1"/>
  <c r="L28" i="1"/>
  <c r="J28" i="1"/>
  <c r="A28" i="1"/>
  <c r="L27" i="1"/>
  <c r="J27" i="1"/>
  <c r="A27" i="1"/>
  <c r="L26" i="1"/>
  <c r="J26" i="1"/>
  <c r="A26" i="1"/>
  <c r="L25" i="1"/>
  <c r="J25" i="1"/>
  <c r="A25" i="1"/>
  <c r="L24" i="1"/>
  <c r="J24" i="1"/>
  <c r="A24" i="1"/>
  <c r="L23" i="1"/>
  <c r="J23" i="1"/>
  <c r="A23" i="1"/>
  <c r="L22" i="1"/>
  <c r="J22" i="1"/>
  <c r="A22" i="1"/>
  <c r="L21" i="1"/>
  <c r="J21" i="1"/>
  <c r="A21" i="1"/>
  <c r="L20" i="1"/>
  <c r="A20" i="1"/>
  <c r="L19" i="1"/>
  <c r="J19" i="1"/>
  <c r="A19" i="1"/>
  <c r="L18" i="1"/>
  <c r="J18" i="1"/>
  <c r="A18" i="1"/>
  <c r="L17" i="1"/>
  <c r="A17" i="1"/>
  <c r="L16" i="1"/>
  <c r="A16" i="1"/>
  <c r="L15" i="1"/>
  <c r="A15" i="1"/>
  <c r="L14" i="1"/>
  <c r="J14" i="1"/>
  <c r="A14" i="1"/>
  <c r="L13" i="1"/>
  <c r="J13" i="1"/>
  <c r="A13" i="1"/>
  <c r="L12" i="1"/>
  <c r="J12" i="1"/>
  <c r="A12" i="1"/>
  <c r="L11" i="1"/>
  <c r="A11" i="1"/>
  <c r="L10" i="1"/>
  <c r="A10" i="1"/>
  <c r="L9" i="1"/>
  <c r="J9" i="1"/>
  <c r="A9" i="1"/>
  <c r="L8" i="1"/>
  <c r="J8" i="1"/>
  <c r="A8" i="1"/>
  <c r="L7" i="1"/>
  <c r="J7" i="1"/>
  <c r="A7" i="1"/>
  <c r="L6" i="1"/>
  <c r="A6" i="1"/>
  <c r="L5" i="1"/>
  <c r="A5" i="1"/>
  <c r="L4" i="1"/>
  <c r="A4" i="1"/>
  <c r="K2" i="1"/>
  <c r="H2" i="1"/>
  <c r="E104" i="15"/>
  <c r="E103" i="15"/>
  <c r="E102" i="15"/>
  <c r="E101" i="15"/>
  <c r="E100" i="15"/>
  <c r="E99" i="15"/>
  <c r="E98" i="15"/>
  <c r="E97" i="15"/>
  <c r="E96" i="15"/>
  <c r="E95" i="15"/>
  <c r="H94" i="15"/>
  <c r="D94" i="15"/>
  <c r="H93" i="15"/>
  <c r="D93" i="15"/>
  <c r="H92" i="15"/>
  <c r="D92" i="15"/>
  <c r="H91" i="15"/>
  <c r="D91" i="15"/>
  <c r="H90" i="15"/>
  <c r="D90" i="15"/>
  <c r="H89" i="15"/>
  <c r="D89" i="15"/>
  <c r="H88" i="15"/>
  <c r="D88" i="15"/>
  <c r="H87" i="15"/>
  <c r="D87" i="15"/>
  <c r="H86" i="15"/>
  <c r="D86" i="15"/>
  <c r="H85" i="15"/>
  <c r="D85" i="15"/>
  <c r="H84" i="15"/>
  <c r="D84" i="15"/>
  <c r="H83" i="15"/>
  <c r="D83" i="15"/>
  <c r="H82" i="15"/>
  <c r="D82" i="15"/>
  <c r="H81" i="15"/>
  <c r="D81" i="15"/>
  <c r="H80" i="15"/>
  <c r="D80" i="15"/>
  <c r="H79" i="15"/>
  <c r="D79" i="15"/>
  <c r="H78" i="15"/>
  <c r="D78" i="15"/>
  <c r="H77" i="15"/>
  <c r="D77" i="15"/>
  <c r="H76" i="15"/>
  <c r="D76" i="15"/>
  <c r="H75" i="15"/>
  <c r="D75" i="15"/>
  <c r="H74" i="15"/>
  <c r="D74" i="15"/>
  <c r="H73" i="15"/>
  <c r="D73" i="15"/>
  <c r="H72" i="15"/>
  <c r="D72" i="15"/>
  <c r="H71" i="15"/>
  <c r="D71" i="15"/>
  <c r="H70" i="15"/>
  <c r="D70" i="15"/>
  <c r="H69" i="15"/>
  <c r="D69" i="15"/>
  <c r="H68" i="15"/>
  <c r="D68" i="15"/>
  <c r="H67" i="15"/>
  <c r="D67" i="15"/>
  <c r="H66" i="15"/>
  <c r="D66" i="15"/>
  <c r="H65" i="15"/>
  <c r="D65" i="15"/>
  <c r="H64" i="15"/>
  <c r="D64" i="15"/>
  <c r="H63" i="15"/>
  <c r="D63" i="15"/>
  <c r="H62" i="15"/>
  <c r="D62" i="15"/>
  <c r="H61" i="15"/>
  <c r="D61" i="15"/>
  <c r="H60" i="15"/>
  <c r="D60" i="15"/>
  <c r="H59" i="15"/>
  <c r="D59" i="15"/>
  <c r="H58" i="15"/>
  <c r="D58" i="15"/>
  <c r="H57" i="15"/>
  <c r="D57" i="15"/>
  <c r="H56" i="15"/>
  <c r="D56" i="15"/>
  <c r="H55" i="15"/>
  <c r="D55" i="15"/>
  <c r="H54" i="15"/>
  <c r="D54" i="15"/>
  <c r="H53" i="15"/>
  <c r="D53" i="15"/>
  <c r="H52" i="15"/>
  <c r="D52" i="15"/>
  <c r="H51" i="15"/>
  <c r="D51" i="15"/>
  <c r="H50" i="15"/>
  <c r="D50" i="15"/>
  <c r="H49" i="15"/>
  <c r="D49" i="15"/>
  <c r="H48" i="15"/>
  <c r="D48" i="15"/>
  <c r="H47" i="15"/>
  <c r="D47" i="15"/>
  <c r="H46" i="15"/>
  <c r="D46" i="15"/>
  <c r="H45" i="15"/>
  <c r="D45" i="15"/>
  <c r="H44" i="15"/>
  <c r="D44" i="15"/>
  <c r="H43" i="15"/>
  <c r="D43" i="15"/>
  <c r="G104" i="15"/>
  <c r="C104" i="15"/>
  <c r="G103" i="15"/>
  <c r="C103" i="15"/>
  <c r="G102" i="15"/>
  <c r="C102" i="15"/>
  <c r="G101" i="15"/>
  <c r="C101" i="15"/>
  <c r="G100" i="15"/>
  <c r="C100" i="15"/>
  <c r="G99" i="15"/>
  <c r="C99" i="15"/>
  <c r="G98" i="15"/>
  <c r="C98" i="15"/>
  <c r="G97" i="15"/>
  <c r="C97" i="15"/>
  <c r="G96" i="15"/>
  <c r="C96" i="15"/>
  <c r="G95" i="15"/>
  <c r="B95" i="15"/>
  <c r="F94" i="15"/>
  <c r="B94" i="15"/>
  <c r="F93" i="15"/>
  <c r="B93" i="15"/>
  <c r="F92" i="15"/>
  <c r="B92" i="15"/>
  <c r="F91" i="15"/>
  <c r="B91" i="15"/>
  <c r="F90" i="15"/>
  <c r="B90" i="15"/>
  <c r="F89" i="15"/>
  <c r="B89" i="15"/>
  <c r="F88" i="15"/>
  <c r="B88" i="15"/>
  <c r="F87" i="15"/>
  <c r="B87" i="15"/>
  <c r="F86" i="15"/>
  <c r="B86" i="15"/>
  <c r="F85" i="15"/>
  <c r="B85" i="15"/>
  <c r="F84" i="15"/>
  <c r="B84" i="15"/>
  <c r="F83" i="15"/>
  <c r="B83" i="15"/>
  <c r="F82" i="15"/>
  <c r="B82" i="15"/>
  <c r="F81" i="15"/>
  <c r="B81" i="15"/>
  <c r="F80" i="15"/>
  <c r="B80" i="15"/>
  <c r="F79" i="15"/>
  <c r="B79" i="15"/>
  <c r="F78" i="15"/>
  <c r="B78" i="15"/>
  <c r="F77" i="15"/>
  <c r="B77" i="15"/>
  <c r="F76" i="15"/>
  <c r="B76" i="15"/>
  <c r="F75" i="15"/>
  <c r="B75" i="15"/>
  <c r="F74" i="15"/>
  <c r="B74" i="15"/>
  <c r="F73" i="15"/>
  <c r="B73" i="15"/>
  <c r="F72" i="15"/>
  <c r="B72" i="15"/>
  <c r="F71" i="15"/>
  <c r="B71" i="15"/>
  <c r="F70" i="15"/>
  <c r="B70" i="15"/>
  <c r="F69" i="15"/>
  <c r="B69" i="15"/>
  <c r="F68" i="15"/>
  <c r="B68" i="15"/>
  <c r="F67" i="15"/>
  <c r="B67" i="15"/>
  <c r="F66" i="15"/>
  <c r="B66" i="15"/>
  <c r="F65" i="15"/>
  <c r="B65" i="15"/>
  <c r="F64" i="15"/>
  <c r="B64" i="15"/>
  <c r="F63" i="15"/>
  <c r="B63" i="15"/>
  <c r="F62" i="15"/>
  <c r="B62" i="15"/>
  <c r="F61" i="15"/>
  <c r="B61" i="15"/>
  <c r="F60" i="15"/>
  <c r="B60" i="15"/>
  <c r="F59" i="15"/>
  <c r="B59" i="15"/>
  <c r="F58" i="15"/>
  <c r="B58" i="15"/>
  <c r="F57" i="15"/>
  <c r="B57" i="15"/>
  <c r="F56" i="15"/>
  <c r="B56" i="15"/>
  <c r="F55" i="15"/>
  <c r="B55" i="15"/>
  <c r="F54" i="15"/>
  <c r="B54" i="15"/>
  <c r="F53" i="15"/>
  <c r="B53" i="15"/>
  <c r="F52" i="15"/>
  <c r="B52" i="15"/>
  <c r="F51" i="15"/>
  <c r="B51" i="15"/>
  <c r="F50" i="15"/>
  <c r="B50" i="15"/>
  <c r="F49" i="15"/>
  <c r="B49" i="15"/>
  <c r="F48" i="15"/>
  <c r="B48" i="15"/>
  <c r="F47" i="15"/>
  <c r="B47" i="15"/>
  <c r="F46" i="15"/>
  <c r="B104" i="15"/>
  <c r="B103" i="15"/>
  <c r="B102" i="15"/>
  <c r="B101" i="15"/>
  <c r="B100" i="15"/>
  <c r="B99" i="15"/>
  <c r="B98" i="15"/>
  <c r="B97" i="15"/>
  <c r="B96" i="15"/>
  <c r="B46" i="15"/>
  <c r="E45" i="15"/>
  <c r="G44" i="15"/>
  <c r="B44" i="15"/>
  <c r="E43" i="15"/>
  <c r="H42" i="15"/>
  <c r="D42" i="15"/>
  <c r="H41" i="15"/>
  <c r="D41" i="15"/>
  <c r="H40" i="15"/>
  <c r="D40" i="15"/>
  <c r="H39" i="15"/>
  <c r="D39" i="15"/>
  <c r="H38" i="15"/>
  <c r="D38" i="15"/>
  <c r="H37" i="15"/>
  <c r="D37" i="15"/>
  <c r="H36" i="15"/>
  <c r="D36" i="15"/>
  <c r="H35" i="15"/>
  <c r="D35" i="15"/>
  <c r="H34" i="15"/>
  <c r="D34" i="15"/>
  <c r="H33" i="15"/>
  <c r="D33" i="15"/>
  <c r="H32" i="15"/>
  <c r="D32" i="15"/>
  <c r="H31" i="15"/>
  <c r="D31" i="15"/>
  <c r="H30" i="15"/>
  <c r="D30" i="15"/>
  <c r="H29" i="15"/>
  <c r="D29" i="15"/>
  <c r="H28" i="15"/>
  <c r="D28" i="15"/>
  <c r="H27" i="15"/>
  <c r="D27" i="15"/>
  <c r="H26" i="15"/>
  <c r="D26" i="15"/>
  <c r="H25" i="15"/>
  <c r="D25" i="15"/>
  <c r="H24" i="15"/>
  <c r="D24" i="15"/>
  <c r="H23" i="15"/>
  <c r="D23" i="15"/>
  <c r="H22" i="15"/>
  <c r="D22" i="15"/>
  <c r="H21" i="15"/>
  <c r="D21" i="15"/>
  <c r="H20" i="15"/>
  <c r="D20" i="15"/>
  <c r="H19" i="15"/>
  <c r="D19" i="15"/>
  <c r="H18" i="15"/>
  <c r="D18" i="15"/>
  <c r="H17" i="15"/>
  <c r="D17" i="15"/>
  <c r="H16" i="15"/>
  <c r="D16" i="15"/>
  <c r="H15" i="15"/>
  <c r="D15" i="15"/>
  <c r="H14" i="15"/>
  <c r="D14" i="15"/>
  <c r="H13" i="15"/>
  <c r="D13" i="15"/>
  <c r="H12" i="15"/>
  <c r="D12" i="15"/>
  <c r="H11" i="15"/>
  <c r="D11" i="15"/>
  <c r="H10" i="15"/>
  <c r="D10" i="15"/>
  <c r="H9" i="15"/>
  <c r="D9" i="15"/>
  <c r="H8" i="15"/>
  <c r="D8" i="15"/>
  <c r="H7" i="15"/>
  <c r="D7" i="15"/>
  <c r="H6" i="15"/>
  <c r="D6" i="15"/>
  <c r="H5" i="15"/>
  <c r="D5" i="15"/>
  <c r="H4" i="15"/>
  <c r="D4" i="15"/>
  <c r="F104" i="15"/>
  <c r="F103" i="15"/>
  <c r="F102" i="15"/>
  <c r="F101" i="15"/>
  <c r="F100" i="15"/>
  <c r="F99" i="15"/>
  <c r="F98" i="15"/>
  <c r="F97" i="15"/>
  <c r="F96" i="15"/>
  <c r="F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G45" i="15"/>
  <c r="B45" i="15"/>
  <c r="E44" i="15"/>
  <c r="G43" i="15"/>
  <c r="B43" i="15"/>
  <c r="F42" i="15"/>
  <c r="B42" i="15"/>
  <c r="F41" i="15"/>
  <c r="B41" i="15"/>
  <c r="F40" i="15"/>
  <c r="B40" i="15"/>
  <c r="F39" i="15"/>
  <c r="B39" i="15"/>
  <c r="F38" i="15"/>
  <c r="B38" i="15"/>
  <c r="F37" i="15"/>
  <c r="B37" i="15"/>
  <c r="F36" i="15"/>
  <c r="B36" i="15"/>
  <c r="F35" i="15"/>
  <c r="B35" i="15"/>
  <c r="F34" i="15"/>
  <c r="B34" i="15"/>
  <c r="F33" i="15"/>
  <c r="B33" i="15"/>
  <c r="F32" i="15"/>
  <c r="B32" i="15"/>
  <c r="F31" i="15"/>
  <c r="B31" i="15"/>
  <c r="F30" i="15"/>
  <c r="B30" i="15"/>
  <c r="F29" i="15"/>
  <c r="B29" i="15"/>
  <c r="F28" i="15"/>
  <c r="B28" i="15"/>
  <c r="F27" i="15"/>
  <c r="B27" i="15"/>
  <c r="F26" i="15"/>
  <c r="B26" i="15"/>
  <c r="F25" i="15"/>
  <c r="B25" i="15"/>
  <c r="F24" i="15"/>
  <c r="B24" i="15"/>
  <c r="F23" i="15"/>
  <c r="B23" i="15"/>
  <c r="F22" i="15"/>
  <c r="B22" i="15"/>
  <c r="F21" i="15"/>
  <c r="B21" i="15"/>
  <c r="F20" i="15"/>
  <c r="B20" i="15"/>
  <c r="F19" i="15"/>
  <c r="B19" i="15"/>
  <c r="F18" i="15"/>
  <c r="B18" i="15"/>
  <c r="F17" i="15"/>
  <c r="B17" i="15"/>
  <c r="F16" i="15"/>
  <c r="B16" i="15"/>
  <c r="F15" i="15"/>
  <c r="B15" i="15"/>
  <c r="F14" i="15"/>
  <c r="B14" i="15"/>
  <c r="F13" i="15"/>
  <c r="B13" i="15"/>
  <c r="F12" i="15"/>
  <c r="B12" i="15"/>
  <c r="F11" i="15"/>
  <c r="D103" i="15"/>
  <c r="D101" i="15"/>
  <c r="D99" i="15"/>
  <c r="D97" i="15"/>
  <c r="C95" i="15"/>
  <c r="C93" i="15"/>
  <c r="C91" i="15"/>
  <c r="C89" i="15"/>
  <c r="C87" i="15"/>
  <c r="C85" i="15"/>
  <c r="C83" i="15"/>
  <c r="C81" i="15"/>
  <c r="C79" i="15"/>
  <c r="C77" i="15"/>
  <c r="C75" i="15"/>
  <c r="C73" i="15"/>
  <c r="C71" i="15"/>
  <c r="C69" i="15"/>
  <c r="C67" i="15"/>
  <c r="C65" i="15"/>
  <c r="C63" i="15"/>
  <c r="C61" i="15"/>
  <c r="C59" i="15"/>
  <c r="C57" i="15"/>
  <c r="C55" i="15"/>
  <c r="C53" i="15"/>
  <c r="C51" i="15"/>
  <c r="C49" i="15"/>
  <c r="C47" i="15"/>
  <c r="F45" i="15"/>
  <c r="C44" i="15"/>
  <c r="B11" i="15"/>
  <c r="E10" i="15"/>
  <c r="G9" i="15"/>
  <c r="B9" i="15"/>
  <c r="E8" i="15"/>
  <c r="G7" i="15"/>
  <c r="B7" i="15"/>
  <c r="E6" i="15"/>
  <c r="G5" i="15"/>
  <c r="B5" i="15"/>
  <c r="E4" i="15"/>
  <c r="G28" i="13"/>
  <c r="C28" i="13"/>
  <c r="G27" i="13"/>
  <c r="C27" i="13"/>
  <c r="G26" i="13"/>
  <c r="C26" i="13"/>
  <c r="G25" i="13"/>
  <c r="C25" i="13"/>
  <c r="G24" i="13"/>
  <c r="C24" i="13"/>
  <c r="G23" i="13"/>
  <c r="C23" i="13"/>
  <c r="G22" i="13"/>
  <c r="C22" i="13"/>
  <c r="G21" i="13"/>
  <c r="C21" i="13"/>
  <c r="G20" i="13"/>
  <c r="C20" i="13"/>
  <c r="G19" i="13"/>
  <c r="C19" i="13"/>
  <c r="G18" i="13"/>
  <c r="C18" i="13"/>
  <c r="G17" i="13"/>
  <c r="C17" i="13"/>
  <c r="G16" i="13"/>
  <c r="C16" i="13"/>
  <c r="G15" i="13"/>
  <c r="C15" i="13"/>
  <c r="G14" i="13"/>
  <c r="C14" i="13"/>
  <c r="G13" i="13"/>
  <c r="C13" i="13"/>
  <c r="G12" i="13"/>
  <c r="C12" i="13"/>
  <c r="G11" i="13"/>
  <c r="C11" i="13"/>
  <c r="G10" i="13"/>
  <c r="C10" i="13"/>
  <c r="G9" i="13"/>
  <c r="C9" i="13"/>
  <c r="G8" i="13"/>
  <c r="C8" i="13"/>
  <c r="G7" i="13"/>
  <c r="C7" i="13"/>
  <c r="G6" i="13"/>
  <c r="C6" i="13"/>
  <c r="G5" i="13"/>
  <c r="C5" i="13"/>
  <c r="G4" i="13"/>
  <c r="C4" i="13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H104" i="15"/>
  <c r="H102" i="15"/>
  <c r="H100" i="15"/>
  <c r="H98" i="15"/>
  <c r="H96" i="15"/>
  <c r="G94" i="15"/>
  <c r="G92" i="15"/>
  <c r="G90" i="15"/>
  <c r="G88" i="15"/>
  <c r="G86" i="15"/>
  <c r="G84" i="15"/>
  <c r="G82" i="15"/>
  <c r="G80" i="15"/>
  <c r="G78" i="15"/>
  <c r="G76" i="15"/>
  <c r="G74" i="15"/>
  <c r="G72" i="15"/>
  <c r="G70" i="15"/>
  <c r="G68" i="15"/>
  <c r="G66" i="15"/>
  <c r="G64" i="15"/>
  <c r="G62" i="15"/>
  <c r="G60" i="15"/>
  <c r="G58" i="15"/>
  <c r="G56" i="15"/>
  <c r="G54" i="15"/>
  <c r="G52" i="15"/>
  <c r="G50" i="15"/>
  <c r="G48" i="15"/>
  <c r="G46" i="15"/>
  <c r="C45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C10" i="15"/>
  <c r="F9" i="15"/>
  <c r="C8" i="15"/>
  <c r="F7" i="15"/>
  <c r="C6" i="15"/>
  <c r="F5" i="15"/>
  <c r="C4" i="15"/>
  <c r="F28" i="13"/>
  <c r="B28" i="13"/>
  <c r="F27" i="13"/>
  <c r="B27" i="13"/>
  <c r="F26" i="13"/>
  <c r="B26" i="13"/>
  <c r="F25" i="13"/>
  <c r="B25" i="13"/>
  <c r="F24" i="13"/>
  <c r="B24" i="13"/>
  <c r="F23" i="13"/>
  <c r="B23" i="13"/>
  <c r="F22" i="13"/>
  <c r="B22" i="13"/>
  <c r="F21" i="13"/>
  <c r="B21" i="13"/>
  <c r="F20" i="13"/>
  <c r="B20" i="13"/>
  <c r="F19" i="13"/>
  <c r="B19" i="13"/>
  <c r="F18" i="13"/>
  <c r="B18" i="13"/>
  <c r="F17" i="13"/>
  <c r="B17" i="13"/>
  <c r="F16" i="13"/>
  <c r="B16" i="13"/>
  <c r="F15" i="13"/>
  <c r="B15" i="13"/>
  <c r="F14" i="13"/>
  <c r="B14" i="13"/>
  <c r="F13" i="13"/>
  <c r="B13" i="13"/>
  <c r="F12" i="13"/>
  <c r="B12" i="13"/>
  <c r="F11" i="13"/>
  <c r="B11" i="13"/>
  <c r="F10" i="13"/>
  <c r="B10" i="13"/>
  <c r="F9" i="13"/>
  <c r="B9" i="13"/>
  <c r="F8" i="13"/>
  <c r="B8" i="13"/>
  <c r="F7" i="13"/>
  <c r="B7" i="13"/>
  <c r="F6" i="13"/>
  <c r="B6" i="13"/>
  <c r="F5" i="13"/>
  <c r="B5" i="13"/>
  <c r="F4" i="13"/>
  <c r="B4" i="13"/>
  <c r="D104" i="15"/>
  <c r="D102" i="15"/>
  <c r="D100" i="15"/>
  <c r="D98" i="15"/>
  <c r="D96" i="15"/>
  <c r="C94" i="15"/>
  <c r="C92" i="15"/>
  <c r="C90" i="15"/>
  <c r="C88" i="15"/>
  <c r="C86" i="15"/>
  <c r="C84" i="15"/>
  <c r="C82" i="15"/>
  <c r="C80" i="15"/>
  <c r="C78" i="15"/>
  <c r="C76" i="15"/>
  <c r="C74" i="15"/>
  <c r="C72" i="15"/>
  <c r="C70" i="15"/>
  <c r="C68" i="15"/>
  <c r="C66" i="15"/>
  <c r="C64" i="15"/>
  <c r="C62" i="15"/>
  <c r="C60" i="15"/>
  <c r="C58" i="15"/>
  <c r="C56" i="15"/>
  <c r="C54" i="15"/>
  <c r="C52" i="15"/>
  <c r="C50" i="15"/>
  <c r="C48" i="15"/>
  <c r="C46" i="15"/>
  <c r="F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G10" i="15"/>
  <c r="B10" i="15"/>
  <c r="E9" i="15"/>
  <c r="G8" i="15"/>
  <c r="B8" i="15"/>
  <c r="E7" i="15"/>
  <c r="G6" i="15"/>
  <c r="B6" i="15"/>
  <c r="E5" i="15"/>
  <c r="G4" i="15"/>
  <c r="B4" i="15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G37" i="11"/>
  <c r="C37" i="11"/>
  <c r="G36" i="11"/>
  <c r="C36" i="11"/>
  <c r="G35" i="11"/>
  <c r="C35" i="11"/>
  <c r="G34" i="11"/>
  <c r="C34" i="11"/>
  <c r="G33" i="11"/>
  <c r="C33" i="11"/>
  <c r="G32" i="11"/>
  <c r="C32" i="11"/>
  <c r="H97" i="15"/>
  <c r="G89" i="15"/>
  <c r="G81" i="15"/>
  <c r="G73" i="15"/>
  <c r="G65" i="15"/>
  <c r="G57" i="15"/>
  <c r="G49" i="15"/>
  <c r="C43" i="15"/>
  <c r="C39" i="15"/>
  <c r="C35" i="15"/>
  <c r="C31" i="15"/>
  <c r="C27" i="15"/>
  <c r="C23" i="15"/>
  <c r="C19" i="15"/>
  <c r="C15" i="15"/>
  <c r="C11" i="15"/>
  <c r="F8" i="15"/>
  <c r="D28" i="13"/>
  <c r="D26" i="13"/>
  <c r="D24" i="13"/>
  <c r="D22" i="13"/>
  <c r="D20" i="13"/>
  <c r="D18" i="13"/>
  <c r="D16" i="13"/>
  <c r="D14" i="13"/>
  <c r="D12" i="13"/>
  <c r="D10" i="13"/>
  <c r="D8" i="13"/>
  <c r="D6" i="13"/>
  <c r="D4" i="13"/>
  <c r="F37" i="11"/>
  <c r="F36" i="11"/>
  <c r="F35" i="11"/>
  <c r="F34" i="11"/>
  <c r="F33" i="11"/>
  <c r="F32" i="11"/>
  <c r="G31" i="11"/>
  <c r="B31" i="11"/>
  <c r="D30" i="11"/>
  <c r="G29" i="11"/>
  <c r="B29" i="11"/>
  <c r="D28" i="11"/>
  <c r="G27" i="11"/>
  <c r="B27" i="11"/>
  <c r="D26" i="11"/>
  <c r="G25" i="11"/>
  <c r="B25" i="11"/>
  <c r="D24" i="11"/>
  <c r="G23" i="11"/>
  <c r="B23" i="11"/>
  <c r="D22" i="11"/>
  <c r="G21" i="11"/>
  <c r="B21" i="11"/>
  <c r="D20" i="11"/>
  <c r="G19" i="11"/>
  <c r="B19" i="11"/>
  <c r="D18" i="11"/>
  <c r="G17" i="11"/>
  <c r="B17" i="11"/>
  <c r="D16" i="11"/>
  <c r="G15" i="11"/>
  <c r="B15" i="11"/>
  <c r="D14" i="11"/>
  <c r="G13" i="11"/>
  <c r="B13" i="11"/>
  <c r="D12" i="11"/>
  <c r="G11" i="11"/>
  <c r="B11" i="11"/>
  <c r="D10" i="11"/>
  <c r="G9" i="11"/>
  <c r="B9" i="11"/>
  <c r="D8" i="11"/>
  <c r="G7" i="11"/>
  <c r="B7" i="11"/>
  <c r="D6" i="11"/>
  <c r="G5" i="11"/>
  <c r="B5" i="11"/>
  <c r="D4" i="11"/>
  <c r="F108" i="9"/>
  <c r="B108" i="9"/>
  <c r="F107" i="9"/>
  <c r="B107" i="9"/>
  <c r="F106" i="9"/>
  <c r="B106" i="9"/>
  <c r="F105" i="9"/>
  <c r="B105" i="9"/>
  <c r="F104" i="9"/>
  <c r="B104" i="9"/>
  <c r="F103" i="9"/>
  <c r="B103" i="9"/>
  <c r="F102" i="9"/>
  <c r="B102" i="9"/>
  <c r="F101" i="9"/>
  <c r="B101" i="9"/>
  <c r="F100" i="9"/>
  <c r="B100" i="9"/>
  <c r="F99" i="9"/>
  <c r="B99" i="9"/>
  <c r="F98" i="9"/>
  <c r="B98" i="9"/>
  <c r="F97" i="9"/>
  <c r="B97" i="9"/>
  <c r="F96" i="9"/>
  <c r="B96" i="9"/>
  <c r="F95" i="9"/>
  <c r="B95" i="9"/>
  <c r="F94" i="9"/>
  <c r="B94" i="9"/>
  <c r="F93" i="9"/>
  <c r="B93" i="9"/>
  <c r="F92" i="9"/>
  <c r="E91" i="9"/>
  <c r="E90" i="9"/>
  <c r="E89" i="9"/>
  <c r="H88" i="9"/>
  <c r="D88" i="9"/>
  <c r="H87" i="9"/>
  <c r="D87" i="9"/>
  <c r="H86" i="9"/>
  <c r="D86" i="9"/>
  <c r="H85" i="9"/>
  <c r="D85" i="9"/>
  <c r="H84" i="9"/>
  <c r="D84" i="9"/>
  <c r="H83" i="9"/>
  <c r="D83" i="9"/>
  <c r="H82" i="9"/>
  <c r="D82" i="9"/>
  <c r="H81" i="9"/>
  <c r="D81" i="9"/>
  <c r="H80" i="9"/>
  <c r="D80" i="9"/>
  <c r="H79" i="9"/>
  <c r="D79" i="9"/>
  <c r="H78" i="9"/>
  <c r="D78" i="9"/>
  <c r="H77" i="9"/>
  <c r="D77" i="9"/>
  <c r="H76" i="9"/>
  <c r="D76" i="9"/>
  <c r="H75" i="9"/>
  <c r="D75" i="9"/>
  <c r="H74" i="9"/>
  <c r="D74" i="9"/>
  <c r="H73" i="9"/>
  <c r="D73" i="9"/>
  <c r="H72" i="9"/>
  <c r="D72" i="9"/>
  <c r="H71" i="9"/>
  <c r="D71" i="9"/>
  <c r="H70" i="9"/>
  <c r="D70" i="9"/>
  <c r="H69" i="9"/>
  <c r="D69" i="9"/>
  <c r="H68" i="9"/>
  <c r="D68" i="9"/>
  <c r="H67" i="9"/>
  <c r="D67" i="9"/>
  <c r="H66" i="9"/>
  <c r="D66" i="9"/>
  <c r="H65" i="9"/>
  <c r="D65" i="9"/>
  <c r="H64" i="9"/>
  <c r="D64" i="9"/>
  <c r="H63" i="9"/>
  <c r="D63" i="9"/>
  <c r="H62" i="9"/>
  <c r="D62" i="9"/>
  <c r="H61" i="9"/>
  <c r="D61" i="9"/>
  <c r="H60" i="9"/>
  <c r="D60" i="9"/>
  <c r="H59" i="9"/>
  <c r="D59" i="9"/>
  <c r="H58" i="9"/>
  <c r="D58" i="9"/>
  <c r="H57" i="9"/>
  <c r="D57" i="9"/>
  <c r="H56" i="9"/>
  <c r="D56" i="9"/>
  <c r="H55" i="9"/>
  <c r="D55" i="9"/>
  <c r="H54" i="9"/>
  <c r="D54" i="9"/>
  <c r="H53" i="9"/>
  <c r="D53" i="9"/>
  <c r="H52" i="9"/>
  <c r="D52" i="9"/>
  <c r="H51" i="9"/>
  <c r="D51" i="9"/>
  <c r="H50" i="9"/>
  <c r="D50" i="9"/>
  <c r="H49" i="9"/>
  <c r="D49" i="9"/>
  <c r="H48" i="9"/>
  <c r="D48" i="9"/>
  <c r="H47" i="9"/>
  <c r="D47" i="9"/>
  <c r="H46" i="9"/>
  <c r="H103" i="15"/>
  <c r="H95" i="15"/>
  <c r="G87" i="15"/>
  <c r="G79" i="15"/>
  <c r="G71" i="15"/>
  <c r="G63" i="15"/>
  <c r="G55" i="15"/>
  <c r="G47" i="15"/>
  <c r="C42" i="15"/>
  <c r="C38" i="15"/>
  <c r="C34" i="15"/>
  <c r="C30" i="15"/>
  <c r="C26" i="15"/>
  <c r="C22" i="15"/>
  <c r="C18" i="15"/>
  <c r="C14" i="15"/>
  <c r="F10" i="15"/>
  <c r="C5" i="15"/>
  <c r="H27" i="13"/>
  <c r="H25" i="13"/>
  <c r="H23" i="13"/>
  <c r="H21" i="13"/>
  <c r="H19" i="13"/>
  <c r="H17" i="13"/>
  <c r="H15" i="13"/>
  <c r="H13" i="13"/>
  <c r="H11" i="13"/>
  <c r="H9" i="13"/>
  <c r="H7" i="13"/>
  <c r="H5" i="13"/>
  <c r="D37" i="11"/>
  <c r="D36" i="11"/>
  <c r="D35" i="11"/>
  <c r="D34" i="11"/>
  <c r="D33" i="11"/>
  <c r="D32" i="11"/>
  <c r="F31" i="11"/>
  <c r="H30" i="11"/>
  <c r="C30" i="11"/>
  <c r="F29" i="11"/>
  <c r="H28" i="11"/>
  <c r="C28" i="11"/>
  <c r="F27" i="11"/>
  <c r="H26" i="11"/>
  <c r="C26" i="11"/>
  <c r="F25" i="11"/>
  <c r="H24" i="11"/>
  <c r="C24" i="11"/>
  <c r="F23" i="11"/>
  <c r="H22" i="11"/>
  <c r="C22" i="11"/>
  <c r="F21" i="11"/>
  <c r="H20" i="11"/>
  <c r="C20" i="11"/>
  <c r="F19" i="11"/>
  <c r="H18" i="11"/>
  <c r="C18" i="11"/>
  <c r="F17" i="11"/>
  <c r="H16" i="11"/>
  <c r="C16" i="11"/>
  <c r="F15" i="11"/>
  <c r="H14" i="11"/>
  <c r="C14" i="11"/>
  <c r="F13" i="11"/>
  <c r="H12" i="11"/>
  <c r="C12" i="11"/>
  <c r="F11" i="11"/>
  <c r="H10" i="11"/>
  <c r="C10" i="11"/>
  <c r="F9" i="11"/>
  <c r="H8" i="11"/>
  <c r="C8" i="11"/>
  <c r="F7" i="11"/>
  <c r="H6" i="11"/>
  <c r="C6" i="11"/>
  <c r="F5" i="11"/>
  <c r="H4" i="11"/>
  <c r="C4" i="11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H101" i="15"/>
  <c r="G93" i="15"/>
  <c r="G85" i="15"/>
  <c r="G77" i="15"/>
  <c r="G69" i="15"/>
  <c r="G61" i="15"/>
  <c r="G53" i="15"/>
  <c r="C41" i="15"/>
  <c r="C37" i="15"/>
  <c r="C33" i="15"/>
  <c r="C29" i="15"/>
  <c r="C25" i="15"/>
  <c r="C21" i="15"/>
  <c r="C17" i="15"/>
  <c r="C13" i="15"/>
  <c r="C7" i="15"/>
  <c r="F4" i="15"/>
  <c r="D27" i="13"/>
  <c r="D25" i="13"/>
  <c r="D23" i="13"/>
  <c r="D21" i="13"/>
  <c r="D19" i="13"/>
  <c r="D17" i="13"/>
  <c r="D15" i="13"/>
  <c r="D13" i="13"/>
  <c r="D11" i="13"/>
  <c r="D9" i="13"/>
  <c r="D7" i="13"/>
  <c r="D5" i="13"/>
  <c r="B37" i="11"/>
  <c r="B36" i="11"/>
  <c r="B35" i="11"/>
  <c r="B34" i="11"/>
  <c r="B33" i="11"/>
  <c r="B32" i="11"/>
  <c r="D31" i="11"/>
  <c r="G30" i="11"/>
  <c r="B30" i="11"/>
  <c r="D29" i="11"/>
  <c r="G28" i="11"/>
  <c r="B28" i="11"/>
  <c r="D27" i="11"/>
  <c r="G26" i="11"/>
  <c r="B26" i="11"/>
  <c r="D25" i="11"/>
  <c r="G24" i="11"/>
  <c r="B24" i="11"/>
  <c r="D23" i="11"/>
  <c r="G22" i="11"/>
  <c r="B22" i="11"/>
  <c r="D21" i="11"/>
  <c r="G20" i="11"/>
  <c r="B20" i="11"/>
  <c r="D19" i="11"/>
  <c r="G18" i="11"/>
  <c r="B18" i="11"/>
  <c r="D17" i="11"/>
  <c r="G16" i="11"/>
  <c r="B16" i="11"/>
  <c r="D15" i="11"/>
  <c r="G14" i="11"/>
  <c r="B14" i="11"/>
  <c r="D13" i="11"/>
  <c r="G12" i="11"/>
  <c r="B12" i="11"/>
  <c r="D11" i="11"/>
  <c r="G10" i="11"/>
  <c r="B10" i="11"/>
  <c r="D9" i="11"/>
  <c r="G8" i="11"/>
  <c r="B8" i="11"/>
  <c r="D7" i="11"/>
  <c r="G6" i="11"/>
  <c r="B6" i="11"/>
  <c r="D5" i="11"/>
  <c r="G4" i="11"/>
  <c r="B4" i="11"/>
  <c r="H108" i="9"/>
  <c r="D108" i="9"/>
  <c r="H107" i="9"/>
  <c r="D107" i="9"/>
  <c r="H106" i="9"/>
  <c r="D106" i="9"/>
  <c r="H105" i="9"/>
  <c r="D105" i="9"/>
  <c r="H104" i="9"/>
  <c r="D104" i="9"/>
  <c r="H103" i="9"/>
  <c r="D103" i="9"/>
  <c r="H102" i="9"/>
  <c r="D102" i="9"/>
  <c r="H101" i="9"/>
  <c r="D101" i="9"/>
  <c r="H100" i="9"/>
  <c r="D100" i="9"/>
  <c r="H99" i="9"/>
  <c r="D99" i="9"/>
  <c r="H98" i="9"/>
  <c r="D98" i="9"/>
  <c r="H97" i="9"/>
  <c r="D97" i="9"/>
  <c r="H96" i="9"/>
  <c r="D96" i="9"/>
  <c r="H95" i="9"/>
  <c r="D95" i="9"/>
  <c r="H94" i="9"/>
  <c r="D94" i="9"/>
  <c r="H93" i="9"/>
  <c r="D93" i="9"/>
  <c r="H92" i="9"/>
  <c r="C92" i="9"/>
  <c r="G91" i="9"/>
  <c r="C91" i="9"/>
  <c r="G90" i="9"/>
  <c r="C90" i="9"/>
  <c r="G89" i="9"/>
  <c r="B89" i="9"/>
  <c r="F88" i="9"/>
  <c r="B88" i="9"/>
  <c r="F87" i="9"/>
  <c r="B87" i="9"/>
  <c r="F86" i="9"/>
  <c r="B86" i="9"/>
  <c r="F85" i="9"/>
  <c r="B85" i="9"/>
  <c r="F84" i="9"/>
  <c r="B84" i="9"/>
  <c r="F83" i="9"/>
  <c r="B83" i="9"/>
  <c r="F82" i="9"/>
  <c r="B82" i="9"/>
  <c r="F81" i="9"/>
  <c r="B81" i="9"/>
  <c r="F80" i="9"/>
  <c r="B80" i="9"/>
  <c r="F79" i="9"/>
  <c r="B79" i="9"/>
  <c r="F78" i="9"/>
  <c r="B78" i="9"/>
  <c r="F77" i="9"/>
  <c r="B77" i="9"/>
  <c r="F76" i="9"/>
  <c r="B76" i="9"/>
  <c r="F75" i="9"/>
  <c r="B75" i="9"/>
  <c r="F74" i="9"/>
  <c r="B74" i="9"/>
  <c r="F73" i="9"/>
  <c r="B73" i="9"/>
  <c r="F72" i="9"/>
  <c r="B72" i="9"/>
  <c r="F71" i="9"/>
  <c r="B71" i="9"/>
  <c r="F70" i="9"/>
  <c r="B70" i="9"/>
  <c r="F69" i="9"/>
  <c r="B69" i="9"/>
  <c r="F68" i="9"/>
  <c r="B68" i="9"/>
  <c r="F67" i="9"/>
  <c r="B67" i="9"/>
  <c r="F66" i="9"/>
  <c r="B66" i="9"/>
  <c r="F65" i="9"/>
  <c r="B65" i="9"/>
  <c r="F64" i="9"/>
  <c r="B64" i="9"/>
  <c r="F63" i="9"/>
  <c r="B63" i="9"/>
  <c r="F62" i="9"/>
  <c r="B62" i="9"/>
  <c r="F61" i="9"/>
  <c r="B61" i="9"/>
  <c r="F60" i="9"/>
  <c r="B60" i="9"/>
  <c r="F59" i="9"/>
  <c r="B59" i="9"/>
  <c r="F58" i="9"/>
  <c r="B58" i="9"/>
  <c r="F57" i="9"/>
  <c r="B57" i="9"/>
  <c r="F56" i="9"/>
  <c r="B56" i="9"/>
  <c r="F55" i="9"/>
  <c r="B55" i="9"/>
  <c r="F54" i="9"/>
  <c r="B54" i="9"/>
  <c r="F53" i="9"/>
  <c r="B53" i="9"/>
  <c r="F52" i="9"/>
  <c r="B52" i="9"/>
  <c r="F51" i="9"/>
  <c r="B51" i="9"/>
  <c r="F50" i="9"/>
  <c r="B50" i="9"/>
  <c r="F49" i="9"/>
  <c r="B49" i="9"/>
  <c r="F48" i="9"/>
  <c r="B48" i="9"/>
  <c r="F47" i="9"/>
  <c r="B47" i="9"/>
  <c r="F46" i="9"/>
  <c r="B46" i="9"/>
  <c r="F45" i="9"/>
  <c r="B45" i="9"/>
  <c r="F44" i="9"/>
  <c r="B44" i="9"/>
  <c r="F43" i="9"/>
  <c r="B43" i="9"/>
  <c r="F42" i="9"/>
  <c r="B42" i="9"/>
  <c r="F41" i="9"/>
  <c r="B41" i="9"/>
  <c r="F40" i="9"/>
  <c r="B40" i="9"/>
  <c r="F39" i="9"/>
  <c r="B39" i="9"/>
  <c r="F38" i="9"/>
  <c r="B38" i="9"/>
  <c r="F37" i="9"/>
  <c r="B37" i="9"/>
  <c r="F36" i="9"/>
  <c r="B36" i="9"/>
  <c r="F35" i="9"/>
  <c r="B35" i="9"/>
  <c r="F34" i="9"/>
  <c r="B34" i="9"/>
  <c r="F33" i="9"/>
  <c r="B33" i="9"/>
  <c r="F32" i="9"/>
  <c r="B32" i="9"/>
  <c r="F31" i="9"/>
  <c r="B31" i="9"/>
  <c r="F30" i="9"/>
  <c r="B30" i="9"/>
  <c r="F29" i="9"/>
  <c r="B29" i="9"/>
  <c r="F28" i="9"/>
  <c r="B28" i="9"/>
  <c r="F27" i="9"/>
  <c r="B27" i="9"/>
  <c r="F26" i="9"/>
  <c r="B26" i="9"/>
  <c r="F25" i="9"/>
  <c r="B25" i="9"/>
  <c r="F24" i="9"/>
  <c r="B24" i="9"/>
  <c r="F23" i="9"/>
  <c r="B23" i="9"/>
  <c r="F22" i="9"/>
  <c r="B22" i="9"/>
  <c r="F21" i="9"/>
  <c r="G75" i="15"/>
  <c r="F44" i="15"/>
  <c r="C28" i="15"/>
  <c r="C12" i="15"/>
  <c r="H26" i="13"/>
  <c r="H18" i="13"/>
  <c r="H10" i="13"/>
  <c r="H35" i="11"/>
  <c r="H31" i="11"/>
  <c r="C29" i="11"/>
  <c r="F26" i="11"/>
  <c r="H23" i="11"/>
  <c r="C21" i="11"/>
  <c r="F18" i="11"/>
  <c r="H15" i="11"/>
  <c r="C13" i="11"/>
  <c r="F10" i="11"/>
  <c r="H7" i="11"/>
  <c r="C5" i="11"/>
  <c r="C107" i="9"/>
  <c r="C105" i="9"/>
  <c r="C103" i="9"/>
  <c r="C101" i="9"/>
  <c r="C99" i="9"/>
  <c r="C97" i="9"/>
  <c r="C95" i="9"/>
  <c r="C93" i="9"/>
  <c r="F91" i="9"/>
  <c r="F90" i="9"/>
  <c r="F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H45" i="9"/>
  <c r="C45" i="9"/>
  <c r="E44" i="9"/>
  <c r="H43" i="9"/>
  <c r="C43" i="9"/>
  <c r="E42" i="9"/>
  <c r="H41" i="9"/>
  <c r="C41" i="9"/>
  <c r="E40" i="9"/>
  <c r="H39" i="9"/>
  <c r="C39" i="9"/>
  <c r="E38" i="9"/>
  <c r="H37" i="9"/>
  <c r="C37" i="9"/>
  <c r="E36" i="9"/>
  <c r="H35" i="9"/>
  <c r="C35" i="9"/>
  <c r="E34" i="9"/>
  <c r="H33" i="9"/>
  <c r="C33" i="9"/>
  <c r="E32" i="9"/>
  <c r="H31" i="9"/>
  <c r="C31" i="9"/>
  <c r="E30" i="9"/>
  <c r="H29" i="9"/>
  <c r="C29" i="9"/>
  <c r="E28" i="9"/>
  <c r="H27" i="9"/>
  <c r="C27" i="9"/>
  <c r="E26" i="9"/>
  <c r="H25" i="9"/>
  <c r="C25" i="9"/>
  <c r="E24" i="9"/>
  <c r="H23" i="9"/>
  <c r="C23" i="9"/>
  <c r="E22" i="9"/>
  <c r="H21" i="9"/>
  <c r="C21" i="9"/>
  <c r="G20" i="9"/>
  <c r="C20" i="9"/>
  <c r="G19" i="9"/>
  <c r="C19" i="9"/>
  <c r="G18" i="9"/>
  <c r="C18" i="9"/>
  <c r="G17" i="9"/>
  <c r="C17" i="9"/>
  <c r="G16" i="9"/>
  <c r="C16" i="9"/>
  <c r="G15" i="9"/>
  <c r="C15" i="9"/>
  <c r="G14" i="9"/>
  <c r="C14" i="9"/>
  <c r="G13" i="9"/>
  <c r="C13" i="9"/>
  <c r="G12" i="9"/>
  <c r="C12" i="9"/>
  <c r="G11" i="9"/>
  <c r="C11" i="9"/>
  <c r="G10" i="9"/>
  <c r="C10" i="9"/>
  <c r="G9" i="9"/>
  <c r="C9" i="9"/>
  <c r="G8" i="9"/>
  <c r="C8" i="9"/>
  <c r="G7" i="9"/>
  <c r="C7" i="9"/>
  <c r="G6" i="9"/>
  <c r="C6" i="9"/>
  <c r="G5" i="9"/>
  <c r="C5" i="9"/>
  <c r="G4" i="9"/>
  <c r="C4" i="9"/>
  <c r="E139" i="7"/>
  <c r="E138" i="7"/>
  <c r="H137" i="7"/>
  <c r="D137" i="7"/>
  <c r="H136" i="7"/>
  <c r="D136" i="7"/>
  <c r="H135" i="7"/>
  <c r="D135" i="7"/>
  <c r="H134" i="7"/>
  <c r="D134" i="7"/>
  <c r="H133" i="7"/>
  <c r="C133" i="7"/>
  <c r="G132" i="7"/>
  <c r="C132" i="7"/>
  <c r="G131" i="7"/>
  <c r="C131" i="7"/>
  <c r="G130" i="7"/>
  <c r="C130" i="7"/>
  <c r="G129" i="7"/>
  <c r="C129" i="7"/>
  <c r="G128" i="7"/>
  <c r="C128" i="7"/>
  <c r="G127" i="7"/>
  <c r="C127" i="7"/>
  <c r="G126" i="7"/>
  <c r="C126" i="7"/>
  <c r="G125" i="7"/>
  <c r="C125" i="7"/>
  <c r="G124" i="7"/>
  <c r="C124" i="7"/>
  <c r="G123" i="7"/>
  <c r="C123" i="7"/>
  <c r="G122" i="7"/>
  <c r="C122" i="7"/>
  <c r="G121" i="7"/>
  <c r="C121" i="7"/>
  <c r="G120" i="7"/>
  <c r="C120" i="7"/>
  <c r="G119" i="7"/>
  <c r="C119" i="7"/>
  <c r="G118" i="7"/>
  <c r="C118" i="7"/>
  <c r="G117" i="7"/>
  <c r="C117" i="7"/>
  <c r="G116" i="7"/>
  <c r="C116" i="7"/>
  <c r="G115" i="7"/>
  <c r="C115" i="7"/>
  <c r="G114" i="7"/>
  <c r="C114" i="7"/>
  <c r="G113" i="7"/>
  <c r="C113" i="7"/>
  <c r="G112" i="7"/>
  <c r="C112" i="7"/>
  <c r="G111" i="7"/>
  <c r="C111" i="7"/>
  <c r="G110" i="7"/>
  <c r="C110" i="7"/>
  <c r="G109" i="7"/>
  <c r="C109" i="7"/>
  <c r="G108" i="7"/>
  <c r="C108" i="7"/>
  <c r="G107" i="7"/>
  <c r="C107" i="7"/>
  <c r="G106" i="7"/>
  <c r="C106" i="7"/>
  <c r="G105" i="7"/>
  <c r="C105" i="7"/>
  <c r="G104" i="7"/>
  <c r="C104" i="7"/>
  <c r="G103" i="7"/>
  <c r="C103" i="7"/>
  <c r="G102" i="7"/>
  <c r="C102" i="7"/>
  <c r="H99" i="15"/>
  <c r="G67" i="15"/>
  <c r="C40" i="15"/>
  <c r="C24" i="15"/>
  <c r="C9" i="15"/>
  <c r="H24" i="13"/>
  <c r="H16" i="13"/>
  <c r="H8" i="13"/>
  <c r="H34" i="11"/>
  <c r="C31" i="11"/>
  <c r="F28" i="11"/>
  <c r="H25" i="11"/>
  <c r="C23" i="11"/>
  <c r="F20" i="11"/>
  <c r="H17" i="11"/>
  <c r="C15" i="11"/>
  <c r="F12" i="11"/>
  <c r="H9" i="11"/>
  <c r="C7" i="11"/>
  <c r="F4" i="11"/>
  <c r="G108" i="9"/>
  <c r="G106" i="9"/>
  <c r="G104" i="9"/>
  <c r="G102" i="9"/>
  <c r="G100" i="9"/>
  <c r="G98" i="9"/>
  <c r="G96" i="9"/>
  <c r="G94" i="9"/>
  <c r="G92" i="9"/>
  <c r="D91" i="9"/>
  <c r="D90" i="9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D46" i="9"/>
  <c r="G45" i="9"/>
  <c r="D44" i="9"/>
  <c r="G43" i="9"/>
  <c r="D42" i="9"/>
  <c r="G41" i="9"/>
  <c r="D40" i="9"/>
  <c r="G39" i="9"/>
  <c r="D38" i="9"/>
  <c r="G37" i="9"/>
  <c r="D36" i="9"/>
  <c r="G35" i="9"/>
  <c r="D34" i="9"/>
  <c r="G33" i="9"/>
  <c r="D32" i="9"/>
  <c r="G31" i="9"/>
  <c r="D30" i="9"/>
  <c r="G29" i="9"/>
  <c r="D28" i="9"/>
  <c r="G27" i="9"/>
  <c r="D26" i="9"/>
  <c r="G25" i="9"/>
  <c r="D24" i="9"/>
  <c r="G23" i="9"/>
  <c r="D22" i="9"/>
  <c r="G21" i="9"/>
  <c r="B21" i="9"/>
  <c r="F20" i="9"/>
  <c r="B20" i="9"/>
  <c r="F19" i="9"/>
  <c r="B19" i="9"/>
  <c r="F18" i="9"/>
  <c r="B18" i="9"/>
  <c r="F17" i="9"/>
  <c r="B17" i="9"/>
  <c r="F16" i="9"/>
  <c r="B16" i="9"/>
  <c r="F15" i="9"/>
  <c r="B15" i="9"/>
  <c r="F14" i="9"/>
  <c r="B14" i="9"/>
  <c r="F13" i="9"/>
  <c r="B13" i="9"/>
  <c r="F12" i="9"/>
  <c r="B12" i="9"/>
  <c r="F11" i="9"/>
  <c r="B11" i="9"/>
  <c r="F10" i="9"/>
  <c r="B10" i="9"/>
  <c r="F9" i="9"/>
  <c r="B9" i="9"/>
  <c r="F8" i="9"/>
  <c r="B8" i="9"/>
  <c r="F7" i="9"/>
  <c r="B7" i="9"/>
  <c r="F6" i="9"/>
  <c r="B6" i="9"/>
  <c r="F5" i="9"/>
  <c r="B5" i="9"/>
  <c r="F4" i="9"/>
  <c r="B4" i="9"/>
  <c r="D139" i="7"/>
  <c r="H138" i="7"/>
  <c r="C138" i="7"/>
  <c r="G137" i="7"/>
  <c r="C137" i="7"/>
  <c r="G136" i="7"/>
  <c r="C136" i="7"/>
  <c r="G135" i="7"/>
  <c r="C135" i="7"/>
  <c r="G134" i="7"/>
  <c r="C134" i="7"/>
  <c r="G133" i="7"/>
  <c r="B133" i="7"/>
  <c r="F132" i="7"/>
  <c r="B132" i="7"/>
  <c r="F131" i="7"/>
  <c r="B131" i="7"/>
  <c r="F130" i="7"/>
  <c r="B130" i="7"/>
  <c r="F129" i="7"/>
  <c r="B129" i="7"/>
  <c r="F128" i="7"/>
  <c r="B128" i="7"/>
  <c r="F127" i="7"/>
  <c r="B127" i="7"/>
  <c r="F126" i="7"/>
  <c r="B126" i="7"/>
  <c r="F125" i="7"/>
  <c r="G91" i="15"/>
  <c r="G59" i="15"/>
  <c r="C36" i="15"/>
  <c r="C20" i="15"/>
  <c r="F6" i="15"/>
  <c r="H22" i="13"/>
  <c r="H14" i="13"/>
  <c r="H6" i="13"/>
  <c r="H37" i="11"/>
  <c r="H33" i="11"/>
  <c r="F30" i="11"/>
  <c r="H27" i="11"/>
  <c r="C25" i="11"/>
  <c r="F22" i="11"/>
  <c r="H19" i="11"/>
  <c r="C17" i="11"/>
  <c r="F14" i="11"/>
  <c r="H11" i="11"/>
  <c r="C9" i="11"/>
  <c r="F6" i="11"/>
  <c r="C108" i="9"/>
  <c r="C106" i="9"/>
  <c r="C104" i="9"/>
  <c r="C102" i="9"/>
  <c r="C100" i="9"/>
  <c r="C98" i="9"/>
  <c r="C96" i="9"/>
  <c r="C94" i="9"/>
  <c r="B92" i="9"/>
  <c r="B91" i="9"/>
  <c r="B90" i="9"/>
  <c r="C46" i="9"/>
  <c r="E45" i="9"/>
  <c r="H44" i="9"/>
  <c r="C44" i="9"/>
  <c r="E43" i="9"/>
  <c r="H42" i="9"/>
  <c r="C42" i="9"/>
  <c r="E41" i="9"/>
  <c r="H40" i="9"/>
  <c r="C40" i="9"/>
  <c r="E39" i="9"/>
  <c r="H38" i="9"/>
  <c r="C38" i="9"/>
  <c r="E37" i="9"/>
  <c r="H36" i="9"/>
  <c r="C36" i="9"/>
  <c r="E35" i="9"/>
  <c r="H34" i="9"/>
  <c r="C34" i="9"/>
  <c r="E33" i="9"/>
  <c r="H32" i="9"/>
  <c r="G83" i="15"/>
  <c r="G51" i="15"/>
  <c r="C32" i="15"/>
  <c r="C16" i="15"/>
  <c r="H28" i="13"/>
  <c r="H20" i="13"/>
  <c r="H12" i="13"/>
  <c r="H4" i="13"/>
  <c r="H36" i="11"/>
  <c r="H32" i="11"/>
  <c r="H29" i="11"/>
  <c r="C27" i="11"/>
  <c r="F24" i="11"/>
  <c r="H21" i="11"/>
  <c r="C19" i="11"/>
  <c r="F16" i="11"/>
  <c r="H13" i="11"/>
  <c r="C11" i="11"/>
  <c r="F8" i="11"/>
  <c r="H5" i="11"/>
  <c r="G107" i="9"/>
  <c r="G105" i="9"/>
  <c r="G103" i="9"/>
  <c r="G101" i="9"/>
  <c r="G99" i="9"/>
  <c r="G97" i="9"/>
  <c r="G95" i="9"/>
  <c r="G93" i="9"/>
  <c r="H91" i="9"/>
  <c r="H90" i="9"/>
  <c r="H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D45" i="9"/>
  <c r="G44" i="9"/>
  <c r="D43" i="9"/>
  <c r="G42" i="9"/>
  <c r="D41" i="9"/>
  <c r="G40" i="9"/>
  <c r="D39" i="9"/>
  <c r="G38" i="9"/>
  <c r="D37" i="9"/>
  <c r="G36" i="9"/>
  <c r="D35" i="9"/>
  <c r="G34" i="9"/>
  <c r="D33" i="9"/>
  <c r="G32" i="9"/>
  <c r="D31" i="9"/>
  <c r="G30" i="9"/>
  <c r="D29" i="9"/>
  <c r="G28" i="9"/>
  <c r="D27" i="9"/>
  <c r="G26" i="9"/>
  <c r="D25" i="9"/>
  <c r="G24" i="9"/>
  <c r="D23" i="9"/>
  <c r="G22" i="9"/>
  <c r="D21" i="9"/>
  <c r="H20" i="9"/>
  <c r="D20" i="9"/>
  <c r="H19" i="9"/>
  <c r="D19" i="9"/>
  <c r="H18" i="9"/>
  <c r="D18" i="9"/>
  <c r="H17" i="9"/>
  <c r="C30" i="9"/>
  <c r="E27" i="9"/>
  <c r="H24" i="9"/>
  <c r="C22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139" i="7"/>
  <c r="F138" i="7"/>
  <c r="E137" i="7"/>
  <c r="E136" i="7"/>
  <c r="E135" i="7"/>
  <c r="E134" i="7"/>
  <c r="E133" i="7"/>
  <c r="D132" i="7"/>
  <c r="D131" i="7"/>
  <c r="D130" i="7"/>
  <c r="D129" i="7"/>
  <c r="D128" i="7"/>
  <c r="D127" i="7"/>
  <c r="D126" i="7"/>
  <c r="D125" i="7"/>
  <c r="F124" i="7"/>
  <c r="D123" i="7"/>
  <c r="F122" i="7"/>
  <c r="D121" i="7"/>
  <c r="F120" i="7"/>
  <c r="D119" i="7"/>
  <c r="F118" i="7"/>
  <c r="D117" i="7"/>
  <c r="F116" i="7"/>
  <c r="D115" i="7"/>
  <c r="F114" i="7"/>
  <c r="D113" i="7"/>
  <c r="F112" i="7"/>
  <c r="D111" i="7"/>
  <c r="F110" i="7"/>
  <c r="D109" i="7"/>
  <c r="F108" i="7"/>
  <c r="D107" i="7"/>
  <c r="F106" i="7"/>
  <c r="D105" i="7"/>
  <c r="F104" i="7"/>
  <c r="D103" i="7"/>
  <c r="F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C32" i="9"/>
  <c r="E29" i="9"/>
  <c r="H26" i="9"/>
  <c r="C24" i="9"/>
  <c r="E21" i="9"/>
  <c r="E19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C139" i="7"/>
  <c r="B138" i="7"/>
  <c r="B137" i="7"/>
  <c r="B136" i="7"/>
  <c r="B135" i="7"/>
  <c r="B134" i="7"/>
  <c r="B125" i="7"/>
  <c r="E124" i="7"/>
  <c r="H123" i="7"/>
  <c r="B123" i="7"/>
  <c r="E122" i="7"/>
  <c r="H121" i="7"/>
  <c r="B121" i="7"/>
  <c r="E120" i="7"/>
  <c r="H119" i="7"/>
  <c r="B119" i="7"/>
  <c r="E118" i="7"/>
  <c r="H117" i="7"/>
  <c r="B117" i="7"/>
  <c r="E116" i="7"/>
  <c r="H115" i="7"/>
  <c r="B115" i="7"/>
  <c r="E114" i="7"/>
  <c r="H113" i="7"/>
  <c r="B113" i="7"/>
  <c r="E112" i="7"/>
  <c r="H111" i="7"/>
  <c r="B111" i="7"/>
  <c r="E110" i="7"/>
  <c r="H109" i="7"/>
  <c r="B109" i="7"/>
  <c r="E108" i="7"/>
  <c r="H107" i="7"/>
  <c r="B107" i="7"/>
  <c r="E106" i="7"/>
  <c r="H105" i="7"/>
  <c r="B105" i="7"/>
  <c r="E104" i="7"/>
  <c r="H103" i="7"/>
  <c r="B103" i="7"/>
  <c r="E102" i="7"/>
  <c r="H101" i="7"/>
  <c r="D101" i="7"/>
  <c r="H100" i="7"/>
  <c r="D100" i="7"/>
  <c r="H99" i="7"/>
  <c r="D99" i="7"/>
  <c r="H98" i="7"/>
  <c r="D98" i="7"/>
  <c r="H97" i="7"/>
  <c r="D97" i="7"/>
  <c r="H96" i="7"/>
  <c r="D96" i="7"/>
  <c r="H95" i="7"/>
  <c r="D95" i="7"/>
  <c r="H94" i="7"/>
  <c r="D94" i="7"/>
  <c r="H93" i="7"/>
  <c r="D93" i="7"/>
  <c r="H92" i="7"/>
  <c r="D92" i="7"/>
  <c r="H91" i="7"/>
  <c r="D91" i="7"/>
  <c r="H90" i="7"/>
  <c r="D90" i="7"/>
  <c r="H89" i="7"/>
  <c r="D89" i="7"/>
  <c r="H88" i="7"/>
  <c r="D88" i="7"/>
  <c r="H87" i="7"/>
  <c r="D87" i="7"/>
  <c r="H86" i="7"/>
  <c r="D86" i="7"/>
  <c r="H85" i="7"/>
  <c r="D85" i="7"/>
  <c r="H84" i="7"/>
  <c r="D84" i="7"/>
  <c r="H83" i="7"/>
  <c r="D83" i="7"/>
  <c r="H82" i="7"/>
  <c r="D82" i="7"/>
  <c r="H81" i="7"/>
  <c r="D81" i="7"/>
  <c r="H80" i="7"/>
  <c r="D80" i="7"/>
  <c r="H79" i="7"/>
  <c r="D79" i="7"/>
  <c r="H78" i="7"/>
  <c r="D78" i="7"/>
  <c r="H77" i="7"/>
  <c r="D77" i="7"/>
  <c r="H76" i="7"/>
  <c r="D76" i="7"/>
  <c r="H75" i="7"/>
  <c r="D75" i="7"/>
  <c r="H74" i="7"/>
  <c r="D74" i="7"/>
  <c r="H73" i="7"/>
  <c r="D73" i="7"/>
  <c r="H72" i="7"/>
  <c r="D72" i="7"/>
  <c r="H71" i="7"/>
  <c r="D71" i="7"/>
  <c r="H70" i="7"/>
  <c r="D70" i="7"/>
  <c r="H69" i="7"/>
  <c r="D69" i="7"/>
  <c r="H68" i="7"/>
  <c r="D68" i="7"/>
  <c r="H67" i="7"/>
  <c r="D67" i="7"/>
  <c r="H66" i="7"/>
  <c r="D66" i="7"/>
  <c r="H65" i="7"/>
  <c r="D65" i="7"/>
  <c r="H64" i="7"/>
  <c r="D64" i="7"/>
  <c r="H63" i="7"/>
  <c r="D63" i="7"/>
  <c r="H62" i="7"/>
  <c r="D62" i="7"/>
  <c r="H61" i="7"/>
  <c r="D61" i="7"/>
  <c r="H60" i="7"/>
  <c r="D60" i="7"/>
  <c r="H59" i="7"/>
  <c r="D59" i="7"/>
  <c r="H58" i="7"/>
  <c r="D58" i="7"/>
  <c r="H57" i="7"/>
  <c r="D57" i="7"/>
  <c r="H56" i="7"/>
  <c r="D56" i="7"/>
  <c r="H55" i="7"/>
  <c r="D55" i="7"/>
  <c r="H54" i="7"/>
  <c r="D54" i="7"/>
  <c r="H53" i="7"/>
  <c r="D53" i="7"/>
  <c r="H52" i="7"/>
  <c r="D52" i="7"/>
  <c r="H51" i="7"/>
  <c r="D51" i="7"/>
  <c r="H50" i="7"/>
  <c r="D50" i="7"/>
  <c r="H49" i="7"/>
  <c r="D49" i="7"/>
  <c r="H48" i="7"/>
  <c r="D48" i="7"/>
  <c r="H47" i="7"/>
  <c r="D47" i="7"/>
  <c r="H46" i="7"/>
  <c r="D46" i="7"/>
  <c r="H45" i="7"/>
  <c r="D45" i="7"/>
  <c r="H44" i="7"/>
  <c r="D44" i="7"/>
  <c r="H43" i="7"/>
  <c r="D43" i="7"/>
  <c r="H42" i="7"/>
  <c r="D42" i="7"/>
  <c r="H41" i="7"/>
  <c r="D41" i="7"/>
  <c r="H40" i="7"/>
  <c r="D40" i="7"/>
  <c r="H39" i="7"/>
  <c r="D39" i="7"/>
  <c r="H38" i="7"/>
  <c r="D38" i="7"/>
  <c r="H37" i="7"/>
  <c r="D37" i="7"/>
  <c r="H36" i="7"/>
  <c r="D36" i="7"/>
  <c r="H35" i="7"/>
  <c r="D35" i="7"/>
  <c r="H34" i="7"/>
  <c r="D34" i="7"/>
  <c r="H33" i="7"/>
  <c r="D33" i="7"/>
  <c r="H32" i="7"/>
  <c r="D32" i="7"/>
  <c r="H31" i="7"/>
  <c r="D31" i="7"/>
  <c r="H30" i="7"/>
  <c r="D30" i="7"/>
  <c r="H29" i="7"/>
  <c r="D29" i="7"/>
  <c r="H28" i="7"/>
  <c r="D28" i="7"/>
  <c r="H27" i="7"/>
  <c r="D27" i="7"/>
  <c r="H26" i="7"/>
  <c r="D26" i="7"/>
  <c r="H25" i="7"/>
  <c r="D25" i="7"/>
  <c r="H24" i="7"/>
  <c r="D24" i="7"/>
  <c r="H23" i="7"/>
  <c r="D23" i="7"/>
  <c r="H22" i="7"/>
  <c r="D22" i="7"/>
  <c r="H21" i="7"/>
  <c r="D21" i="7"/>
  <c r="H20" i="7"/>
  <c r="D20" i="7"/>
  <c r="E31" i="9"/>
  <c r="H28" i="9"/>
  <c r="C26" i="9"/>
  <c r="E23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B139" i="7"/>
  <c r="H132" i="7"/>
  <c r="H131" i="7"/>
  <c r="H130" i="7"/>
  <c r="H129" i="7"/>
  <c r="H128" i="7"/>
  <c r="H127" i="7"/>
  <c r="H126" i="7"/>
  <c r="H125" i="7"/>
  <c r="D124" i="7"/>
  <c r="F123" i="7"/>
  <c r="D122" i="7"/>
  <c r="F121" i="7"/>
  <c r="D120" i="7"/>
  <c r="F119" i="7"/>
  <c r="D118" i="7"/>
  <c r="F117" i="7"/>
  <c r="D116" i="7"/>
  <c r="F115" i="7"/>
  <c r="D114" i="7"/>
  <c r="F113" i="7"/>
  <c r="D112" i="7"/>
  <c r="F111" i="7"/>
  <c r="D110" i="7"/>
  <c r="F109" i="7"/>
  <c r="D108" i="7"/>
  <c r="F107" i="7"/>
  <c r="D106" i="7"/>
  <c r="F105" i="7"/>
  <c r="D104" i="7"/>
  <c r="F103" i="7"/>
  <c r="D102" i="7"/>
  <c r="G101" i="7"/>
  <c r="C101" i="7"/>
  <c r="G100" i="7"/>
  <c r="C100" i="7"/>
  <c r="G99" i="7"/>
  <c r="C99" i="7"/>
  <c r="G98" i="7"/>
  <c r="C98" i="7"/>
  <c r="G97" i="7"/>
  <c r="C97" i="7"/>
  <c r="G96" i="7"/>
  <c r="C96" i="7"/>
  <c r="G95" i="7"/>
  <c r="C95" i="7"/>
  <c r="G94" i="7"/>
  <c r="C94" i="7"/>
  <c r="G93" i="7"/>
  <c r="C93" i="7"/>
  <c r="G92" i="7"/>
  <c r="C92" i="7"/>
  <c r="G91" i="7"/>
  <c r="C91" i="7"/>
  <c r="G90" i="7"/>
  <c r="C90" i="7"/>
  <c r="G89" i="7"/>
  <c r="C89" i="7"/>
  <c r="G88" i="7"/>
  <c r="C88" i="7"/>
  <c r="G87" i="7"/>
  <c r="C87" i="7"/>
  <c r="G86" i="7"/>
  <c r="C86" i="7"/>
  <c r="G85" i="7"/>
  <c r="C85" i="7"/>
  <c r="G84" i="7"/>
  <c r="C84" i="7"/>
  <c r="G83" i="7"/>
  <c r="C83" i="7"/>
  <c r="G82" i="7"/>
  <c r="C82" i="7"/>
  <c r="G81" i="7"/>
  <c r="C81" i="7"/>
  <c r="G80" i="7"/>
  <c r="C80" i="7"/>
  <c r="G79" i="7"/>
  <c r="C79" i="7"/>
  <c r="G78" i="7"/>
  <c r="C78" i="7"/>
  <c r="G77" i="7"/>
  <c r="C77" i="7"/>
  <c r="G76" i="7"/>
  <c r="C76" i="7"/>
  <c r="G75" i="7"/>
  <c r="C75" i="7"/>
  <c r="G74" i="7"/>
  <c r="C74" i="7"/>
  <c r="G73" i="7"/>
  <c r="C73" i="7"/>
  <c r="G72" i="7"/>
  <c r="C72" i="7"/>
  <c r="G71" i="7"/>
  <c r="C71" i="7"/>
  <c r="G70" i="7"/>
  <c r="C70" i="7"/>
  <c r="G69" i="7"/>
  <c r="C69" i="7"/>
  <c r="G68" i="7"/>
  <c r="C68" i="7"/>
  <c r="G67" i="7"/>
  <c r="C67" i="7"/>
  <c r="G66" i="7"/>
  <c r="C66" i="7"/>
  <c r="G65" i="7"/>
  <c r="C65" i="7"/>
  <c r="G64" i="7"/>
  <c r="C64" i="7"/>
  <c r="G63" i="7"/>
  <c r="C63" i="7"/>
  <c r="G62" i="7"/>
  <c r="C62" i="7"/>
  <c r="G61" i="7"/>
  <c r="C61" i="7"/>
  <c r="G60" i="7"/>
  <c r="C60" i="7"/>
  <c r="G59" i="7"/>
  <c r="C59" i="7"/>
  <c r="G58" i="7"/>
  <c r="C58" i="7"/>
  <c r="G57" i="7"/>
  <c r="C57" i="7"/>
  <c r="G56" i="7"/>
  <c r="C56" i="7"/>
  <c r="G55" i="7"/>
  <c r="C55" i="7"/>
  <c r="G54" i="7"/>
  <c r="C54" i="7"/>
  <c r="G53" i="7"/>
  <c r="C53" i="7"/>
  <c r="G52" i="7"/>
  <c r="C52" i="7"/>
  <c r="G51" i="7"/>
  <c r="C51" i="7"/>
  <c r="G50" i="7"/>
  <c r="C50" i="7"/>
  <c r="G49" i="7"/>
  <c r="C49" i="7"/>
  <c r="G48" i="7"/>
  <c r="C48" i="7"/>
  <c r="G47" i="7"/>
  <c r="C47" i="7"/>
  <c r="G46" i="7"/>
  <c r="C46" i="7"/>
  <c r="G45" i="7"/>
  <c r="C45" i="7"/>
  <c r="G44" i="7"/>
  <c r="C44" i="7"/>
  <c r="G43" i="7"/>
  <c r="C43" i="7"/>
  <c r="G42" i="7"/>
  <c r="C42" i="7"/>
  <c r="G41" i="7"/>
  <c r="C41" i="7"/>
  <c r="G40" i="7"/>
  <c r="C40" i="7"/>
  <c r="G39" i="7"/>
  <c r="C39" i="7"/>
  <c r="G38" i="7"/>
  <c r="C38" i="7"/>
  <c r="G37" i="7"/>
  <c r="C37" i="7"/>
  <c r="G36" i="7"/>
  <c r="C36" i="7"/>
  <c r="G35" i="7"/>
  <c r="C35" i="7"/>
  <c r="G34" i="7"/>
  <c r="C34" i="7"/>
  <c r="G33" i="7"/>
  <c r="C33" i="7"/>
  <c r="G32" i="7"/>
  <c r="C32" i="7"/>
  <c r="G31" i="7"/>
  <c r="C31" i="7"/>
  <c r="G30" i="7"/>
  <c r="C30" i="7"/>
  <c r="G29" i="7"/>
  <c r="C29" i="7"/>
  <c r="G28" i="7"/>
  <c r="C28" i="7"/>
  <c r="G27" i="7"/>
  <c r="C27" i="7"/>
  <c r="G26" i="7"/>
  <c r="C26" i="7"/>
  <c r="G25" i="7"/>
  <c r="C25" i="7"/>
  <c r="G24" i="7"/>
  <c r="C24" i="7"/>
  <c r="G23" i="7"/>
  <c r="C23" i="7"/>
  <c r="G22" i="7"/>
  <c r="C22" i="7"/>
  <c r="G21" i="7"/>
  <c r="C21" i="7"/>
  <c r="G20" i="7"/>
  <c r="C20" i="7"/>
  <c r="G19" i="7"/>
  <c r="C19" i="7"/>
  <c r="G18" i="7"/>
  <c r="C18" i="7"/>
  <c r="G17" i="7"/>
  <c r="C17" i="7"/>
  <c r="G16" i="7"/>
  <c r="C16" i="7"/>
  <c r="G15" i="7"/>
  <c r="C15" i="7"/>
  <c r="G14" i="7"/>
  <c r="C14" i="7"/>
  <c r="G13" i="7"/>
  <c r="C13" i="7"/>
  <c r="G12" i="7"/>
  <c r="C12" i="7"/>
  <c r="G11" i="7"/>
  <c r="C11" i="7"/>
  <c r="G10" i="7"/>
  <c r="C10" i="7"/>
  <c r="G9" i="7"/>
  <c r="C9" i="7"/>
  <c r="G8" i="7"/>
  <c r="C8" i="7"/>
  <c r="G7" i="7"/>
  <c r="C7" i="7"/>
  <c r="G6" i="7"/>
  <c r="C6" i="7"/>
  <c r="G5" i="7"/>
  <c r="C5" i="7"/>
  <c r="G4" i="7"/>
  <c r="C4" i="7"/>
  <c r="H30" i="9"/>
  <c r="C28" i="9"/>
  <c r="E25" i="9"/>
  <c r="H22" i="9"/>
  <c r="E20" i="9"/>
  <c r="E18" i="9"/>
  <c r="G138" i="7"/>
  <c r="F137" i="7"/>
  <c r="F136" i="7"/>
  <c r="F135" i="7"/>
  <c r="F134" i="7"/>
  <c r="F133" i="7"/>
  <c r="E132" i="7"/>
  <c r="E131" i="7"/>
  <c r="E130" i="7"/>
  <c r="E129" i="7"/>
  <c r="E128" i="7"/>
  <c r="E127" i="7"/>
  <c r="E126" i="7"/>
  <c r="E125" i="7"/>
  <c r="H124" i="7"/>
  <c r="B124" i="7"/>
  <c r="E123" i="7"/>
  <c r="H122" i="7"/>
  <c r="B122" i="7"/>
  <c r="E121" i="7"/>
  <c r="H120" i="7"/>
  <c r="B120" i="7"/>
  <c r="E119" i="7"/>
  <c r="H118" i="7"/>
  <c r="B118" i="7"/>
  <c r="E117" i="7"/>
  <c r="H116" i="7"/>
  <c r="B116" i="7"/>
  <c r="E115" i="7"/>
  <c r="H114" i="7"/>
  <c r="B114" i="7"/>
  <c r="E113" i="7"/>
  <c r="H112" i="7"/>
  <c r="B112" i="7"/>
  <c r="E111" i="7"/>
  <c r="H110" i="7"/>
  <c r="B110" i="7"/>
  <c r="E109" i="7"/>
  <c r="H108" i="7"/>
  <c r="B108" i="7"/>
  <c r="E107" i="7"/>
  <c r="H106" i="7"/>
  <c r="B106" i="7"/>
  <c r="E105" i="7"/>
  <c r="H104" i="7"/>
  <c r="B104" i="7"/>
  <c r="E103" i="7"/>
  <c r="H102" i="7"/>
  <c r="B102" i="7"/>
  <c r="F101" i="7"/>
  <c r="B101" i="7"/>
  <c r="F100" i="7"/>
  <c r="B100" i="7"/>
  <c r="F99" i="7"/>
  <c r="B99" i="7"/>
  <c r="F98" i="7"/>
  <c r="B98" i="7"/>
  <c r="F97" i="7"/>
  <c r="B97" i="7"/>
  <c r="F96" i="7"/>
  <c r="B96" i="7"/>
  <c r="F95" i="7"/>
  <c r="B95" i="7"/>
  <c r="F94" i="7"/>
  <c r="B94" i="7"/>
  <c r="F93" i="7"/>
  <c r="B93" i="7"/>
  <c r="F92" i="7"/>
  <c r="B92" i="7"/>
  <c r="F91" i="7"/>
  <c r="B91" i="7"/>
  <c r="F90" i="7"/>
  <c r="B90" i="7"/>
  <c r="F89" i="7"/>
  <c r="B89" i="7"/>
  <c r="F88" i="7"/>
  <c r="B88" i="7"/>
  <c r="F87" i="7"/>
  <c r="B87" i="7"/>
  <c r="F86" i="7"/>
  <c r="B86" i="7"/>
  <c r="F85" i="7"/>
  <c r="B85" i="7"/>
  <c r="F84" i="7"/>
  <c r="B84" i="7"/>
  <c r="F83" i="7"/>
  <c r="B83" i="7"/>
  <c r="F82" i="7"/>
  <c r="B82" i="7"/>
  <c r="F81" i="7"/>
  <c r="B81" i="7"/>
  <c r="F80" i="7"/>
  <c r="B80" i="7"/>
  <c r="F79" i="7"/>
  <c r="B79" i="7"/>
  <c r="F78" i="7"/>
  <c r="B78" i="7"/>
  <c r="F77" i="7"/>
  <c r="B77" i="7"/>
  <c r="F76" i="7"/>
  <c r="B76" i="7"/>
  <c r="F75" i="7"/>
  <c r="B75" i="7"/>
  <c r="F74" i="7"/>
  <c r="B74" i="7"/>
  <c r="F73" i="7"/>
  <c r="B73" i="7"/>
  <c r="F72" i="7"/>
  <c r="B72" i="7"/>
  <c r="F71" i="7"/>
  <c r="B71" i="7"/>
  <c r="F70" i="7"/>
  <c r="B70" i="7"/>
  <c r="F69" i="7"/>
  <c r="B69" i="7"/>
  <c r="F68" i="7"/>
  <c r="B68" i="7"/>
  <c r="F67" i="7"/>
  <c r="B67" i="7"/>
  <c r="F66" i="7"/>
  <c r="B66" i="7"/>
  <c r="F65" i="7"/>
  <c r="B65" i="7"/>
  <c r="F64" i="7"/>
  <c r="B64" i="7"/>
  <c r="F63" i="7"/>
  <c r="B63" i="7"/>
  <c r="F62" i="7"/>
  <c r="B62" i="7"/>
  <c r="F61" i="7"/>
  <c r="B61" i="7"/>
  <c r="F60" i="7"/>
  <c r="B60" i="7"/>
  <c r="F59" i="7"/>
  <c r="B59" i="7"/>
  <c r="F58" i="7"/>
  <c r="B58" i="7"/>
  <c r="F57" i="7"/>
  <c r="B57" i="7"/>
  <c r="F56" i="7"/>
  <c r="B56" i="7"/>
  <c r="F55" i="7"/>
  <c r="B55" i="7"/>
  <c r="F54" i="7"/>
  <c r="B54" i="7"/>
  <c r="F53" i="7"/>
  <c r="B53" i="7"/>
  <c r="F52" i="7"/>
  <c r="B52" i="7"/>
  <c r="F51" i="7"/>
  <c r="B51" i="7"/>
  <c r="F50" i="7"/>
  <c r="B50" i="7"/>
  <c r="F49" i="7"/>
  <c r="B49" i="7"/>
  <c r="F48" i="7"/>
  <c r="B48" i="7"/>
  <c r="F47" i="7"/>
  <c r="B47" i="7"/>
  <c r="F46" i="7"/>
  <c r="B46" i="7"/>
  <c r="F45" i="7"/>
  <c r="B45" i="7"/>
  <c r="F44" i="7"/>
  <c r="B44" i="7"/>
  <c r="F43" i="7"/>
  <c r="B43" i="7"/>
  <c r="F42" i="7"/>
  <c r="B42" i="7"/>
  <c r="F41" i="7"/>
  <c r="B41" i="7"/>
  <c r="F40" i="7"/>
  <c r="B40" i="7"/>
  <c r="F39" i="7"/>
  <c r="B39" i="7"/>
  <c r="F38" i="7"/>
  <c r="B38" i="7"/>
  <c r="F37" i="7"/>
  <c r="B37" i="7"/>
  <c r="F36" i="7"/>
  <c r="B36" i="7"/>
  <c r="F35" i="7"/>
  <c r="B35" i="7"/>
  <c r="F34" i="7"/>
  <c r="B34" i="7"/>
  <c r="F33" i="7"/>
  <c r="B33" i="7"/>
  <c r="F32" i="7"/>
  <c r="B32" i="7"/>
  <c r="F31" i="7"/>
  <c r="B31" i="7"/>
  <c r="F30" i="7"/>
  <c r="B30" i="7"/>
  <c r="F29" i="7"/>
  <c r="B29" i="7"/>
  <c r="F28" i="7"/>
  <c r="B28" i="7"/>
  <c r="F27" i="7"/>
  <c r="B27" i="7"/>
  <c r="F26" i="7"/>
  <c r="B26" i="7"/>
  <c r="F25" i="7"/>
  <c r="B25" i="7"/>
  <c r="F24" i="7"/>
  <c r="B24" i="7"/>
  <c r="F23" i="7"/>
  <c r="B23" i="7"/>
  <c r="F22" i="7"/>
  <c r="B22" i="7"/>
  <c r="F21" i="7"/>
  <c r="B21" i="7"/>
  <c r="F20" i="7"/>
  <c r="B20" i="7"/>
  <c r="F19" i="7"/>
  <c r="B19" i="7"/>
  <c r="F18" i="7"/>
  <c r="B18" i="7"/>
  <c r="F17" i="7"/>
  <c r="B17" i="7"/>
  <c r="F16" i="7"/>
  <c r="B16" i="7"/>
  <c r="F15" i="7"/>
  <c r="B15" i="7"/>
  <c r="F14" i="7"/>
  <c r="B14" i="7"/>
  <c r="F13" i="7"/>
  <c r="B13" i="7"/>
  <c r="F12" i="7"/>
  <c r="E38" i="7"/>
  <c r="E36" i="7"/>
  <c r="E34" i="7"/>
  <c r="E32" i="7"/>
  <c r="E30" i="7"/>
  <c r="E28" i="7"/>
  <c r="E26" i="7"/>
  <c r="E24" i="7"/>
  <c r="E22" i="7"/>
  <c r="E20" i="7"/>
  <c r="D19" i="7"/>
  <c r="D18" i="7"/>
  <c r="D17" i="7"/>
  <c r="D16" i="7"/>
  <c r="D15" i="7"/>
  <c r="D14" i="7"/>
  <c r="D13" i="7"/>
  <c r="D12" i="7"/>
  <c r="F11" i="7"/>
  <c r="D10" i="7"/>
  <c r="F9" i="7"/>
  <c r="D8" i="7"/>
  <c r="F7" i="7"/>
  <c r="D6" i="7"/>
  <c r="F5" i="7"/>
  <c r="D4" i="7"/>
  <c r="G135" i="4"/>
  <c r="C135" i="4"/>
  <c r="G134" i="4"/>
  <c r="C134" i="4"/>
  <c r="G133" i="4"/>
  <c r="C133" i="4"/>
  <c r="G132" i="4"/>
  <c r="C132" i="4"/>
  <c r="G131" i="4"/>
  <c r="C131" i="4"/>
  <c r="G130" i="4"/>
  <c r="C130" i="4"/>
  <c r="G129" i="4"/>
  <c r="C129" i="4"/>
  <c r="G128" i="4"/>
  <c r="C128" i="4"/>
  <c r="G127" i="4"/>
  <c r="C127" i="4"/>
  <c r="G126" i="4"/>
  <c r="C126" i="4"/>
  <c r="G125" i="4"/>
  <c r="C125" i="4"/>
  <c r="G124" i="4"/>
  <c r="C124" i="4"/>
  <c r="G123" i="4"/>
  <c r="C123" i="4"/>
  <c r="G122" i="4"/>
  <c r="C122" i="4"/>
  <c r="G121" i="4"/>
  <c r="C121" i="4"/>
  <c r="G120" i="4"/>
  <c r="C120" i="4"/>
  <c r="G119" i="4"/>
  <c r="C119" i="4"/>
  <c r="G118" i="4"/>
  <c r="C118" i="4"/>
  <c r="G117" i="4"/>
  <c r="C117" i="4"/>
  <c r="G116" i="4"/>
  <c r="C116" i="4"/>
  <c r="G115" i="4"/>
  <c r="C115" i="4"/>
  <c r="G114" i="4"/>
  <c r="C114" i="4"/>
  <c r="G113" i="4"/>
  <c r="C113" i="4"/>
  <c r="G112" i="4"/>
  <c r="C112" i="4"/>
  <c r="G111" i="4"/>
  <c r="C111" i="4"/>
  <c r="G110" i="4"/>
  <c r="C110" i="4"/>
  <c r="G109" i="4"/>
  <c r="C109" i="4"/>
  <c r="G108" i="4"/>
  <c r="C108" i="4"/>
  <c r="G107" i="4"/>
  <c r="C107" i="4"/>
  <c r="G106" i="4"/>
  <c r="C106" i="4"/>
  <c r="G105" i="4"/>
  <c r="C105" i="4"/>
  <c r="G104" i="4"/>
  <c r="C104" i="4"/>
  <c r="G103" i="4"/>
  <c r="C103" i="4"/>
  <c r="G102" i="4"/>
  <c r="C102" i="4"/>
  <c r="G101" i="4"/>
  <c r="C101" i="4"/>
  <c r="G100" i="4"/>
  <c r="C100" i="4"/>
  <c r="G99" i="4"/>
  <c r="C99" i="4"/>
  <c r="G98" i="4"/>
  <c r="C98" i="4"/>
  <c r="G97" i="4"/>
  <c r="C97" i="4"/>
  <c r="G96" i="4"/>
  <c r="C96" i="4"/>
  <c r="G95" i="4"/>
  <c r="C95" i="4"/>
  <c r="G94" i="4"/>
  <c r="C94" i="4"/>
  <c r="G93" i="4"/>
  <c r="C93" i="4"/>
  <c r="G92" i="4"/>
  <c r="C92" i="4"/>
  <c r="G91" i="4"/>
  <c r="C91" i="4"/>
  <c r="G90" i="4"/>
  <c r="C90" i="4"/>
  <c r="G89" i="4"/>
  <c r="C89" i="4"/>
  <c r="G88" i="4"/>
  <c r="C88" i="4"/>
  <c r="G87" i="4"/>
  <c r="C87" i="4"/>
  <c r="G86" i="4"/>
  <c r="C86" i="4"/>
  <c r="G85" i="4"/>
  <c r="C85" i="4"/>
  <c r="G84" i="4"/>
  <c r="C84" i="4"/>
  <c r="G83" i="4"/>
  <c r="C83" i="4"/>
  <c r="G82" i="4"/>
  <c r="C82" i="4"/>
  <c r="G81" i="4"/>
  <c r="C81" i="4"/>
  <c r="G80" i="4"/>
  <c r="C80" i="4"/>
  <c r="G79" i="4"/>
  <c r="C79" i="4"/>
  <c r="G78" i="4"/>
  <c r="C78" i="4"/>
  <c r="G77" i="4"/>
  <c r="C77" i="4"/>
  <c r="G76" i="4"/>
  <c r="C76" i="4"/>
  <c r="G75" i="4"/>
  <c r="C75" i="4"/>
  <c r="G74" i="4"/>
  <c r="C74" i="4"/>
  <c r="G73" i="4"/>
  <c r="C73" i="4"/>
  <c r="G72" i="4"/>
  <c r="C72" i="4"/>
  <c r="G71" i="4"/>
  <c r="C71" i="4"/>
  <c r="G70" i="4"/>
  <c r="C70" i="4"/>
  <c r="G69" i="4"/>
  <c r="C69" i="4"/>
  <c r="G68" i="4"/>
  <c r="C68" i="4"/>
  <c r="G67" i="4"/>
  <c r="C67" i="4"/>
  <c r="G66" i="4"/>
  <c r="C66" i="4"/>
  <c r="G65" i="4"/>
  <c r="C65" i="4"/>
  <c r="G64" i="4"/>
  <c r="C64" i="4"/>
  <c r="G63" i="4"/>
  <c r="C63" i="4"/>
  <c r="G62" i="4"/>
  <c r="C62" i="4"/>
  <c r="G61" i="4"/>
  <c r="C61" i="4"/>
  <c r="G60" i="4"/>
  <c r="C60" i="4"/>
  <c r="G59" i="4"/>
  <c r="C59" i="4"/>
  <c r="G58" i="4"/>
  <c r="C58" i="4"/>
  <c r="G57" i="4"/>
  <c r="C57" i="4"/>
  <c r="G56" i="4"/>
  <c r="C56" i="4"/>
  <c r="G55" i="4"/>
  <c r="C55" i="4"/>
  <c r="G54" i="4"/>
  <c r="C54" i="4"/>
  <c r="G53" i="4"/>
  <c r="C53" i="4"/>
  <c r="G52" i="4"/>
  <c r="C52" i="4"/>
  <c r="G51" i="4"/>
  <c r="C51" i="4"/>
  <c r="G50" i="4"/>
  <c r="C50" i="4"/>
  <c r="G49" i="4"/>
  <c r="C49" i="4"/>
  <c r="G48" i="4"/>
  <c r="C48" i="4"/>
  <c r="G47" i="4"/>
  <c r="C47" i="4"/>
  <c r="G46" i="4"/>
  <c r="C46" i="4"/>
  <c r="G45" i="4"/>
  <c r="C45" i="4"/>
  <c r="G44" i="4"/>
  <c r="C44" i="4"/>
  <c r="G43" i="4"/>
  <c r="C43" i="4"/>
  <c r="G42" i="4"/>
  <c r="C42" i="4"/>
  <c r="G41" i="4"/>
  <c r="C41" i="4"/>
  <c r="G40" i="4"/>
  <c r="C40" i="4"/>
  <c r="G39" i="4"/>
  <c r="C39" i="4"/>
  <c r="G38" i="4"/>
  <c r="C38" i="4"/>
  <c r="G37" i="4"/>
  <c r="C37" i="4"/>
  <c r="G36" i="4"/>
  <c r="C36" i="4"/>
  <c r="G35" i="4"/>
  <c r="C35" i="4"/>
  <c r="G34" i="4"/>
  <c r="C34" i="4"/>
  <c r="G33" i="4"/>
  <c r="C33" i="4"/>
  <c r="G32" i="4"/>
  <c r="C32" i="4"/>
  <c r="G31" i="4"/>
  <c r="C31" i="4"/>
  <c r="G30" i="4"/>
  <c r="C30" i="4"/>
  <c r="G29" i="4"/>
  <c r="C29" i="4"/>
  <c r="G28" i="4"/>
  <c r="C28" i="4"/>
  <c r="G27" i="4"/>
  <c r="C27" i="4"/>
  <c r="G26" i="4"/>
  <c r="C26" i="4"/>
  <c r="G25" i="4"/>
  <c r="C25" i="4"/>
  <c r="G24" i="4"/>
  <c r="B12" i="7"/>
  <c r="E11" i="7"/>
  <c r="H10" i="7"/>
  <c r="B10" i="7"/>
  <c r="E9" i="7"/>
  <c r="H8" i="7"/>
  <c r="B8" i="7"/>
  <c r="E7" i="7"/>
  <c r="H6" i="7"/>
  <c r="B6" i="7"/>
  <c r="E5" i="7"/>
  <c r="H4" i="7"/>
  <c r="B4" i="7"/>
  <c r="B4" i="6"/>
  <c r="F135" i="4"/>
  <c r="B135" i="4"/>
  <c r="F134" i="4"/>
  <c r="B134" i="4"/>
  <c r="F133" i="4"/>
  <c r="B133" i="4"/>
  <c r="F132" i="4"/>
  <c r="B132" i="4"/>
  <c r="F131" i="4"/>
  <c r="B131" i="4"/>
  <c r="F130" i="4"/>
  <c r="B130" i="4"/>
  <c r="F129" i="4"/>
  <c r="B129" i="4"/>
  <c r="F128" i="4"/>
  <c r="B128" i="4"/>
  <c r="F127" i="4"/>
  <c r="B127" i="4"/>
  <c r="F126" i="4"/>
  <c r="B126" i="4"/>
  <c r="F125" i="4"/>
  <c r="B125" i="4"/>
  <c r="F124" i="4"/>
  <c r="B124" i="4"/>
  <c r="F123" i="4"/>
  <c r="B123" i="4"/>
  <c r="F122" i="4"/>
  <c r="B122" i="4"/>
  <c r="F121" i="4"/>
  <c r="B121" i="4"/>
  <c r="F120" i="4"/>
  <c r="B120" i="4"/>
  <c r="F119" i="4"/>
  <c r="B119" i="4"/>
  <c r="F118" i="4"/>
  <c r="B118" i="4"/>
  <c r="F117" i="4"/>
  <c r="B117" i="4"/>
  <c r="F116" i="4"/>
  <c r="B116" i="4"/>
  <c r="F115" i="4"/>
  <c r="B115" i="4"/>
  <c r="F114" i="4"/>
  <c r="B114" i="4"/>
  <c r="F113" i="4"/>
  <c r="B113" i="4"/>
  <c r="F112" i="4"/>
  <c r="B112" i="4"/>
  <c r="F111" i="4"/>
  <c r="B111" i="4"/>
  <c r="F110" i="4"/>
  <c r="B110" i="4"/>
  <c r="F109" i="4"/>
  <c r="B109" i="4"/>
  <c r="F108" i="4"/>
  <c r="B108" i="4"/>
  <c r="F107" i="4"/>
  <c r="B107" i="4"/>
  <c r="F106" i="4"/>
  <c r="B106" i="4"/>
  <c r="F105" i="4"/>
  <c r="B105" i="4"/>
  <c r="F104" i="4"/>
  <c r="B104" i="4"/>
  <c r="F103" i="4"/>
  <c r="B103" i="4"/>
  <c r="F102" i="4"/>
  <c r="B102" i="4"/>
  <c r="F101" i="4"/>
  <c r="B101" i="4"/>
  <c r="F100" i="4"/>
  <c r="B100" i="4"/>
  <c r="F99" i="4"/>
  <c r="B99" i="4"/>
  <c r="F98" i="4"/>
  <c r="B98" i="4"/>
  <c r="F97" i="4"/>
  <c r="B97" i="4"/>
  <c r="F96" i="4"/>
  <c r="B96" i="4"/>
  <c r="F95" i="4"/>
  <c r="B95" i="4"/>
  <c r="F94" i="4"/>
  <c r="B94" i="4"/>
  <c r="F93" i="4"/>
  <c r="B93" i="4"/>
  <c r="F92" i="4"/>
  <c r="B92" i="4"/>
  <c r="F91" i="4"/>
  <c r="B91" i="4"/>
  <c r="F90" i="4"/>
  <c r="B90" i="4"/>
  <c r="F89" i="4"/>
  <c r="B89" i="4"/>
  <c r="F88" i="4"/>
  <c r="B88" i="4"/>
  <c r="F87" i="4"/>
  <c r="B87" i="4"/>
  <c r="F86" i="4"/>
  <c r="B86" i="4"/>
  <c r="F85" i="4"/>
  <c r="B85" i="4"/>
  <c r="F84" i="4"/>
  <c r="B84" i="4"/>
  <c r="F83" i="4"/>
  <c r="B83" i="4"/>
  <c r="F82" i="4"/>
  <c r="B82" i="4"/>
  <c r="F81" i="4"/>
  <c r="B81" i="4"/>
  <c r="F80" i="4"/>
  <c r="B80" i="4"/>
  <c r="F79" i="4"/>
  <c r="B79" i="4"/>
  <c r="F78" i="4"/>
  <c r="B78" i="4"/>
  <c r="F77" i="4"/>
  <c r="B77" i="4"/>
  <c r="F76" i="4"/>
  <c r="B76" i="4"/>
  <c r="F75" i="4"/>
  <c r="B75" i="4"/>
  <c r="F74" i="4"/>
  <c r="B74" i="4"/>
  <c r="F73" i="4"/>
  <c r="B73" i="4"/>
  <c r="F72" i="4"/>
  <c r="B72" i="4"/>
  <c r="F71" i="4"/>
  <c r="B71" i="4"/>
  <c r="F70" i="4"/>
  <c r="B70" i="4"/>
  <c r="F69" i="4"/>
  <c r="B69" i="4"/>
  <c r="F68" i="4"/>
  <c r="B68" i="4"/>
  <c r="F67" i="4"/>
  <c r="B67" i="4"/>
  <c r="F66" i="4"/>
  <c r="B66" i="4"/>
  <c r="F65" i="4"/>
  <c r="B65" i="4"/>
  <c r="F64" i="4"/>
  <c r="B64" i="4"/>
  <c r="F63" i="4"/>
  <c r="B63" i="4"/>
  <c r="F62" i="4"/>
  <c r="B62" i="4"/>
  <c r="F61" i="4"/>
  <c r="B61" i="4"/>
  <c r="F60" i="4"/>
  <c r="B60" i="4"/>
  <c r="F59" i="4"/>
  <c r="B59" i="4"/>
  <c r="F58" i="4"/>
  <c r="B58" i="4"/>
  <c r="F57" i="4"/>
  <c r="B57" i="4"/>
  <c r="F56" i="4"/>
  <c r="B56" i="4"/>
  <c r="F55" i="4"/>
  <c r="B55" i="4"/>
  <c r="F54" i="4"/>
  <c r="B54" i="4"/>
  <c r="F53" i="4"/>
  <c r="B53" i="4"/>
  <c r="F52" i="4"/>
  <c r="B52" i="4"/>
  <c r="F51" i="4"/>
  <c r="B51" i="4"/>
  <c r="F50" i="4"/>
  <c r="B50" i="4"/>
  <c r="F49" i="4"/>
  <c r="B49" i="4"/>
  <c r="F48" i="4"/>
  <c r="B48" i="4"/>
  <c r="F47" i="4"/>
  <c r="B47" i="4"/>
  <c r="F46" i="4"/>
  <c r="B46" i="4"/>
  <c r="F45" i="4"/>
  <c r="B45" i="4"/>
  <c r="F44" i="4"/>
  <c r="B44" i="4"/>
  <c r="F43" i="4"/>
  <c r="B43" i="4"/>
  <c r="F42" i="4"/>
  <c r="B42" i="4"/>
  <c r="F41" i="4"/>
  <c r="B41" i="4"/>
  <c r="F40" i="4"/>
  <c r="B40" i="4"/>
  <c r="F39" i="4"/>
  <c r="B39" i="4"/>
  <c r="F38" i="4"/>
  <c r="B38" i="4"/>
  <c r="F37" i="4"/>
  <c r="B37" i="4"/>
  <c r="F36" i="4"/>
  <c r="B36" i="4"/>
  <c r="E39" i="7"/>
  <c r="E37" i="7"/>
  <c r="E35" i="7"/>
  <c r="E33" i="7"/>
  <c r="E31" i="7"/>
  <c r="E29" i="7"/>
  <c r="E27" i="7"/>
  <c r="E25" i="7"/>
  <c r="E23" i="7"/>
  <c r="E21" i="7"/>
  <c r="H19" i="7"/>
  <c r="H18" i="7"/>
  <c r="H17" i="7"/>
  <c r="H16" i="7"/>
  <c r="H15" i="7"/>
  <c r="H14" i="7"/>
  <c r="H13" i="7"/>
  <c r="H12" i="7"/>
  <c r="D11" i="7"/>
  <c r="F10" i="7"/>
  <c r="D9" i="7"/>
  <c r="F8" i="7"/>
  <c r="D7" i="7"/>
  <c r="F6" i="7"/>
  <c r="D5" i="7"/>
  <c r="F4" i="7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19" i="7"/>
  <c r="E18" i="7"/>
  <c r="E17" i="7"/>
  <c r="E16" i="7"/>
  <c r="E15" i="7"/>
  <c r="E14" i="7"/>
  <c r="E13" i="7"/>
  <c r="E12" i="7"/>
  <c r="H11" i="7"/>
  <c r="B11" i="7"/>
  <c r="E10" i="7"/>
  <c r="H9" i="7"/>
  <c r="B9" i="7"/>
  <c r="E8" i="7"/>
  <c r="H7" i="7"/>
  <c r="B7" i="7"/>
  <c r="E6" i="7"/>
  <c r="H5" i="7"/>
  <c r="B5" i="7"/>
  <c r="E4" i="7"/>
  <c r="H135" i="4"/>
  <c r="D135" i="4"/>
  <c r="H134" i="4"/>
  <c r="D134" i="4"/>
  <c r="H133" i="4"/>
  <c r="D133" i="4"/>
  <c r="H132" i="4"/>
  <c r="D132" i="4"/>
  <c r="H131" i="4"/>
  <c r="D131" i="4"/>
  <c r="H130" i="4"/>
  <c r="D130" i="4"/>
  <c r="H129" i="4"/>
  <c r="D129" i="4"/>
  <c r="H128" i="4"/>
  <c r="D128" i="4"/>
  <c r="H127" i="4"/>
  <c r="D127" i="4"/>
  <c r="H126" i="4"/>
  <c r="D126" i="4"/>
  <c r="H125" i="4"/>
  <c r="D125" i="4"/>
  <c r="H124" i="4"/>
  <c r="D124" i="4"/>
  <c r="H123" i="4"/>
  <c r="D123" i="4"/>
  <c r="H122" i="4"/>
  <c r="D122" i="4"/>
  <c r="H121" i="4"/>
  <c r="D121" i="4"/>
  <c r="H120" i="4"/>
  <c r="D120" i="4"/>
  <c r="H119" i="4"/>
  <c r="D119" i="4"/>
  <c r="H118" i="4"/>
  <c r="D118" i="4"/>
  <c r="H117" i="4"/>
  <c r="D117" i="4"/>
  <c r="H116" i="4"/>
  <c r="D116" i="4"/>
  <c r="H115" i="4"/>
  <c r="D115" i="4"/>
  <c r="H114" i="4"/>
  <c r="D114" i="4"/>
  <c r="H113" i="4"/>
  <c r="D113" i="4"/>
  <c r="H112" i="4"/>
  <c r="D112" i="4"/>
  <c r="H111" i="4"/>
  <c r="D111" i="4"/>
  <c r="H110" i="4"/>
  <c r="D110" i="4"/>
  <c r="H109" i="4"/>
  <c r="D109" i="4"/>
  <c r="H108" i="4"/>
  <c r="D108" i="4"/>
  <c r="H107" i="4"/>
  <c r="D107" i="4"/>
  <c r="H106" i="4"/>
  <c r="D106" i="4"/>
  <c r="H105" i="4"/>
  <c r="D105" i="4"/>
  <c r="H104" i="4"/>
  <c r="D104" i="4"/>
  <c r="H103" i="4"/>
  <c r="D103" i="4"/>
  <c r="H102" i="4"/>
  <c r="D102" i="4"/>
  <c r="H101" i="4"/>
  <c r="D101" i="4"/>
  <c r="H100" i="4"/>
  <c r="D100" i="4"/>
  <c r="H99" i="4"/>
  <c r="D99" i="4"/>
  <c r="H98" i="4"/>
  <c r="D98" i="4"/>
  <c r="H97" i="4"/>
  <c r="D97" i="4"/>
  <c r="H96" i="4"/>
  <c r="D96" i="4"/>
  <c r="H95" i="4"/>
  <c r="D95" i="4"/>
  <c r="H94" i="4"/>
  <c r="D94" i="4"/>
  <c r="H93" i="4"/>
  <c r="D93" i="4"/>
  <c r="H92" i="4"/>
  <c r="D92" i="4"/>
  <c r="H91" i="4"/>
  <c r="D91" i="4"/>
  <c r="H90" i="4"/>
  <c r="D90" i="4"/>
  <c r="H89" i="4"/>
  <c r="D89" i="4"/>
  <c r="H88" i="4"/>
  <c r="D88" i="4"/>
  <c r="H87" i="4"/>
  <c r="D87" i="4"/>
  <c r="H86" i="4"/>
  <c r="D86" i="4"/>
  <c r="H85" i="4"/>
  <c r="D85" i="4"/>
  <c r="H84" i="4"/>
  <c r="D84" i="4"/>
  <c r="H83" i="4"/>
  <c r="D83" i="4"/>
  <c r="H82" i="4"/>
  <c r="D82" i="4"/>
  <c r="H81" i="4"/>
  <c r="D81" i="4"/>
  <c r="H80" i="4"/>
  <c r="D80" i="4"/>
  <c r="H79" i="4"/>
  <c r="D79" i="4"/>
  <c r="H78" i="4"/>
  <c r="D78" i="4"/>
  <c r="H77" i="4"/>
  <c r="D77" i="4"/>
  <c r="H76" i="4"/>
  <c r="D76" i="4"/>
  <c r="H75" i="4"/>
  <c r="D75" i="4"/>
  <c r="H74" i="4"/>
  <c r="D74" i="4"/>
  <c r="H73" i="4"/>
  <c r="D73" i="4"/>
  <c r="H72" i="4"/>
  <c r="D72" i="4"/>
  <c r="H71" i="4"/>
  <c r="D71" i="4"/>
  <c r="H70" i="4"/>
  <c r="D70" i="4"/>
  <c r="H69" i="4"/>
  <c r="D69" i="4"/>
  <c r="H68" i="4"/>
  <c r="D68" i="4"/>
  <c r="H67" i="4"/>
  <c r="D67" i="4"/>
  <c r="H66" i="4"/>
  <c r="D66" i="4"/>
  <c r="H65" i="4"/>
  <c r="D65" i="4"/>
  <c r="H64" i="4"/>
  <c r="D64" i="4"/>
  <c r="H63" i="4"/>
  <c r="D63" i="4"/>
  <c r="H62" i="4"/>
  <c r="D62" i="4"/>
  <c r="H61" i="4"/>
  <c r="D61" i="4"/>
  <c r="H60" i="4"/>
  <c r="D60" i="4"/>
  <c r="H59" i="4"/>
  <c r="D59" i="4"/>
  <c r="H58" i="4"/>
  <c r="D58" i="4"/>
  <c r="H57" i="4"/>
  <c r="D57" i="4"/>
  <c r="H56" i="4"/>
  <c r="D56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H47" i="4"/>
  <c r="D47" i="4"/>
  <c r="H46" i="4"/>
  <c r="D46" i="4"/>
  <c r="H45" i="4"/>
  <c r="D45" i="4"/>
  <c r="H44" i="4"/>
  <c r="D44" i="4"/>
  <c r="H43" i="4"/>
  <c r="D43" i="4"/>
  <c r="H42" i="4"/>
  <c r="D42" i="4"/>
  <c r="H41" i="4"/>
  <c r="D41" i="4"/>
  <c r="H40" i="4"/>
  <c r="D40" i="4"/>
  <c r="H39" i="4"/>
  <c r="D39" i="4"/>
  <c r="H38" i="4"/>
  <c r="D38" i="4"/>
  <c r="H37" i="4"/>
  <c r="D37" i="4"/>
  <c r="H36" i="4"/>
  <c r="D36" i="4"/>
  <c r="H35" i="4"/>
  <c r="D35" i="4"/>
  <c r="H34" i="4"/>
  <c r="D34" i="4"/>
  <c r="H33" i="4"/>
  <c r="D33" i="4"/>
  <c r="H32" i="4"/>
  <c r="B35" i="4"/>
  <c r="B33" i="4"/>
  <c r="H31" i="4"/>
  <c r="H30" i="4"/>
  <c r="H29" i="4"/>
  <c r="H28" i="4"/>
  <c r="H27" i="4"/>
  <c r="H26" i="4"/>
  <c r="H25" i="4"/>
  <c r="H24" i="4"/>
  <c r="B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F34" i="4"/>
  <c r="F32" i="4"/>
  <c r="F31" i="4"/>
  <c r="F30" i="4"/>
  <c r="F29" i="4"/>
  <c r="F28" i="4"/>
  <c r="F27" i="4"/>
  <c r="F26" i="4"/>
  <c r="F25" i="4"/>
  <c r="F24" i="4"/>
  <c r="H23" i="4"/>
  <c r="D23" i="4"/>
  <c r="H22" i="4"/>
  <c r="D22" i="4"/>
  <c r="H21" i="4"/>
  <c r="D21" i="4"/>
  <c r="H20" i="4"/>
  <c r="D20" i="4"/>
  <c r="H19" i="4"/>
  <c r="D19" i="4"/>
  <c r="H18" i="4"/>
  <c r="D18" i="4"/>
  <c r="H17" i="4"/>
  <c r="D17" i="4"/>
  <c r="H16" i="4"/>
  <c r="D16" i="4"/>
  <c r="H15" i="4"/>
  <c r="D15" i="4"/>
  <c r="H14" i="4"/>
  <c r="D14" i="4"/>
  <c r="H13" i="4"/>
  <c r="D13" i="4"/>
  <c r="H12" i="4"/>
  <c r="D12" i="4"/>
  <c r="H11" i="4"/>
  <c r="D11" i="4"/>
  <c r="H10" i="4"/>
  <c r="D10" i="4"/>
  <c r="H9" i="4"/>
  <c r="D9" i="4"/>
  <c r="H8" i="4"/>
  <c r="D8" i="4"/>
  <c r="H7" i="4"/>
  <c r="D7" i="4"/>
  <c r="H6" i="4"/>
  <c r="D6" i="4"/>
  <c r="H5" i="4"/>
  <c r="D5" i="4"/>
  <c r="H4" i="4"/>
  <c r="D4" i="4"/>
  <c r="B34" i="4"/>
  <c r="D32" i="4"/>
  <c r="D31" i="4"/>
  <c r="D30" i="4"/>
  <c r="D29" i="4"/>
  <c r="D28" i="4"/>
  <c r="D27" i="4"/>
  <c r="D26" i="4"/>
  <c r="D25" i="4"/>
  <c r="D24" i="4"/>
  <c r="G23" i="4"/>
  <c r="C23" i="4"/>
  <c r="G22" i="4"/>
  <c r="C22" i="4"/>
  <c r="G21" i="4"/>
  <c r="C21" i="4"/>
  <c r="G20" i="4"/>
  <c r="C20" i="4"/>
  <c r="G19" i="4"/>
  <c r="C19" i="4"/>
  <c r="G18" i="4"/>
  <c r="C18" i="4"/>
  <c r="G17" i="4"/>
  <c r="C17" i="4"/>
  <c r="G16" i="4"/>
  <c r="C16" i="4"/>
  <c r="G15" i="4"/>
  <c r="C15" i="4"/>
  <c r="G14" i="4"/>
  <c r="C14" i="4"/>
  <c r="G13" i="4"/>
  <c r="C13" i="4"/>
  <c r="G12" i="4"/>
  <c r="C12" i="4"/>
  <c r="G11" i="4"/>
  <c r="C11" i="4"/>
  <c r="G10" i="4"/>
  <c r="C10" i="4"/>
  <c r="G9" i="4"/>
  <c r="C9" i="4"/>
  <c r="G8" i="4"/>
  <c r="C8" i="4"/>
  <c r="G7" i="4"/>
  <c r="C7" i="4"/>
  <c r="G6" i="4"/>
  <c r="C6" i="4"/>
  <c r="G5" i="4"/>
  <c r="C5" i="4"/>
  <c r="G4" i="4"/>
  <c r="C4" i="4"/>
  <c r="F35" i="4"/>
  <c r="F33" i="4"/>
  <c r="B32" i="4"/>
  <c r="B31" i="4"/>
  <c r="B30" i="4"/>
  <c r="B29" i="4"/>
  <c r="B28" i="4"/>
  <c r="B27" i="4"/>
  <c r="B26" i="4"/>
  <c r="B25" i="4"/>
  <c r="C24" i="4"/>
  <c r="F23" i="4"/>
  <c r="B23" i="4"/>
  <c r="F22" i="4"/>
  <c r="B22" i="4"/>
  <c r="F21" i="4"/>
  <c r="B21" i="4"/>
  <c r="F20" i="4"/>
  <c r="B20" i="4"/>
  <c r="F19" i="4"/>
  <c r="B19" i="4"/>
  <c r="F18" i="4"/>
  <c r="B18" i="4"/>
  <c r="F17" i="4"/>
  <c r="B17" i="4"/>
  <c r="F16" i="4"/>
  <c r="B16" i="4"/>
  <c r="F15" i="4"/>
  <c r="B15" i="4"/>
  <c r="F14" i="4"/>
  <c r="B14" i="4"/>
  <c r="F13" i="4"/>
  <c r="B13" i="4"/>
  <c r="F12" i="4"/>
  <c r="B12" i="4"/>
  <c r="F11" i="4"/>
  <c r="B11" i="4"/>
  <c r="F10" i="4"/>
  <c r="B10" i="4"/>
  <c r="F9" i="4"/>
  <c r="B9" i="4"/>
  <c r="F8" i="4"/>
  <c r="B8" i="4"/>
  <c r="F7" i="4"/>
  <c r="B7" i="4"/>
  <c r="F6" i="4"/>
  <c r="B6" i="4"/>
  <c r="F5" i="4"/>
  <c r="B5" i="4"/>
  <c r="F4" i="4"/>
  <c r="B4" i="4"/>
  <c r="A4" i="4" l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5" i="4"/>
  <c r="A26" i="4"/>
  <c r="A27" i="4"/>
  <c r="A28" i="4"/>
  <c r="A29" i="4"/>
  <c r="A30" i="4"/>
  <c r="A31" i="4"/>
  <c r="A32" i="4"/>
  <c r="A34" i="4"/>
  <c r="A24" i="4"/>
  <c r="A33" i="4"/>
  <c r="A35" i="4"/>
  <c r="A5" i="7"/>
  <c r="A7" i="7"/>
  <c r="A9" i="7"/>
  <c r="A11" i="7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4" i="6"/>
  <c r="A4" i="7"/>
  <c r="A6" i="7"/>
  <c r="A8" i="7"/>
  <c r="A10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4" i="7"/>
  <c r="A106" i="7"/>
  <c r="A108" i="7"/>
  <c r="A110" i="7"/>
  <c r="A112" i="7"/>
  <c r="A114" i="7"/>
  <c r="A116" i="7"/>
  <c r="A118" i="7"/>
  <c r="A120" i="7"/>
  <c r="A122" i="7"/>
  <c r="A124" i="7"/>
  <c r="A139" i="7"/>
  <c r="A103" i="7"/>
  <c r="A105" i="7"/>
  <c r="A107" i="7"/>
  <c r="A109" i="7"/>
  <c r="A111" i="7"/>
  <c r="A113" i="7"/>
  <c r="A115" i="7"/>
  <c r="A117" i="7"/>
  <c r="A119" i="7"/>
  <c r="A121" i="7"/>
  <c r="A123" i="7"/>
  <c r="A125" i="7"/>
  <c r="A134" i="7"/>
  <c r="A135" i="7"/>
  <c r="A136" i="7"/>
  <c r="A137" i="7"/>
  <c r="A138" i="7"/>
  <c r="A90" i="9"/>
  <c r="A91" i="9"/>
  <c r="A92" i="9"/>
  <c r="A126" i="7"/>
  <c r="A127" i="7"/>
  <c r="A128" i="7"/>
  <c r="A129" i="7"/>
  <c r="A130" i="7"/>
  <c r="A131" i="7"/>
  <c r="A132" i="7"/>
  <c r="A133" i="7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4" i="11"/>
  <c r="A6" i="11"/>
  <c r="A8" i="11"/>
  <c r="A10" i="11"/>
  <c r="A12" i="11"/>
  <c r="A14" i="11"/>
  <c r="A16" i="11"/>
  <c r="A18" i="11"/>
  <c r="A20" i="11"/>
  <c r="A22" i="11"/>
  <c r="A24" i="11"/>
  <c r="A26" i="11"/>
  <c r="A28" i="11"/>
  <c r="A30" i="11"/>
  <c r="A32" i="11"/>
  <c r="A33" i="11"/>
  <c r="A34" i="11"/>
  <c r="A35" i="11"/>
  <c r="A36" i="11"/>
  <c r="A37" i="11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5" i="11"/>
  <c r="A7" i="11"/>
  <c r="A9" i="11"/>
  <c r="A11" i="11"/>
  <c r="A13" i="11"/>
  <c r="A15" i="11"/>
  <c r="A17" i="11"/>
  <c r="A19" i="11"/>
  <c r="A21" i="11"/>
  <c r="A23" i="11"/>
  <c r="A25" i="11"/>
  <c r="A27" i="11"/>
  <c r="A29" i="11"/>
  <c r="A31" i="11"/>
  <c r="A4" i="15"/>
  <c r="A6" i="15"/>
  <c r="A8" i="15"/>
  <c r="A10" i="15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5" i="15"/>
  <c r="A7" i="15"/>
  <c r="A9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5" i="15"/>
  <c r="A44" i="15"/>
  <c r="A46" i="15"/>
  <c r="A96" i="15"/>
  <c r="A97" i="15"/>
  <c r="A98" i="15"/>
  <c r="A99" i="15"/>
  <c r="A100" i="15"/>
  <c r="A101" i="15"/>
  <c r="A102" i="15"/>
  <c r="A103" i="15"/>
  <c r="A104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</calcChain>
</file>

<file path=xl/comments1.xml><?xml version="1.0" encoding="utf-8"?>
<comments xmlns="http://schemas.openxmlformats.org/spreadsheetml/2006/main">
  <authors>
    <author/>
  </authors>
  <commentList>
    <comment ref="E249" authorId="0" shapeId="0">
      <text>
        <r>
          <rPr>
            <sz val="11"/>
            <color theme="1"/>
            <rFont val="Arial"/>
          </rPr>
          <t>0740-817X</t>
        </r>
      </text>
    </comment>
    <comment ref="E589" authorId="0" shapeId="0">
      <text>
        <r>
          <rPr>
            <sz val="11"/>
            <color theme="1"/>
            <rFont val="Arial"/>
          </rPr>
          <t>(0360-2559)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249" authorId="0" shapeId="0">
      <text>
        <r>
          <rPr>
            <sz val="11"/>
            <color theme="1"/>
            <rFont val="Arial"/>
          </rPr>
          <t>0740-817X</t>
        </r>
      </text>
    </comment>
    <comment ref="E589" authorId="0" shapeId="0">
      <text>
        <r>
          <rPr>
            <sz val="11"/>
            <color theme="1"/>
            <rFont val="Arial"/>
          </rPr>
          <t>(0360-2559)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249" authorId="0" shapeId="0">
      <text>
        <r>
          <rPr>
            <sz val="11"/>
            <color theme="1"/>
            <rFont val="Arial"/>
          </rPr>
          <t>0740-817X</t>
        </r>
      </text>
    </comment>
    <comment ref="E589" authorId="0" shapeId="0">
      <text>
        <r>
          <rPr>
            <sz val="11"/>
            <color theme="1"/>
            <rFont val="Arial"/>
          </rPr>
          <t>(0360-2559)</t>
        </r>
      </text>
    </comment>
  </commentList>
</comments>
</file>

<file path=xl/sharedStrings.xml><?xml version="1.0" encoding="utf-8"?>
<sst xmlns="http://schemas.openxmlformats.org/spreadsheetml/2006/main" count="45061" uniqueCount="5531">
  <si>
    <t>2021년 부산대학교 외국학술지지원센터(FRIC) 제공 학술지 목록</t>
  </si>
  <si>
    <t/>
  </si>
  <si>
    <t>연번</t>
  </si>
  <si>
    <t>주제</t>
  </si>
  <si>
    <t>학술지명</t>
  </si>
  <si>
    <t>발행처</t>
  </si>
  <si>
    <t>ISSN</t>
  </si>
  <si>
    <t>제공 가능 연도</t>
  </si>
  <si>
    <t>등재여부</t>
  </si>
  <si>
    <t>RISS 원문신청 바로가기</t>
  </si>
  <si>
    <t>Current</t>
  </si>
  <si>
    <t>구입예산 유형
3 국고+대응
4 자체구독</t>
  </si>
  <si>
    <t>감종시기</t>
  </si>
  <si>
    <t>건축∙토목공학</t>
  </si>
  <si>
    <t>A+U</t>
  </si>
  <si>
    <t>A+U Publishing Co., Ltd</t>
  </si>
  <si>
    <t>0389-9160</t>
  </si>
  <si>
    <t>1981-2021</t>
  </si>
  <si>
    <t>AHCI, SCOPUS</t>
  </si>
  <si>
    <t>http://www.riss.kr/link?id=S19593</t>
  </si>
  <si>
    <t>O</t>
  </si>
  <si>
    <t>FRIC</t>
  </si>
  <si>
    <t>Advanced Composites Letters</t>
  </si>
  <si>
    <t>Adcotec Ltd.</t>
  </si>
  <si>
    <t>0963-6935</t>
  </si>
  <si>
    <t>BM</t>
  </si>
  <si>
    <t>2016 FRIC 서양</t>
  </si>
  <si>
    <t>화학공학</t>
  </si>
  <si>
    <t>AAPG Bulletin</t>
  </si>
  <si>
    <t>American Association of Petroleum Geologists</t>
  </si>
  <si>
    <t>0149-1423</t>
  </si>
  <si>
    <t>SCIE</t>
  </si>
  <si>
    <t>http://www.riss.kr/link?id=S16981</t>
  </si>
  <si>
    <t>Advanced Energy Materials</t>
  </si>
  <si>
    <t>Wiley</t>
  </si>
  <si>
    <t>1614-6832</t>
  </si>
  <si>
    <t>M</t>
  </si>
  <si>
    <t>재료공학</t>
  </si>
  <si>
    <t>AATCC Review</t>
  </si>
  <si>
    <t>American Association of Textile Chemists and Colorists</t>
  </si>
  <si>
    <t>1532-8813</t>
  </si>
  <si>
    <t>2001-2021</t>
  </si>
  <si>
    <t>SCIE, SCOPUS</t>
  </si>
  <si>
    <t>http://www.riss.kr/link?id=S405713</t>
  </si>
  <si>
    <t>Artificial Intelligence for Engineering Design Analysis &amp; Manufacturing</t>
  </si>
  <si>
    <t>Cambridge University Press</t>
  </si>
  <si>
    <t>1469-1760</t>
  </si>
  <si>
    <t>Q</t>
  </si>
  <si>
    <t>전기전자공학</t>
  </si>
  <si>
    <t>ABU Technical Review</t>
  </si>
  <si>
    <t>Asia - Pacific Broadcasting Union</t>
  </si>
  <si>
    <t>0126-6209</t>
  </si>
  <si>
    <t>2010-2020</t>
  </si>
  <si>
    <t>-</t>
  </si>
  <si>
    <t>http://www.riss.kr/link?id=S409990</t>
  </si>
  <si>
    <t>X</t>
  </si>
  <si>
    <t>Astronomical Journal</t>
  </si>
  <si>
    <t>IOP Publishing</t>
  </si>
  <si>
    <t>0004-6256</t>
  </si>
  <si>
    <t>ACI Manual of Concrete Practice</t>
  </si>
  <si>
    <t>American Concrete Institute</t>
  </si>
  <si>
    <t>0065-7875</t>
  </si>
  <si>
    <t>2010-2016</t>
  </si>
  <si>
    <t>SCOPUS</t>
  </si>
  <si>
    <t>http://www.riss.kr/link?id=S38813</t>
  </si>
  <si>
    <t>Biomedical Materials - Bristol</t>
  </si>
  <si>
    <t>1748-6041</t>
  </si>
  <si>
    <t>ACI Materials Journal</t>
  </si>
  <si>
    <t>0889-325X</t>
  </si>
  <si>
    <t>1987, 1996-2004</t>
  </si>
  <si>
    <t>http://www.riss.kr/link?id=S11597824</t>
  </si>
  <si>
    <t>High Temperature Material Processes</t>
  </si>
  <si>
    <t>Begell House</t>
  </si>
  <si>
    <t>1093-3611</t>
  </si>
  <si>
    <t>ACI Structural Journal</t>
  </si>
  <si>
    <t>0889-3241</t>
  </si>
  <si>
    <t>1948-1949, 1955-2004, 2010-2021</t>
  </si>
  <si>
    <t>http://www.riss.kr/link?id=S11597808</t>
  </si>
  <si>
    <t>Hydrogen &amp; Fuel Cell Letter</t>
  </si>
  <si>
    <t>Hydrogen Letter</t>
  </si>
  <si>
    <t>1080-8019</t>
  </si>
  <si>
    <t>컴퓨터공학</t>
  </si>
  <si>
    <t>ACM Computing Surveys</t>
  </si>
  <si>
    <t>Association for Computing Machinery</t>
  </si>
  <si>
    <t>0360-0300</t>
  </si>
  <si>
    <t>1988-2021</t>
  </si>
  <si>
    <t>http://www.riss.kr/link?id=S5452</t>
  </si>
  <si>
    <t>과기</t>
  </si>
  <si>
    <t>J-FOR : Journal of Science and Technology for Forest Products and Processes</t>
  </si>
  <si>
    <t>Pulp and Paper Technical Association of Canada</t>
  </si>
  <si>
    <t>1927-6311</t>
  </si>
  <si>
    <t>ACM Transactions on Database Systems</t>
  </si>
  <si>
    <t>0362-5915</t>
  </si>
  <si>
    <t>1997-2004</t>
  </si>
  <si>
    <t>http://www.riss.kr/link?id=S18822</t>
  </si>
  <si>
    <t>Journal of Canadian Petroleum Technology</t>
  </si>
  <si>
    <t>Canadian Institute of Mining, Metallurgy and Petroleum</t>
  </si>
  <si>
    <t>0021-9487</t>
  </si>
  <si>
    <t>ACM Transactions on Programming Languages and Systems</t>
  </si>
  <si>
    <t>0164-0925</t>
  </si>
  <si>
    <t>1981-1986</t>
  </si>
  <si>
    <t>http://www.riss.kr/link?id=S18823</t>
  </si>
  <si>
    <t>Journal of Enhanced Heat Transfer</t>
  </si>
  <si>
    <t>Begell House Inc</t>
  </si>
  <si>
    <t>1065-5131</t>
  </si>
  <si>
    <t>자연과학</t>
  </si>
  <si>
    <t>Acta Mathematica</t>
  </si>
  <si>
    <t>International Press</t>
  </si>
  <si>
    <t>0001-5962</t>
  </si>
  <si>
    <t>1974-1976, 1981-1982, 1984-2013</t>
  </si>
  <si>
    <t>http://www.riss.kr/link?id=S17591</t>
  </si>
  <si>
    <t>Journal of Non Equilibrium Thermodynamics</t>
  </si>
  <si>
    <t>Walter de Gruyter GmbH</t>
  </si>
  <si>
    <t>0340-0204</t>
  </si>
  <si>
    <t>OR</t>
  </si>
  <si>
    <t>Acta Phytotaxonomica et Geobotanica</t>
  </si>
  <si>
    <t>Japanese Society for Plant Systematics</t>
  </si>
  <si>
    <t>1346-7565</t>
  </si>
  <si>
    <t>2003-2021</t>
  </si>
  <si>
    <t>http://www.riss.kr/link?id=S50310</t>
  </si>
  <si>
    <t>Journal of the Astronautical Sciences</t>
  </si>
  <si>
    <t>Springer Verlag</t>
  </si>
  <si>
    <t>0021-9142</t>
  </si>
  <si>
    <t>Advances in Applied Ceramics</t>
  </si>
  <si>
    <t>Taylor &amp; Francis</t>
  </si>
  <si>
    <t>1743-6753</t>
  </si>
  <si>
    <t>2005-2021</t>
  </si>
  <si>
    <t>http://www.riss.kr/link?id=S30006959</t>
  </si>
  <si>
    <t>Nordic Pulp &amp; Paper Research Journal - NPPRJ</t>
  </si>
  <si>
    <t>SPCI</t>
  </si>
  <si>
    <t>0283-2631</t>
  </si>
  <si>
    <t>IR</t>
  </si>
  <si>
    <t>기계공학</t>
  </si>
  <si>
    <t>Advanced Composite Materials</t>
  </si>
  <si>
    <t>0924-3046</t>
  </si>
  <si>
    <t>2010-2021</t>
  </si>
  <si>
    <t>http://www.riss.kr/link?id=S418336</t>
  </si>
  <si>
    <t>Praxis : Journal of Writing + Building</t>
  </si>
  <si>
    <t>Praxis Boston</t>
  </si>
  <si>
    <t>1526-2065</t>
  </si>
  <si>
    <t>SA</t>
  </si>
  <si>
    <t>Sage Publications Ltd.</t>
  </si>
  <si>
    <t>2010-2014</t>
  </si>
  <si>
    <t>http://www.riss.kr/link?id=S11574113</t>
  </si>
  <si>
    <t>Probability in the Engineering and Informational Sciences</t>
  </si>
  <si>
    <t>0269-9648</t>
  </si>
  <si>
    <t>에너지공학</t>
  </si>
  <si>
    <t>Wiley-VCH Verlag GmbH &amp; Co. KGaA</t>
  </si>
  <si>
    <t>2013-2015</t>
  </si>
  <si>
    <t>http://www.riss.kr/link?id=S90019138</t>
  </si>
  <si>
    <t>Progress in Colloid &amp; Polymer Science</t>
  </si>
  <si>
    <t>0340-255X</t>
  </si>
  <si>
    <t>A</t>
  </si>
  <si>
    <t>Advanced Materials Research</t>
  </si>
  <si>
    <t>Trans Tech Publications Ltd</t>
  </si>
  <si>
    <t>1022-6680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</si>
  <si>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</si>
  <si>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t>http://www.riss.kr/link?id=S20035778</t>
  </si>
  <si>
    <t>Robotica</t>
  </si>
  <si>
    <t>0263-5747</t>
  </si>
  <si>
    <t>Advanced Robotics</t>
  </si>
  <si>
    <t>Robotics Society of Japan</t>
  </si>
  <si>
    <t>0169-1864</t>
  </si>
  <si>
    <t>2010-2017</t>
  </si>
  <si>
    <t>http://www.riss.kr/link?id=S90500</t>
  </si>
  <si>
    <t>Russian Journal of Numerical Analysis and Mathematical Modelling</t>
  </si>
  <si>
    <t>0927-6467</t>
  </si>
  <si>
    <t>Advanced science Letters</t>
  </si>
  <si>
    <t>American scientific Publishers</t>
  </si>
  <si>
    <t>1936-6612</t>
  </si>
  <si>
    <t>2010-2019</t>
  </si>
  <si>
    <t>http://www.riss.kr/link?id=S115371</t>
  </si>
  <si>
    <t>Science and Technology of Welding and Joining</t>
  </si>
  <si>
    <t>Maney Publishing</t>
  </si>
  <si>
    <t>1743-2936</t>
  </si>
  <si>
    <t>생명공학</t>
  </si>
  <si>
    <t>Advanced science, Engineering and Medicine</t>
  </si>
  <si>
    <t>2164-6627</t>
  </si>
  <si>
    <t>2011-2020</t>
  </si>
  <si>
    <t>http://www.riss.kr/link?id=S90021094</t>
  </si>
  <si>
    <t>Structural Longevity</t>
  </si>
  <si>
    <t>Tech Science Press</t>
  </si>
  <si>
    <t>1944-611X</t>
  </si>
  <si>
    <t>Advances in Applied Mathematics and Mechanics</t>
  </si>
  <si>
    <t>Global science Press</t>
  </si>
  <si>
    <t>2070-0733</t>
  </si>
  <si>
    <t>2012-2020</t>
  </si>
  <si>
    <t>http://www.riss.kr/link?id=S143755</t>
  </si>
  <si>
    <t>Tecnologia y Ciencias del Agua</t>
  </si>
  <si>
    <t>Inst Mexicano Tecnologia Agua</t>
  </si>
  <si>
    <t>Advances in Applied Mechanics</t>
  </si>
  <si>
    <t>Academic Press</t>
  </si>
  <si>
    <t>0065-2156</t>
  </si>
  <si>
    <t>1948, 1951, 1953, 1956, 1958, 1960, 1962, 1964, 1966-1967, 1971-1975, 2009-2015</t>
  </si>
  <si>
    <t>http://www.riss.kr/link?id=S21699</t>
  </si>
  <si>
    <t>World Journal of Microbiology and Biotechnology</t>
  </si>
  <si>
    <t>Springer</t>
  </si>
  <si>
    <t>0959-3993</t>
  </si>
  <si>
    <t>Advances in Cement Research</t>
  </si>
  <si>
    <t>I C E Publishing</t>
  </si>
  <si>
    <t>0951-7197</t>
  </si>
  <si>
    <t>http://www.riss.kr/link?id=S415162</t>
  </si>
  <si>
    <t>纖維科學</t>
  </si>
  <si>
    <t>日本繊維センタ-</t>
  </si>
  <si>
    <t>0286-987X</t>
  </si>
  <si>
    <t>2016 FRIC 동양</t>
  </si>
  <si>
    <t>Advances in Materials science and Engineering</t>
  </si>
  <si>
    <t>Hindawi Publishing Corporation</t>
  </si>
  <si>
    <t>1687-8434</t>
  </si>
  <si>
    <t>2012, 2013</t>
  </si>
  <si>
    <t>http://www.riss.kr/link?id=S143756</t>
  </si>
  <si>
    <t>2017 FRIC 서양</t>
  </si>
  <si>
    <t>Advances in Physiology Education</t>
  </si>
  <si>
    <t>American Physiological Society</t>
  </si>
  <si>
    <t>1043-4046</t>
  </si>
  <si>
    <t>1997-2017</t>
  </si>
  <si>
    <t>http://www.riss.kr/link?id=S11644176</t>
  </si>
  <si>
    <t>AIAA Journal</t>
  </si>
  <si>
    <t>Amer Inst Aero &amp; Astronautics</t>
  </si>
  <si>
    <t>0001-1452</t>
  </si>
  <si>
    <t>Advances in Structural Engineering</t>
  </si>
  <si>
    <t>1369-4332</t>
  </si>
  <si>
    <t>2010-2013</t>
  </si>
  <si>
    <t>http://www.riss.kr/link?id=S404755</t>
  </si>
  <si>
    <t>Computer modeling in engineering &amp; sciences</t>
  </si>
  <si>
    <t>1526-1492</t>
  </si>
  <si>
    <t>Aerosol science and Technology</t>
  </si>
  <si>
    <t>Elsevier Ltd</t>
  </si>
  <si>
    <t>0278-6826</t>
  </si>
  <si>
    <t>1997-2021</t>
  </si>
  <si>
    <t>http://www.riss.kr/link?id=S14693</t>
  </si>
  <si>
    <t>Computers, materials &amp; continua</t>
  </si>
  <si>
    <t>1546-2218</t>
  </si>
  <si>
    <t>항공∙우주공학</t>
  </si>
  <si>
    <t>Aerospace</t>
  </si>
  <si>
    <t>Royal Aeronautical Society</t>
  </si>
  <si>
    <t>2052-451X</t>
  </si>
  <si>
    <t>http://www.riss.kr/link?id=S414099</t>
  </si>
  <si>
    <t>Diesel &amp; Gas Turbine Worldwide</t>
  </si>
  <si>
    <t>Diesel &amp; Gas Turbine Publications</t>
  </si>
  <si>
    <t>0278-5994</t>
  </si>
  <si>
    <t>Aerospace America</t>
  </si>
  <si>
    <t>American Institute of Aeronautics and Astronautics</t>
  </si>
  <si>
    <t>0740-722X</t>
  </si>
  <si>
    <t>http://www.riss.kr/link?id=S16319</t>
  </si>
  <si>
    <t>Electrochemical Society Interface</t>
  </si>
  <si>
    <t>Electrochemical Society, Inc.</t>
  </si>
  <si>
    <t>1064-8208</t>
  </si>
  <si>
    <t>일반공학</t>
  </si>
  <si>
    <t>AES Journal</t>
  </si>
  <si>
    <t>Audio Engineering Society</t>
  </si>
  <si>
    <t>1549-4950</t>
  </si>
  <si>
    <t>1996-2013</t>
  </si>
  <si>
    <t>http://www.riss.kr/link?id=S60413</t>
  </si>
  <si>
    <t>International Journal of Optomechatronics</t>
  </si>
  <si>
    <t>Taylor &amp; Francis Group</t>
  </si>
  <si>
    <t>1559-9612</t>
  </si>
  <si>
    <t>AI Magazine</t>
  </si>
  <si>
    <t>American Association for Artificial Intelligence</t>
  </si>
  <si>
    <t>0738-4602</t>
  </si>
  <si>
    <t>1986-1989</t>
  </si>
  <si>
    <t>http://www.riss.kr/link?id=S29073</t>
  </si>
  <si>
    <t>Marine engineers review</t>
  </si>
  <si>
    <t>Marine Media Management</t>
  </si>
  <si>
    <t>0047-5955</t>
  </si>
  <si>
    <t>1963, 1990-2004, 2010-2016</t>
  </si>
  <si>
    <t>http://www.riss.kr/link?id=S16316</t>
  </si>
  <si>
    <t>RadTech report</t>
  </si>
  <si>
    <t>RadTech International North America</t>
  </si>
  <si>
    <t>1056-0793</t>
  </si>
  <si>
    <t>Aircraft Engineering and Aerospace Technology</t>
  </si>
  <si>
    <t>Emerald Publishing Limited</t>
  </si>
  <si>
    <t>1748-8842</t>
  </si>
  <si>
    <t>http://www.riss.kr/link?id=S31000236</t>
  </si>
  <si>
    <t>Transactions of the Japan Society for Aeronautical and Space Sciences</t>
  </si>
  <si>
    <t>2017 FRIC 동양</t>
  </si>
  <si>
    <t>Algebra and Logic</t>
  </si>
  <si>
    <t>Springer New York LLC</t>
  </si>
  <si>
    <t>0002-5232</t>
  </si>
  <si>
    <t>1981, 1988, 1990-2013</t>
  </si>
  <si>
    <t>http://www.riss.kr/link?id=S17589</t>
  </si>
  <si>
    <t>気象研究ノ-ト</t>
  </si>
  <si>
    <t>日本気象学会</t>
  </si>
  <si>
    <t>0387-5369</t>
  </si>
  <si>
    <t>2018 과기 동양</t>
  </si>
  <si>
    <t>Algorithmica</t>
  </si>
  <si>
    <t>0178-4617</t>
  </si>
  <si>
    <t>http://www.riss.kr/link?id=S13692</t>
  </si>
  <si>
    <t>2018 과기 서양</t>
  </si>
  <si>
    <t>임상의학</t>
  </si>
  <si>
    <t>ALTEX. Alternatives to Animal Experimentation</t>
  </si>
  <si>
    <t>Springer Spektrum</t>
  </si>
  <si>
    <t>1868-596X</t>
  </si>
  <si>
    <t>2012-2021</t>
  </si>
  <si>
    <t>http://www.riss.kr/link?id=S31002771</t>
  </si>
  <si>
    <t>Physics in Medicine and Biology</t>
  </si>
  <si>
    <t>Institute of Physics</t>
  </si>
  <si>
    <t>0031-9155</t>
  </si>
  <si>
    <t>American Ceramic Society Bulletin</t>
  </si>
  <si>
    <t>American Ceramic Society Inc.</t>
  </si>
  <si>
    <t>0002-7812</t>
  </si>
  <si>
    <t>1971-1994, 1996-2021</t>
  </si>
  <si>
    <t>http://www.riss.kr/link?id=S15668</t>
  </si>
  <si>
    <t>自動車工学</t>
  </si>
  <si>
    <t>鉄道日本社</t>
  </si>
  <si>
    <t>0388-3841</t>
  </si>
  <si>
    <t>2018 FRIC 동양</t>
  </si>
  <si>
    <t>American Journal of Botany</t>
  </si>
  <si>
    <t>John Wiley &amp; Sons Ltd.</t>
  </si>
  <si>
    <t>0002-9122</t>
  </si>
  <si>
    <t>1959-1964, 1981-2013</t>
  </si>
  <si>
    <t>http://www.riss.kr/link?id=S70826</t>
  </si>
  <si>
    <t>海外繊維技術文献集</t>
  </si>
  <si>
    <t>日本繊維機械学会</t>
  </si>
  <si>
    <t>American Journal of Health-System Pharmacy</t>
  </si>
  <si>
    <t>American Society of Health-System Pharmacists</t>
  </si>
  <si>
    <t>1079-2082</t>
  </si>
  <si>
    <t>1995-2019</t>
  </si>
  <si>
    <t>http://www.riss.kr/link?id=S13541</t>
  </si>
  <si>
    <t>Materiale Plastice</t>
  </si>
  <si>
    <t>ORION PRESS IMPEX 2000 SRL</t>
  </si>
  <si>
    <t>0025-5289</t>
  </si>
  <si>
    <t>2018 FRIC 서양</t>
  </si>
  <si>
    <t>American Journal of Human Genetics</t>
  </si>
  <si>
    <t>Cell Press</t>
  </si>
  <si>
    <t>0002-9297</t>
  </si>
  <si>
    <t>1972-2021</t>
  </si>
  <si>
    <t>http://www.riss.kr/link?id=S16798</t>
  </si>
  <si>
    <t>Civil and Structural Engineer Magazine</t>
  </si>
  <si>
    <t>Zweig White &amp; Assoc</t>
  </si>
  <si>
    <t>1051-9629</t>
  </si>
  <si>
    <t>American Journal of Mathematics</t>
  </si>
  <si>
    <t>The Johns Hopkins University Press</t>
  </si>
  <si>
    <t>0002-9327</t>
  </si>
  <si>
    <t>1964, 1966, 1978-1984, 1988-2020</t>
  </si>
  <si>
    <t>http://www.riss.kr/link?id=S17586</t>
  </si>
  <si>
    <t>Coastal Engineering Journal</t>
  </si>
  <si>
    <t>World Scientific Pub</t>
  </si>
  <si>
    <t>0578-5634</t>
  </si>
  <si>
    <t>American Journal of Physics</t>
  </si>
  <si>
    <t>American Institute of Physics Publishing</t>
  </si>
  <si>
    <t>0002-9505</t>
  </si>
  <si>
    <t>1954, 1956, 1964, 1969, 2010-2013</t>
  </si>
  <si>
    <t>http://www.riss.kr/link?id=S11587025</t>
  </si>
  <si>
    <t>Sound and Vibration</t>
  </si>
  <si>
    <t>Acoustical Publ Co</t>
  </si>
  <si>
    <t>1541-0161</t>
  </si>
  <si>
    <t>American Journal on Intellectual and Developmental Disabilities</t>
  </si>
  <si>
    <t>American Association on Intellectual and Developmental Disabilities</t>
  </si>
  <si>
    <t>1944-7515</t>
  </si>
  <si>
    <t>SSCI, SCOPUS</t>
  </si>
  <si>
    <t>http://www.riss.kr/link?id=S83265</t>
  </si>
  <si>
    <t>Transportation Research Record</t>
  </si>
  <si>
    <t>Transportation Research Board</t>
  </si>
  <si>
    <t>0361-1981</t>
  </si>
  <si>
    <t>American Journal on Mental Retardation</t>
  </si>
  <si>
    <t>American Association on Mental Retardation</t>
  </si>
  <si>
    <t>0895-8017</t>
  </si>
  <si>
    <t>1983-1986, 1988-2009</t>
  </si>
  <si>
    <t>http://www.riss.kr/link?id=S23698</t>
  </si>
  <si>
    <t>Construction Management and Economics</t>
  </si>
  <si>
    <t>Taylor &amp; Francis Ltd.</t>
  </si>
  <si>
    <t>0144-6193</t>
  </si>
  <si>
    <t>American Laboratory</t>
  </si>
  <si>
    <t>Labcompare</t>
  </si>
  <si>
    <t>0044-7749</t>
  </si>
  <si>
    <t>http://www.riss.kr/link?id=S407270</t>
  </si>
  <si>
    <t>Journal of Thermal Stresses</t>
  </si>
  <si>
    <t>0149-5739</t>
  </si>
  <si>
    <t>American Machinist</t>
  </si>
  <si>
    <t>Penton</t>
  </si>
  <si>
    <t>1041-7958</t>
  </si>
  <si>
    <t>http://www.riss.kr/link?id=S20012637</t>
  </si>
  <si>
    <t>Annals of Botany</t>
  </si>
  <si>
    <t>Oxford University Press</t>
  </si>
  <si>
    <t>0305-7364</t>
  </si>
  <si>
    <t>1996-2011</t>
  </si>
  <si>
    <t>http://www.riss.kr/link?id=S16589</t>
  </si>
  <si>
    <t>Engineering Optimization</t>
  </si>
  <si>
    <t>0305-215X</t>
  </si>
  <si>
    <t>Annals of Mathematics</t>
  </si>
  <si>
    <t>Princeton University * Department of Mathematics</t>
  </si>
  <si>
    <t>0003-486X</t>
  </si>
  <si>
    <t>1960-2021</t>
  </si>
  <si>
    <t>http://www.riss.kr/link?id=S17579</t>
  </si>
  <si>
    <t>Fullerenes Nanotubes and Carbon Nanostructures</t>
  </si>
  <si>
    <t>1536-383X</t>
  </si>
  <si>
    <t>Annals of the Institute of Statistical Mathematics</t>
  </si>
  <si>
    <t>0020-3157</t>
  </si>
  <si>
    <t>1990-2004, 2006-2013</t>
  </si>
  <si>
    <t>http://www.riss.kr/link?id=S29089</t>
  </si>
  <si>
    <t>International Journal of Fracture</t>
  </si>
  <si>
    <t>0376-9429</t>
  </si>
  <si>
    <t>Annual Review of Astronomy and Astrophysics</t>
  </si>
  <si>
    <t>Annual Reviews</t>
  </si>
  <si>
    <t>0066-4146</t>
  </si>
  <si>
    <t>1978-2011, 2013-2019</t>
  </si>
  <si>
    <t>http://www.riss.kr/link?id=S17393</t>
  </si>
  <si>
    <t>薬剤学</t>
  </si>
  <si>
    <t>日本薬剤学会</t>
  </si>
  <si>
    <t>0372-7629</t>
  </si>
  <si>
    <t>2019 과기 동양</t>
  </si>
  <si>
    <t>Annual Review of Earth and Planetary sciences</t>
  </si>
  <si>
    <t>0084-6597</t>
  </si>
  <si>
    <t>1996-2014</t>
  </si>
  <si>
    <t>http://www.riss.kr/link?id=S17392</t>
  </si>
  <si>
    <t>電子情報通信学会論文誌 : A</t>
  </si>
  <si>
    <t>電子情報通信学会</t>
  </si>
  <si>
    <t>0913-5707</t>
  </si>
  <si>
    <t>Annual Review of Fluid Mechanics</t>
  </si>
  <si>
    <t>0066-4189</t>
  </si>
  <si>
    <t>http://www.riss.kr/link?id=S17339</t>
  </si>
  <si>
    <t>電子情報通信学会論文誌 : B</t>
  </si>
  <si>
    <t>1344-4697</t>
  </si>
  <si>
    <t>Annual Review of Materials Research</t>
  </si>
  <si>
    <t>1531-7331</t>
  </si>
  <si>
    <t>2010, 2011</t>
  </si>
  <si>
    <t>http://www.riss.kr/link?id=S11640488</t>
  </si>
  <si>
    <t>電子情報通信学会論文誌 : C</t>
  </si>
  <si>
    <t>1345-2827</t>
  </si>
  <si>
    <t>Annual Review of Microbiology</t>
  </si>
  <si>
    <t>0066-4227</t>
  </si>
  <si>
    <t>1963, 1977-2021</t>
  </si>
  <si>
    <t>http://www.riss.kr/link?id=S6788</t>
  </si>
  <si>
    <t>電子情報通信学会論文誌 : D</t>
  </si>
  <si>
    <t>1880-4535</t>
  </si>
  <si>
    <t>ANS Topical Meeting Proceedings</t>
  </si>
  <si>
    <t>American Nuclear Society, Inc.</t>
  </si>
  <si>
    <t>2011, 2012</t>
  </si>
  <si>
    <t>http://www.riss.kr/link?id=S116057</t>
  </si>
  <si>
    <t>生物工学会誌</t>
  </si>
  <si>
    <t>日本生物工学会</t>
  </si>
  <si>
    <t>0919-3758</t>
  </si>
  <si>
    <t>Anti-Corrosion Methods and Materials</t>
  </si>
  <si>
    <t>0003-5599</t>
  </si>
  <si>
    <t>http://www.riss.kr/link?id=S400756</t>
  </si>
  <si>
    <t>電気学会論文誌 : A</t>
  </si>
  <si>
    <t>電気学会</t>
  </si>
  <si>
    <t>0385-4205</t>
  </si>
  <si>
    <t>Applied Mechanics and Materials</t>
  </si>
  <si>
    <t>Scientific.Net</t>
  </si>
  <si>
    <t>1660-9336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</si>
  <si>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</si>
  <si>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t>http://www.riss.kr/link?id=S31000997</t>
  </si>
  <si>
    <t>電気学会論文誌 : B</t>
  </si>
  <si>
    <t>0385-4213</t>
  </si>
  <si>
    <t>Applied Mechanics Reviews</t>
  </si>
  <si>
    <t>The American Society of Mechanical Engineers</t>
  </si>
  <si>
    <t>0003-6900</t>
  </si>
  <si>
    <t>1964-1965, 1972-1975, 2010</t>
  </si>
  <si>
    <t>http://www.riss.kr/link?id=S16306</t>
  </si>
  <si>
    <t>電気学会論文誌 : C</t>
  </si>
  <si>
    <t>0385-4221</t>
  </si>
  <si>
    <t>Applied Microbiology and Biotechnology</t>
  </si>
  <si>
    <t>0175-7598</t>
  </si>
  <si>
    <t>1984-1990, 1994-2013</t>
  </si>
  <si>
    <t>http://www.riss.kr/link?id=S21302</t>
  </si>
  <si>
    <t>電気学会論文誌 : D</t>
  </si>
  <si>
    <t>0913-6339</t>
  </si>
  <si>
    <t>Applied Physics Express</t>
  </si>
  <si>
    <t>Institute of Pure and Applied Physics</t>
  </si>
  <si>
    <t>1882-0778</t>
  </si>
  <si>
    <t>2008-2021</t>
  </si>
  <si>
    <t>http://www.riss.kr/link?id=S45403</t>
  </si>
  <si>
    <t>知能と情報</t>
  </si>
  <si>
    <t>日本知能情報ファジィ学会</t>
  </si>
  <si>
    <t>1347-7986</t>
  </si>
  <si>
    <t>Applied Rheology</t>
  </si>
  <si>
    <t>Kerschensteiner Verlag GmbH</t>
  </si>
  <si>
    <t>1430-6395</t>
  </si>
  <si>
    <t>http://www.riss.kr/link?id=S406089</t>
  </si>
  <si>
    <t>化学と生物</t>
  </si>
  <si>
    <t>学会出版センタ-</t>
  </si>
  <si>
    <t>0453-073X</t>
  </si>
  <si>
    <t>Applied Spectroscopy Reviews</t>
  </si>
  <si>
    <t>0570-4928</t>
  </si>
  <si>
    <t>http://www.riss.kr/link?id=S14685</t>
  </si>
  <si>
    <t>数学セミナ-</t>
  </si>
  <si>
    <t>日本評論社</t>
  </si>
  <si>
    <t>0386-4960</t>
  </si>
  <si>
    <t>Hanley Wood</t>
  </si>
  <si>
    <t>1935-7001</t>
  </si>
  <si>
    <t>1983-2004, 2010-2012, 2014-2021</t>
  </si>
  <si>
    <t>http://www.riss.kr/link?id=S15429</t>
  </si>
  <si>
    <t>ATOMOS</t>
  </si>
  <si>
    <t>日本原子力學會</t>
  </si>
  <si>
    <t>1882-2606</t>
  </si>
  <si>
    <t>Architectural Digest</t>
  </si>
  <si>
    <t>Conde Nast Publications, Inc.</t>
  </si>
  <si>
    <t>0003-8520</t>
  </si>
  <si>
    <t>2004-2021</t>
  </si>
  <si>
    <t>http://www.riss.kr/link?id=S29226</t>
  </si>
  <si>
    <t>Journal of the Meteorological 
 Society of Japan (気象集誌)</t>
  </si>
  <si>
    <t>0026-1165</t>
  </si>
  <si>
    <t>Architectural Lighting</t>
  </si>
  <si>
    <t>0894-0436</t>
  </si>
  <si>
    <t>2010-2018</t>
  </si>
  <si>
    <t>http://www.riss.kr/link?id=S29072</t>
  </si>
  <si>
    <t>International Journal of Science Education</t>
  </si>
  <si>
    <t>Routledge</t>
  </si>
  <si>
    <t>0950-0693</t>
  </si>
  <si>
    <t>2019 과기 서양</t>
  </si>
  <si>
    <t>Architectural Record</t>
  </si>
  <si>
    <t>McGraw-Hill Construction Dodge</t>
  </si>
  <si>
    <t>0003-858X</t>
  </si>
  <si>
    <t>1965-2004, 2007-2021</t>
  </si>
  <si>
    <t>http://www.riss.kr/link?id=S417245</t>
  </si>
  <si>
    <t>Water &amp; Effluent Treatment News</t>
  </si>
  <si>
    <t>Faversham House Group Ltd.</t>
  </si>
  <si>
    <t>1364-4513</t>
  </si>
  <si>
    <t>Architectural science Review</t>
  </si>
  <si>
    <t>0003-8628</t>
  </si>
  <si>
    <t>http://www.riss.kr/link?id=S15430</t>
  </si>
  <si>
    <t>Autocar</t>
  </si>
  <si>
    <t>Haymarket Publishing Ltd.</t>
  </si>
  <si>
    <t>1355-8293</t>
  </si>
  <si>
    <t>Archiv der Mathematik</t>
  </si>
  <si>
    <t>Birkhaeuser Science</t>
  </si>
  <si>
    <t>0003-889X</t>
  </si>
  <si>
    <t>1981-2013</t>
  </si>
  <si>
    <t>http://www.riss.kr/link?id=S17573</t>
  </si>
  <si>
    <t>Wood and Fiber Science</t>
  </si>
  <si>
    <t>Society of Wood Science and Technology</t>
  </si>
  <si>
    <t>0735-6161</t>
  </si>
  <si>
    <t>Archives of Mechanics</t>
  </si>
  <si>
    <t>Polish scientific Publishers</t>
  </si>
  <si>
    <t>0373-2029</t>
  </si>
  <si>
    <t>http://www.riss.kr/link?id=S407021</t>
  </si>
  <si>
    <t>JETI (Japan Energy &amp; Technlogy Intelligence)</t>
  </si>
  <si>
    <t>幸書房</t>
  </si>
  <si>
    <t>0289-4343</t>
  </si>
  <si>
    <t>2019 FRIC 동양</t>
  </si>
  <si>
    <t>Arquitectura Viva</t>
  </si>
  <si>
    <t>Arquitectura Viva S.L.</t>
  </si>
  <si>
    <t>0214-1256</t>
  </si>
  <si>
    <t>http://www.riss.kr/link?id=S104401</t>
  </si>
  <si>
    <t>自動車技術会論文集</t>
  </si>
  <si>
    <t>自動車技術会</t>
  </si>
  <si>
    <t>0287-8321</t>
  </si>
  <si>
    <t>Artificial Cells, Nanomedicine and Biotechnology</t>
  </si>
  <si>
    <t>Informa Healthcare</t>
  </si>
  <si>
    <t>2169-141X</t>
  </si>
  <si>
    <t>2011-2013</t>
  </si>
  <si>
    <t>http://www.riss.kr/link?id=S23637</t>
  </si>
  <si>
    <t>Chemistry Letters</t>
  </si>
  <si>
    <t>日本化学会</t>
  </si>
  <si>
    <t>0366-7022</t>
  </si>
  <si>
    <t>Artificial Intelligence for Engineering Design, Analysis and Manufacturing</t>
  </si>
  <si>
    <t>0890-0604</t>
  </si>
  <si>
    <t>http://www.riss.kr/link?id=S28902</t>
  </si>
  <si>
    <t>Bulletin of the Chemical Society of Japan</t>
  </si>
  <si>
    <t>0009-2673</t>
  </si>
  <si>
    <t>ASEE Prism</t>
  </si>
  <si>
    <t>American Society for Engineering Education</t>
  </si>
  <si>
    <t>1056-8077</t>
  </si>
  <si>
    <t>1991-2019</t>
  </si>
  <si>
    <t>http://www.riss.kr/link?id=S20636</t>
  </si>
  <si>
    <t>International Journal of Robotics Research</t>
  </si>
  <si>
    <t>Sage Periodicals Inc</t>
  </si>
  <si>
    <t>0278-3649</t>
  </si>
  <si>
    <t>2019 FRIC 서양</t>
  </si>
  <si>
    <t>ASHRAE journal</t>
  </si>
  <si>
    <t>American Society of Heating, Refrigerating and Air-Conditioning Engineers, Inc.</t>
  </si>
  <si>
    <t>0001-2491</t>
  </si>
  <si>
    <t>1964-1965, 1996</t>
  </si>
  <si>
    <t>http://www.riss.kr/link?id=S15489</t>
  </si>
  <si>
    <t>SIAM Journal on Control &amp; Optimization</t>
  </si>
  <si>
    <t>Society for Industrial and Applied Mathematics</t>
  </si>
  <si>
    <t>0363-0129</t>
  </si>
  <si>
    <t>Assembly Automation</t>
  </si>
  <si>
    <t>0144-5154</t>
  </si>
  <si>
    <t>http://www.riss.kr/link?id=S410895</t>
  </si>
  <si>
    <t>Fluid Dynamics Research</t>
  </si>
  <si>
    <t>0169-5983</t>
  </si>
  <si>
    <t>Astronomy and Astrophysics</t>
  </si>
  <si>
    <t>E D P Sciences</t>
  </si>
  <si>
    <t>0004-6361</t>
  </si>
  <si>
    <t>http://www.riss.kr/link?id=S13034</t>
  </si>
  <si>
    <t>Geotechnical Testing Journal</t>
  </si>
  <si>
    <t>A S T M International</t>
  </si>
  <si>
    <t>0149-6115</t>
  </si>
  <si>
    <t>Atomic Spectroscopy</t>
  </si>
  <si>
    <t>Perkin - Elmer Corp.</t>
  </si>
  <si>
    <t>0195-5373</t>
  </si>
  <si>
    <t>http://www.riss.kr/link?id=S411913</t>
  </si>
  <si>
    <t>Journal of Guidance, Control, and Dynamics</t>
  </si>
  <si>
    <t>0731-5090</t>
  </si>
  <si>
    <t>Atomization and Sprays</t>
  </si>
  <si>
    <t>Begell House, Inc.</t>
  </si>
  <si>
    <t>1044-5110</t>
  </si>
  <si>
    <t>http://www.riss.kr/link?id=S12866</t>
  </si>
  <si>
    <t>Journal of Propulsion and Power</t>
  </si>
  <si>
    <t>0748-4658</t>
  </si>
  <si>
    <t>Australian Meteorological and Oceanographic Journal</t>
  </si>
  <si>
    <t>Bureau of Meteorology</t>
  </si>
  <si>
    <t>1836-716X</t>
  </si>
  <si>
    <t>1993-2002, 2004-2009, 2011-2013</t>
  </si>
  <si>
    <t>http://www.riss.kr/link?id=S16996</t>
  </si>
  <si>
    <t>Journal of Spacecraft and Rockets</t>
  </si>
  <si>
    <t>0022-4650</t>
  </si>
  <si>
    <t>Auto e Design</t>
  </si>
  <si>
    <t>Auto &amp; Design s.r.l.</t>
  </si>
  <si>
    <t>0393-8387</t>
  </si>
  <si>
    <t>2011-2018</t>
  </si>
  <si>
    <t>http://www.riss.kr/link?id=S20013054</t>
  </si>
  <si>
    <t>Journal of Thermophysics and Heat Transfer</t>
  </si>
  <si>
    <t>0887-8722</t>
  </si>
  <si>
    <t>Haymarket Publishing</t>
  </si>
  <si>
    <t>http://www.riss.kr/link?id=S115372</t>
  </si>
  <si>
    <t>Proceedings of the Institution of Civil Engineers - Maritime Engineering</t>
  </si>
  <si>
    <t>1741-7597</t>
  </si>
  <si>
    <t>Automobile Magazine</t>
  </si>
  <si>
    <t>Murdoch Magazines</t>
  </si>
  <si>
    <t>0894-3583</t>
  </si>
  <si>
    <t>2009-2018</t>
  </si>
  <si>
    <t>http://www.riss.kr/link?id=S112893</t>
  </si>
  <si>
    <t>Hanley Wood, LLC</t>
  </si>
  <si>
    <t>Automotive Airconditioning Reporter</t>
  </si>
  <si>
    <t>Blue apple B. V</t>
  </si>
  <si>
    <t>1384-2900</t>
  </si>
  <si>
    <t>http://www.riss.kr/link?id=S115393</t>
  </si>
  <si>
    <t>Offshore Engineer</t>
  </si>
  <si>
    <t>ATCO Media</t>
  </si>
  <si>
    <t>0305-876X</t>
  </si>
  <si>
    <t>Automotive Engineering International</t>
  </si>
  <si>
    <t>S A E Inc.</t>
  </si>
  <si>
    <t>1543-849X</t>
  </si>
  <si>
    <t>http://www.riss.kr/link?id=S16085</t>
  </si>
  <si>
    <t>Geotechnical Engineering</t>
  </si>
  <si>
    <t>Asian Inst of Technology</t>
  </si>
  <si>
    <t>0046-5828</t>
  </si>
  <si>
    <t>Automotive Recycling</t>
  </si>
  <si>
    <t>Automotive Recyclers Association</t>
  </si>
  <si>
    <t>1058-9376</t>
  </si>
  <si>
    <t>http://www.riss.kr/link?id=S115373</t>
  </si>
  <si>
    <t>Auto &amp; Design</t>
  </si>
  <si>
    <t>Auto &amp; Design Srl</t>
  </si>
  <si>
    <t>Bauwelt</t>
  </si>
  <si>
    <t>Ullstein Verlag</t>
  </si>
  <si>
    <t>0005-6855</t>
  </si>
  <si>
    <t>http://www.riss.kr/link?id=S20703</t>
  </si>
  <si>
    <t>Source Interlink Companies</t>
  </si>
  <si>
    <t>예체능</t>
  </si>
  <si>
    <t>Beaux Arts Magazine</t>
  </si>
  <si>
    <t>0757-2271</t>
  </si>
  <si>
    <t>http://www.riss.kr/link?id=S11582253</t>
  </si>
  <si>
    <t>Car and Driver</t>
  </si>
  <si>
    <t>Hearst Magazines</t>
  </si>
  <si>
    <t>0008-6002</t>
  </si>
  <si>
    <t>BFT International</t>
  </si>
  <si>
    <t>Bauverlag BV GmbH</t>
  </si>
  <si>
    <t>0373-4331</t>
  </si>
  <si>
    <t>http://www.riss.kr/link?id=S407073</t>
  </si>
  <si>
    <t>Diesel Car &amp; Eco Car</t>
  </si>
  <si>
    <t>Blaze Publishing ltd</t>
  </si>
  <si>
    <t>0956-3806</t>
  </si>
  <si>
    <t>Biochemical Journal</t>
  </si>
  <si>
    <t>Portland Press Ltd.</t>
  </si>
  <si>
    <t>0264-6021</t>
  </si>
  <si>
    <t>1969, 1980-2013</t>
  </si>
  <si>
    <t>http://www.riss.kr/link?id=S410185</t>
  </si>
  <si>
    <t>New Design</t>
  </si>
  <si>
    <t>New Design Magazine</t>
  </si>
  <si>
    <t>1472-2674</t>
  </si>
  <si>
    <t>Bioconjugate Chemistry</t>
  </si>
  <si>
    <t>American Chemical Society</t>
  </si>
  <si>
    <t>1043-1802</t>
  </si>
  <si>
    <t>2006-2013</t>
  </si>
  <si>
    <t>http://www.riss.kr/link?id=S29005</t>
  </si>
  <si>
    <t>T3 : Tomorrows Technology Today</t>
  </si>
  <si>
    <t>Future Publishing Ltd.</t>
  </si>
  <si>
    <t>1364-2642</t>
  </si>
  <si>
    <t>Biological &amp; Pharmaceutical Bulletin</t>
  </si>
  <si>
    <t>Pharmaceutical Society of Japan</t>
  </si>
  <si>
    <t>0918-6158</t>
  </si>
  <si>
    <t>1993-2021</t>
  </si>
  <si>
    <t>http://www.riss.kr/link?id=S85045</t>
  </si>
  <si>
    <t>Beaux Arts Magazine - Without Special Issues</t>
  </si>
  <si>
    <t>Beaux Arts</t>
  </si>
  <si>
    <t>Biology of Reproduction</t>
  </si>
  <si>
    <t>0006-3363</t>
  </si>
  <si>
    <t>1980-2013</t>
  </si>
  <si>
    <t>http://www.riss.kr/link?id=S16751</t>
  </si>
  <si>
    <t>Mathematics and Mechanics of Solids</t>
  </si>
  <si>
    <t>1081-2865</t>
  </si>
  <si>
    <t>Biomedical Engineering</t>
  </si>
  <si>
    <t>0006-3398</t>
  </si>
  <si>
    <t>1981-1989, 1991-1993, 1995-2013</t>
  </si>
  <si>
    <t>http://www.riss.kr/link?id=S60409</t>
  </si>
  <si>
    <t>Journal of Vertebrate Paleontology</t>
  </si>
  <si>
    <t>0272-4634</t>
  </si>
  <si>
    <t>Biomedical Materials</t>
  </si>
  <si>
    <t>Institute of Physics Publishing Ltd</t>
  </si>
  <si>
    <t>2012-2014</t>
  </si>
  <si>
    <t>http://www.riss.kr/link?id=S31020998</t>
  </si>
  <si>
    <t>Journal of Thermoplastic Composite Materials</t>
  </si>
  <si>
    <t>0892-7057</t>
  </si>
  <si>
    <t>Bio-Medical Materials and Engineering</t>
  </si>
  <si>
    <t>Pergamon Press</t>
  </si>
  <si>
    <t>0959-2989</t>
  </si>
  <si>
    <t>2006-2019</t>
  </si>
  <si>
    <t>http://www.riss.kr/link?id=S5355</t>
  </si>
  <si>
    <t>Biometrika</t>
  </si>
  <si>
    <t>0006-3444</t>
  </si>
  <si>
    <t>1966-1975, 1992-2011</t>
  </si>
  <si>
    <t>http://www.riss.kr/link?id=S6860</t>
  </si>
  <si>
    <t>Bioscience, Biotechnology, and Biochemistry</t>
  </si>
  <si>
    <t>0916-8451</t>
  </si>
  <si>
    <t>1989, 1992-2011</t>
  </si>
  <si>
    <t>http://www.riss.kr/link?id=S13000</t>
  </si>
  <si>
    <t>Biostatistics</t>
  </si>
  <si>
    <t>1465-4644</t>
  </si>
  <si>
    <t>2005-2011</t>
  </si>
  <si>
    <t>http://www.riss.kr/link?id=S405354</t>
  </si>
  <si>
    <t>Biotechnology and Applied Biochemistry</t>
  </si>
  <si>
    <t>0885-4513</t>
  </si>
  <si>
    <t>1996-2002, 2004-2012</t>
  </si>
  <si>
    <t>http://www.riss.kr/link?id=S16672</t>
  </si>
  <si>
    <t>American Journal of Health System Pharmacy</t>
  </si>
  <si>
    <t>American Society of Health System Pharmacists</t>
  </si>
  <si>
    <t>2020 과기 서양</t>
  </si>
  <si>
    <t>Biotechnology Letters</t>
  </si>
  <si>
    <t>Springer Netherlands</t>
  </si>
  <si>
    <t>0141-5492</t>
  </si>
  <si>
    <t>http://www.riss.kr/link?id=S12338</t>
  </si>
  <si>
    <t>Differential and Integral Equations</t>
  </si>
  <si>
    <t>Khayyam Publishing Company, Inc.</t>
  </si>
  <si>
    <t>0893-4983</t>
  </si>
  <si>
    <t>Botany</t>
  </si>
  <si>
    <t>NRC Research Press</t>
  </si>
  <si>
    <t>1916-2790</t>
  </si>
  <si>
    <t>http://www.riss.kr/link?id=S16573</t>
  </si>
  <si>
    <t>Mathematics Teacher</t>
  </si>
  <si>
    <t>National Council of Teachers of Mathematics</t>
  </si>
  <si>
    <t>0025-5769</t>
  </si>
  <si>
    <t>Boundary-Layer Meteorology</t>
  </si>
  <si>
    <t>D. Reidel Pub. Co</t>
  </si>
  <si>
    <t>0006-8314</t>
  </si>
  <si>
    <t>1984-2013</t>
  </si>
  <si>
    <t>http://www.riss.kr/link?id=S16989</t>
  </si>
  <si>
    <t>Mathematics Teaching in the Middle School</t>
  </si>
  <si>
    <t>1072-0839</t>
  </si>
  <si>
    <t>British Interplanetary Society Journal</t>
  </si>
  <si>
    <t>British Interplanetary Society</t>
  </si>
  <si>
    <t>0007-084X</t>
  </si>
  <si>
    <t>http://www.riss.kr/link?id=S400716</t>
  </si>
  <si>
    <t>American Institute of Aeronautics and Astronautics (AIAA)</t>
  </si>
  <si>
    <t>Building Simulation</t>
  </si>
  <si>
    <t>Tsinghua University Press</t>
  </si>
  <si>
    <t>1996-3599</t>
  </si>
  <si>
    <t>http://www.riss.kr/link?id=S31024384</t>
  </si>
  <si>
    <t>American Laboratory/Labcompare</t>
  </si>
  <si>
    <t>Built Environment</t>
  </si>
  <si>
    <t>Alexandrine Press</t>
  </si>
  <si>
    <t>0263-7960</t>
  </si>
  <si>
    <t>http://www.riss.kr/link?id=S24636</t>
  </si>
  <si>
    <t>空気調和‧衛生工学</t>
  </si>
  <si>
    <t>空気調和・衛生工学会</t>
  </si>
  <si>
    <t>0386-4081</t>
  </si>
  <si>
    <t>2020 FRIC 동양</t>
  </si>
  <si>
    <t>Bulletin of the American Meteorological Society</t>
  </si>
  <si>
    <t>American Meteorological Society</t>
  </si>
  <si>
    <t>0003-0007</t>
  </si>
  <si>
    <t>1975-1987, 1989-2013</t>
  </si>
  <si>
    <t>http://www.riss.kr/link?id=S16980</t>
  </si>
  <si>
    <t>KANRIN : 咸臨 (日本船舶海洋工学会誌)</t>
  </si>
  <si>
    <t>日本船舶海洋工学会</t>
  </si>
  <si>
    <t>1880-3725</t>
  </si>
  <si>
    <t>Chemical Society of Japan</t>
  </si>
  <si>
    <t>1957-1963, 1971-1975, 1984-2018</t>
  </si>
  <si>
    <t>http://www.riss.kr/link?id=S17152</t>
  </si>
  <si>
    <t>材料と環境</t>
  </si>
  <si>
    <t>腐食防食協会</t>
  </si>
  <si>
    <t>0917-0480</t>
  </si>
  <si>
    <t>Bulletin of Volcanology</t>
  </si>
  <si>
    <t>0258-8900</t>
  </si>
  <si>
    <t>1992-1994, 1996-2013</t>
  </si>
  <si>
    <t>http://www.riss.kr/link?id=S60873</t>
  </si>
  <si>
    <t>鉄と鋼</t>
  </si>
  <si>
    <t>日本鉄鋼協会</t>
  </si>
  <si>
    <t>0021-1575</t>
  </si>
  <si>
    <t>Bunseki Kagaku</t>
  </si>
  <si>
    <t>Japan Society for Analytical Chemistry</t>
  </si>
  <si>
    <t>0525-1931</t>
  </si>
  <si>
    <t>1957, 1962-1964, 1979-2021</t>
  </si>
  <si>
    <t>http://www.riss.kr/link?id=S417040</t>
  </si>
  <si>
    <t>トンネルと地下</t>
  </si>
  <si>
    <t>土木工学社</t>
  </si>
  <si>
    <t>0285-631X</t>
  </si>
  <si>
    <t>BWK</t>
  </si>
  <si>
    <t>VDI Fachmedien GmbH &amp; C o. KG</t>
  </si>
  <si>
    <t>1618-193X</t>
  </si>
  <si>
    <t>http://www.riss.kr/link?id=S17329</t>
  </si>
  <si>
    <t>フードケミカル</t>
  </si>
  <si>
    <t>食品化學新聞社</t>
  </si>
  <si>
    <t>0911-2286</t>
  </si>
  <si>
    <t>Canadian Geotechnical Journal</t>
  </si>
  <si>
    <t>Canadian Science Publishing</t>
  </si>
  <si>
    <t>0008-3674</t>
  </si>
  <si>
    <t>http://www.riss.kr/link?id=S16973</t>
  </si>
  <si>
    <t>The Indian Concrete Journal</t>
  </si>
  <si>
    <t>Associated Cement Companies</t>
  </si>
  <si>
    <t>0019-4565</t>
  </si>
  <si>
    <t>2020 FRIC 서양</t>
  </si>
  <si>
    <t>Canadian Journal of Chemistry</t>
  </si>
  <si>
    <t>0008-4042</t>
  </si>
  <si>
    <t>http://www.riss.kr/link?id=S17150</t>
  </si>
  <si>
    <t>Journal of Materials Chemistry Collection -A</t>
  </si>
  <si>
    <t>Royal Society of Chemistry</t>
  </si>
  <si>
    <t>2050-7488</t>
  </si>
  <si>
    <t>Canadian Journal of Civil Engineering</t>
  </si>
  <si>
    <t>0315-1468</t>
  </si>
  <si>
    <t>http://www.riss.kr/link?id=S28294</t>
  </si>
  <si>
    <t>Journal of Materials Chemistry Collection -B</t>
  </si>
  <si>
    <t>2050-750X</t>
  </si>
  <si>
    <t>Canadian Journal of Mathematics</t>
  </si>
  <si>
    <t>0008-414X</t>
  </si>
  <si>
    <t>1949-1984, 1988-2021</t>
  </si>
  <si>
    <t>http://www.riss.kr/link?id=S417317</t>
  </si>
  <si>
    <t>Journal of Materials Chemistry Collection -C</t>
  </si>
  <si>
    <t>2050-7526</t>
  </si>
  <si>
    <t>Canadian Journal of Microbiology</t>
  </si>
  <si>
    <t>0008-4166</t>
  </si>
  <si>
    <t>http://www.riss.kr/link?id=S16735</t>
  </si>
  <si>
    <t>Optical Engineering</t>
  </si>
  <si>
    <t>SPIE</t>
  </si>
  <si>
    <t>0091-3286</t>
  </si>
  <si>
    <t>Canadian Metallurgical Quarterly</t>
  </si>
  <si>
    <t>0008-4433</t>
  </si>
  <si>
    <t>http://www.riss.kr/link?id=S15663</t>
  </si>
  <si>
    <t>http://www.riss.kr/link?id=S90482</t>
  </si>
  <si>
    <t>High Temperature Materials and Processes</t>
  </si>
  <si>
    <t>De Gruyter</t>
  </si>
  <si>
    <t>0334-6455</t>
  </si>
  <si>
    <t>Car Mechanics</t>
  </si>
  <si>
    <t>Kelsey Publishing</t>
  </si>
  <si>
    <t>0008-6037</t>
  </si>
  <si>
    <t>2010-2013, 2015-2020</t>
  </si>
  <si>
    <t>http://www.riss.kr/link?id=S115375</t>
  </si>
  <si>
    <t>Advanced Science Letters</t>
  </si>
  <si>
    <t>American Scientific Publishers</t>
  </si>
  <si>
    <t>Cellular Polymers</t>
  </si>
  <si>
    <t>0262-4893</t>
  </si>
  <si>
    <t>http://www.riss.kr/link?id=S409678</t>
  </si>
  <si>
    <t>Civil Engineering and Environmental Systems</t>
  </si>
  <si>
    <t>1028-6608</t>
  </si>
  <si>
    <t>Cellulose Chemistry and Technology</t>
  </si>
  <si>
    <t>Editura Academiei Romane</t>
  </si>
  <si>
    <t>0576-9787</t>
  </si>
  <si>
    <t>http://www.riss.kr/link?id=S414399</t>
  </si>
  <si>
    <t>Computer Assisted Methods in Engineering and Science (CAMES)</t>
  </si>
  <si>
    <t>Institute of Fundamental Technological Research</t>
  </si>
  <si>
    <t>2299-3649</t>
  </si>
  <si>
    <t>Ceramic Forum International</t>
  </si>
  <si>
    <t>Goeller Verlag GmbH</t>
  </si>
  <si>
    <t>0173-9913</t>
  </si>
  <si>
    <t>http://www.riss.kr/link?id=S410933</t>
  </si>
  <si>
    <t>Journal of Architectural and Planning Research</t>
  </si>
  <si>
    <t>LOCKE SCIENCE PUBL CO INC</t>
  </si>
  <si>
    <t>0738-0895</t>
  </si>
  <si>
    <t>Ceramics Japan</t>
  </si>
  <si>
    <t>Nippon Seramikkusu Kyokai</t>
  </si>
  <si>
    <t>0009-031X</t>
  </si>
  <si>
    <t>1974-2021</t>
  </si>
  <si>
    <t>http://www.riss.kr/link?id=S416801</t>
  </si>
  <si>
    <t>Journal of Electroceramics</t>
  </si>
  <si>
    <t>1385-3449</t>
  </si>
  <si>
    <t>농축산학</t>
  </si>
  <si>
    <t>Cereal Chemistry</t>
  </si>
  <si>
    <t>American Association of Cereal Chemists</t>
  </si>
  <si>
    <t>0009-0352</t>
  </si>
  <si>
    <t>http://www.riss.kr/link?id=S15658</t>
  </si>
  <si>
    <t>Mechanics of Solids</t>
  </si>
  <si>
    <t>0025-6544</t>
  </si>
  <si>
    <t>Chemical &amp; Pharmaceutical Bulletin</t>
  </si>
  <si>
    <t>0009-2363</t>
  </si>
  <si>
    <t>1956-1958, 1960-1963, 1965-1969, 1976-1980, 1982-2021</t>
  </si>
  <si>
    <t>http://www.riss.kr/link?id=S16440</t>
  </si>
  <si>
    <t>Nanotechnologies in Russia</t>
  </si>
  <si>
    <t>1995-0780</t>
  </si>
  <si>
    <t>Chemical and Engineering News</t>
  </si>
  <si>
    <t>0009-2347</t>
  </si>
  <si>
    <t>1955-1962, 1973, 1975-2021</t>
  </si>
  <si>
    <t>http://www.riss.kr/link?id=S17146</t>
  </si>
  <si>
    <t>Welding International</t>
  </si>
  <si>
    <t>0950-7116</t>
  </si>
  <si>
    <t>Chemical Communications</t>
  </si>
  <si>
    <t>1359-7345</t>
  </si>
  <si>
    <t>http://www.riss.kr/link?id=S5004</t>
  </si>
  <si>
    <t>Elsevier Health</t>
  </si>
  <si>
    <t>Chemical Engineering Progress</t>
  </si>
  <si>
    <t>American Institute of Chemical Engineers</t>
  </si>
  <si>
    <t>0360-7275</t>
  </si>
  <si>
    <t>1957-1959, 1975-2021</t>
  </si>
  <si>
    <t>http://www.riss.kr/link?id=S15648</t>
  </si>
  <si>
    <t>AFS Transactions(Transactions of the American Foundry Society)</t>
  </si>
  <si>
    <t>Ameican Foundry Society</t>
  </si>
  <si>
    <t>0065-8375</t>
  </si>
  <si>
    <t>Chemical Engineering Research &amp; Design</t>
  </si>
  <si>
    <t>0263-8762</t>
  </si>
  <si>
    <t>1984-1994, 1996-2021</t>
  </si>
  <si>
    <t>http://www.riss.kr/link?id=S15647</t>
  </si>
  <si>
    <t>Chemical Engineering World</t>
  </si>
  <si>
    <t>Jasubhai Media Pvt. Ltd.</t>
  </si>
  <si>
    <t>0009-2517</t>
  </si>
  <si>
    <t>2011-2021</t>
  </si>
  <si>
    <t>http://www.riss.kr/link?id=S400897</t>
  </si>
  <si>
    <t>Inst Fundamental Tech Research</t>
  </si>
  <si>
    <t>Chemical Enginnering</t>
  </si>
  <si>
    <t>化學工業社</t>
  </si>
  <si>
    <t>0387-1037</t>
  </si>
  <si>
    <t>http://www.riss.kr/link?id=S60957</t>
  </si>
  <si>
    <t>Chemistry International</t>
  </si>
  <si>
    <t>Blackwell scientific Publications</t>
  </si>
  <si>
    <t>0193-6484</t>
  </si>
  <si>
    <t>2003-2014</t>
  </si>
  <si>
    <t>http://www.riss.kr/link?id=S57569</t>
  </si>
  <si>
    <t>American Soc Engineering Educ</t>
  </si>
  <si>
    <t>1984-2018</t>
  </si>
  <si>
    <t>http://www.riss.kr/link?id=S17133</t>
  </si>
  <si>
    <t>Blue Apple B V</t>
  </si>
  <si>
    <t>Chromosoma</t>
  </si>
  <si>
    <t>0009-5915</t>
  </si>
  <si>
    <t>http://www.riss.kr/link?id=S16729</t>
  </si>
  <si>
    <t>Auto Dismantlers &amp; Recycl Assn</t>
  </si>
  <si>
    <t>Circuit World</t>
  </si>
  <si>
    <t>0305-6120</t>
  </si>
  <si>
    <t>http://www.riss.kr/link?id=S414163</t>
  </si>
  <si>
    <t>Autosoft Journal</t>
  </si>
  <si>
    <t>TSI Press</t>
  </si>
  <si>
    <t>1079-8587</t>
  </si>
  <si>
    <t>CIRP Annals</t>
  </si>
  <si>
    <t>0007-8506</t>
  </si>
  <si>
    <t>1984-2021</t>
  </si>
  <si>
    <t>http://www.riss.kr/link?id=S30004502</t>
  </si>
  <si>
    <t>Baltic Journal of Road and Bridge Engineering</t>
  </si>
  <si>
    <t>Vilniaus Gedimino Technikos Universitetas</t>
  </si>
  <si>
    <t>1822-427X</t>
  </si>
  <si>
    <t>Civil Engineering</t>
  </si>
  <si>
    <t>American Society of Civil Engineers</t>
  </si>
  <si>
    <t>0885-7024</t>
  </si>
  <si>
    <t>1996, 2013</t>
  </si>
  <si>
    <t>http://www.riss.kr/link?id=S414978</t>
  </si>
  <si>
    <t>http://www.riss.kr/link?id=S416689</t>
  </si>
  <si>
    <t>BFT INTERNATIONAL</t>
  </si>
  <si>
    <t>Bauverlag bv Gmbh</t>
  </si>
  <si>
    <t>Clay Minerals</t>
  </si>
  <si>
    <t>0009-8558</t>
  </si>
  <si>
    <t>1976, 1979, 1982-2013</t>
  </si>
  <si>
    <t>http://www.riss.kr/link?id=S24641</t>
  </si>
  <si>
    <t>BWK : das Energie-fachmagazin</t>
  </si>
  <si>
    <t>Climatic Change</t>
  </si>
  <si>
    <t>0165-0009</t>
  </si>
  <si>
    <t>1990-2013</t>
  </si>
  <si>
    <t>http://www.riss.kr/link?id=S16969</t>
  </si>
  <si>
    <t>Cellulose Chemistry &amp; Technology</t>
  </si>
  <si>
    <t>Clothing and Textiles Research Journal</t>
  </si>
  <si>
    <t>Association of College Professors of Textiles and Clothing</t>
  </si>
  <si>
    <t>0887-302X</t>
  </si>
  <si>
    <t>1984-2003, 2005-2021</t>
  </si>
  <si>
    <t>http://www.riss.kr/link?id=S13442</t>
  </si>
  <si>
    <t>CMC(Computers, Materials &amp; Continua)</t>
  </si>
  <si>
    <t>2010-2015</t>
  </si>
  <si>
    <t>http://www.riss.kr/link?id=S30000666</t>
  </si>
  <si>
    <t>Coatingstech</t>
  </si>
  <si>
    <t>American Coatings Association</t>
  </si>
  <si>
    <t>1547-0083</t>
  </si>
  <si>
    <t>Coastal Engineering</t>
  </si>
  <si>
    <t>0378-3839</t>
  </si>
  <si>
    <t>1982-2004</t>
  </si>
  <si>
    <t>http://www.riss.kr/link?id=S60967</t>
  </si>
  <si>
    <t>Concrete</t>
  </si>
  <si>
    <t>The Concrete Society</t>
  </si>
  <si>
    <t>0010-5317</t>
  </si>
  <si>
    <t>2166-4250</t>
  </si>
  <si>
    <t>http://www.riss.kr/link?id=S418044</t>
  </si>
  <si>
    <t>Construction Manager</t>
  </si>
  <si>
    <t>Chartered Inst of Building</t>
  </si>
  <si>
    <t>1360-3566</t>
  </si>
  <si>
    <t>Colloid and Polymer science</t>
  </si>
  <si>
    <t>0303-402X</t>
  </si>
  <si>
    <t>1988-2014</t>
  </si>
  <si>
    <t>http://www.riss.kr/link?id=S17067</t>
  </si>
  <si>
    <t>Constructor</t>
  </si>
  <si>
    <t>NAYLOR LLC</t>
  </si>
  <si>
    <t>0162-6191</t>
  </si>
  <si>
    <t>Combustion science and Technology</t>
  </si>
  <si>
    <t>0010-2202</t>
  </si>
  <si>
    <t>http://www.riss.kr/link?id=S15636</t>
  </si>
  <si>
    <t>The Cooling Journal</t>
  </si>
  <si>
    <t>NARSA</t>
  </si>
  <si>
    <t>0005-1497</t>
  </si>
  <si>
    <t>Communications in Algebra</t>
  </si>
  <si>
    <t>0092-7872</t>
  </si>
  <si>
    <t>http://www.riss.kr/link?id=S17552</t>
  </si>
  <si>
    <t>Diesel Progress</t>
  </si>
  <si>
    <t>1091-370X</t>
  </si>
  <si>
    <t>Communications in Mathematical Physics</t>
  </si>
  <si>
    <t>0010-3616</t>
  </si>
  <si>
    <t>http://www.riss.kr/link?id=S17324</t>
  </si>
  <si>
    <t>EM : Environmnetal Managers</t>
  </si>
  <si>
    <t>Air &amp; Waste Management Assn</t>
  </si>
  <si>
    <t>1088-9981</t>
  </si>
  <si>
    <t>Communications in Statistics</t>
  </si>
  <si>
    <t>0361-0926</t>
  </si>
  <si>
    <t>1986-2004, 2006-2021</t>
  </si>
  <si>
    <t>http://www.riss.kr/link?id=S17549</t>
  </si>
  <si>
    <t>Flexible Services and Manufacturing Journal</t>
  </si>
  <si>
    <t>1936-6582</t>
  </si>
  <si>
    <t>Communications in Statistics: Simulation and Computation</t>
  </si>
  <si>
    <t>0361-0918</t>
  </si>
  <si>
    <t>1996-2021</t>
  </si>
  <si>
    <t>http://www.riss.kr/link?id=S17550</t>
  </si>
  <si>
    <t>Gas Turbine World</t>
  </si>
  <si>
    <t>PEQUOT PUBL INC</t>
  </si>
  <si>
    <t>0747-7988</t>
  </si>
  <si>
    <t>Communications of the ACM</t>
  </si>
  <si>
    <t>0001-0782</t>
  </si>
  <si>
    <t>1979-2021</t>
  </si>
  <si>
    <t>http://www.riss.kr/link?id=S418984</t>
  </si>
  <si>
    <t>Ground Engineering</t>
  </si>
  <si>
    <t>Emap Construct Ltd.</t>
  </si>
  <si>
    <t>0017-4653</t>
  </si>
  <si>
    <t>Complex Variables and Elliptic Equations</t>
  </si>
  <si>
    <t>1747-6933</t>
  </si>
  <si>
    <t>2006-2014</t>
  </si>
  <si>
    <t>http://www.riss.kr/link?id=S31014477</t>
  </si>
  <si>
    <t>Hydraulics &amp; Pneumatics</t>
  </si>
  <si>
    <t>PENTON MEDIA</t>
  </si>
  <si>
    <t>0018-814X</t>
  </si>
  <si>
    <t>Computer Assisted Mechanics and Engineering sciences</t>
  </si>
  <si>
    <t>Polska Akademia Nauk</t>
  </si>
  <si>
    <t>1232-308X</t>
  </si>
  <si>
    <t>2011-2019</t>
  </si>
  <si>
    <t>http://www.riss.kr/link?id=S403698</t>
  </si>
  <si>
    <t>Informacije Midem = Journal of Microelectronics Electronic Components and Materials</t>
  </si>
  <si>
    <t>MIDEM SOC FOR MICROELECTRONICS</t>
  </si>
  <si>
    <t>0352-9045</t>
  </si>
  <si>
    <t>Computer Assisted Methods in Engineering and science</t>
  </si>
  <si>
    <t>2011, 2013-2014, 2019</t>
  </si>
  <si>
    <t>http://www.riss.kr/link?id=S90024680</t>
  </si>
  <si>
    <t>International Journal of Heavy Vehicle Systems</t>
  </si>
  <si>
    <t>Inderscience Publishers</t>
  </si>
  <si>
    <t>1744-232X</t>
  </si>
  <si>
    <t>Computer Modeling in Engineering &amp; sciences</t>
  </si>
  <si>
    <t>Tech science Press</t>
  </si>
  <si>
    <t>http://www.riss.kr/link?id=S405626</t>
  </si>
  <si>
    <t>International Journal of Materials and Structural Integrity</t>
  </si>
  <si>
    <t>1745-0055</t>
  </si>
  <si>
    <t>Computer Report</t>
  </si>
  <si>
    <t>Japan Management Science Institute</t>
  </si>
  <si>
    <t>0385-6658</t>
  </si>
  <si>
    <t>1970-1983, 1985-2010</t>
  </si>
  <si>
    <t>http://www.riss.kr/link?id=S19535</t>
  </si>
  <si>
    <t>International Journal of Materials Research</t>
  </si>
  <si>
    <t>Hanser Publishers</t>
  </si>
  <si>
    <t>1862-5282</t>
  </si>
  <si>
    <t>Computers and Concrete</t>
  </si>
  <si>
    <t>Techno-Press</t>
  </si>
  <si>
    <t>1598-8198</t>
  </si>
  <si>
    <t>http://www.riss.kr/link?id=S31027851</t>
  </si>
  <si>
    <t>International Journal of Microstructure and Materials Properties</t>
  </si>
  <si>
    <t>1741-8410</t>
  </si>
  <si>
    <t>Computing Reviews</t>
  </si>
  <si>
    <t>0010-4884</t>
  </si>
  <si>
    <t>1970, 1975-2011</t>
  </si>
  <si>
    <t>http://www.riss.kr/link?id=S82964</t>
  </si>
  <si>
    <t>International Journal of RF Technologies</t>
  </si>
  <si>
    <t>IOS Press</t>
  </si>
  <si>
    <t>1754-5730</t>
  </si>
  <si>
    <t>http://www.riss.kr/link?id=S30341</t>
  </si>
  <si>
    <t>Journal for General Philosophy of Science</t>
  </si>
  <si>
    <t>0925-4560</t>
  </si>
  <si>
    <t>Concrete International</t>
  </si>
  <si>
    <t>0162-4075</t>
  </si>
  <si>
    <t>1995-2021</t>
  </si>
  <si>
    <t>http://www.riss.kr/link?id=S12733</t>
  </si>
  <si>
    <t>Journal of Cold Regions Engineering</t>
  </si>
  <si>
    <t>Amer Society Civil Engineers</t>
  </si>
  <si>
    <t>0887-381X</t>
  </si>
  <si>
    <t>Concurrent Engineering</t>
  </si>
  <si>
    <t>1063-293X</t>
  </si>
  <si>
    <t>http://www.riss.kr/link?id=S402314</t>
  </si>
  <si>
    <t>The Journal of Explosives Engineering</t>
  </si>
  <si>
    <t>Intl Soc of Explosives Engin</t>
  </si>
  <si>
    <t>0889-0668</t>
  </si>
  <si>
    <t>ESCI, SCOPUS</t>
  </si>
  <si>
    <t>http://www.riss.kr/link?id=S410926</t>
  </si>
  <si>
    <t>Journal of Porous Media</t>
  </si>
  <si>
    <t>1091-028X</t>
  </si>
  <si>
    <t>Atom Publishing</t>
  </si>
  <si>
    <t>http://www.riss.kr/link?id=S11575588</t>
  </si>
  <si>
    <t>Journal of Surveying Engineering</t>
  </si>
  <si>
    <t>0733-9453</t>
  </si>
  <si>
    <t>Associated General Contractors of America</t>
  </si>
  <si>
    <t>http://www.riss.kr/link?id=S408343</t>
  </si>
  <si>
    <t>Journal of the Society of Leather Technologists and Chemists</t>
  </si>
  <si>
    <t>Society of Leather Technologists and Chemists</t>
  </si>
  <si>
    <t>0144-0322</t>
  </si>
  <si>
    <t>Contributions to Mineralogy and Petrology</t>
  </si>
  <si>
    <t>0010-7999</t>
  </si>
  <si>
    <t>1982-2013</t>
  </si>
  <si>
    <t>http://www.riss.kr/link?id=S17129</t>
  </si>
  <si>
    <t>Leukos</t>
  </si>
  <si>
    <t>1550-2724</t>
  </si>
  <si>
    <t>Corrosion</t>
  </si>
  <si>
    <t>National Association of Corrosion Engineers International</t>
  </si>
  <si>
    <t>0010-9312</t>
  </si>
  <si>
    <t>1964, 1969, 2010-2021</t>
  </si>
  <si>
    <t>http://www.riss.kr/link?id=S16252</t>
  </si>
  <si>
    <t>Machinery</t>
  </si>
  <si>
    <t>Findlay Media Ltd.</t>
  </si>
  <si>
    <t>1753-0482</t>
  </si>
  <si>
    <t>CQ</t>
  </si>
  <si>
    <t>CQ Communications</t>
  </si>
  <si>
    <t>0007-893X</t>
  </si>
  <si>
    <t>http://www.riss.kr/link?id=S57882</t>
  </si>
  <si>
    <t>Manufacturing Engineering</t>
  </si>
  <si>
    <t>Society of Manufacturing Engineers</t>
  </si>
  <si>
    <t>0361-0853</t>
  </si>
  <si>
    <t>Critical Reviews in Therapeutic Drug Carrier Systems</t>
  </si>
  <si>
    <t>0743-4863</t>
  </si>
  <si>
    <t>2007-2019</t>
  </si>
  <si>
    <t>http://www.riss.kr/link?id=S412559</t>
  </si>
  <si>
    <t>Marine Technology Society Journal</t>
  </si>
  <si>
    <t>MARINE TECHNOLOGY SOCIETY</t>
  </si>
  <si>
    <t>0025-3324</t>
  </si>
  <si>
    <t>Current Advances in Materials and Processes</t>
  </si>
  <si>
    <t>Iron and Steel Institute of Japan</t>
  </si>
  <si>
    <t>0914-6628</t>
  </si>
  <si>
    <t>1991-2007</t>
  </si>
  <si>
    <t>http://www.riss.kr/link?id=S417181</t>
  </si>
  <si>
    <t>Materials Performance</t>
  </si>
  <si>
    <t>N A C E International</t>
  </si>
  <si>
    <t>0094-1492</t>
  </si>
  <si>
    <t>Dalton Transactions</t>
  </si>
  <si>
    <t>1477-9226</t>
  </si>
  <si>
    <t>1976-2013</t>
  </si>
  <si>
    <t>http://www.riss.kr/link?id=S17074</t>
  </si>
  <si>
    <t>Medical Textiles</t>
  </si>
  <si>
    <t>Int'l Newsletter</t>
  </si>
  <si>
    <t>0266-2078</t>
  </si>
  <si>
    <t>Detail</t>
  </si>
  <si>
    <t>DETAIL Business Information GmbH</t>
  </si>
  <si>
    <t>0011-9571</t>
  </si>
  <si>
    <t>http://www.riss.kr/link?id=S61578</t>
  </si>
  <si>
    <t>Metallofizika I Noveishie Tekhnologii = Journal of Metal Physics and Advanced Technologies</t>
  </si>
  <si>
    <t>Natsional'na Akademiya Nauk Ukrainy</t>
  </si>
  <si>
    <t>1024-1809</t>
  </si>
  <si>
    <t>http://www.riss.kr/link?id=S80384</t>
  </si>
  <si>
    <t>The Motor Ship</t>
  </si>
  <si>
    <t>MERCATOR MEDIA LIMITED</t>
  </si>
  <si>
    <t>0027-2000</t>
  </si>
  <si>
    <t>Diesel Car</t>
  </si>
  <si>
    <t>Blaze Publishing</t>
  </si>
  <si>
    <t>2045-6069</t>
  </si>
  <si>
    <t>http://www.riss.kr/link?id=S115376</t>
  </si>
  <si>
    <t>Motor Trend</t>
  </si>
  <si>
    <t>0027-2094</t>
  </si>
  <si>
    <t>Diesel Progress North American Edition</t>
  </si>
  <si>
    <t>http://www.riss.kr/link?id=S11575509</t>
  </si>
  <si>
    <t>Naval Architect</t>
  </si>
  <si>
    <t>Royal Institution of Naval Architects</t>
  </si>
  <si>
    <t>0306-0209</t>
  </si>
  <si>
    <t>1996-2019</t>
  </si>
  <si>
    <t>http://www.riss.kr/link?id=S20417</t>
  </si>
  <si>
    <t>Noise and Vibration Worldwide</t>
  </si>
  <si>
    <t>0957-4565</t>
  </si>
  <si>
    <t>Domus</t>
  </si>
  <si>
    <t>Editoriale Domus</t>
  </si>
  <si>
    <t>0012-5377</t>
  </si>
  <si>
    <t>1992-1994, 1996-2021</t>
  </si>
  <si>
    <t>http://www.riss.kr/link?id=S15418</t>
  </si>
  <si>
    <t>Ocean News &amp; Technology</t>
  </si>
  <si>
    <t>Technology Systems Corp</t>
  </si>
  <si>
    <t>1082-6106</t>
  </si>
  <si>
    <t>Drug Development and Industrial Pharmacy</t>
  </si>
  <si>
    <t>0363-9045</t>
  </si>
  <si>
    <t>1989-2012</t>
  </si>
  <si>
    <t>http://www.riss.kr/link?id=S16432</t>
  </si>
  <si>
    <t>Oil and Gas Journal</t>
  </si>
  <si>
    <t>PennWell Corporation</t>
  </si>
  <si>
    <t>0030-1388</t>
  </si>
  <si>
    <t>Duke Mathematical Journal</t>
  </si>
  <si>
    <t>Duke University Press</t>
  </si>
  <si>
    <t>0012-7094</t>
  </si>
  <si>
    <t>1974-1975, 1981-2013</t>
  </si>
  <si>
    <t>http://www.riss.kr/link?id=S14879</t>
  </si>
  <si>
    <t>Oil Gas European Magazine</t>
  </si>
  <si>
    <t>Urban-Verlag GmbH</t>
  </si>
  <si>
    <t>0342-5622</t>
  </si>
  <si>
    <t>Dynamical Systems</t>
  </si>
  <si>
    <t>1468-9367</t>
  </si>
  <si>
    <t>http://www.riss.kr/link?id=S405425</t>
  </si>
  <si>
    <t>On-Site : Canadas Construction Magazine</t>
  </si>
  <si>
    <t>Business Information Group</t>
  </si>
  <si>
    <t>1910-118X</t>
  </si>
  <si>
    <t>환경공학</t>
  </si>
  <si>
    <t>Ecological Research</t>
  </si>
  <si>
    <t>Wiley-Blackwell Publishing Asia</t>
  </si>
  <si>
    <t>0912-3814</t>
  </si>
  <si>
    <t>1986-1991, 1999-2019</t>
  </si>
  <si>
    <t>http://www.riss.kr/link?id=S15001</t>
  </si>
  <si>
    <t>Petrophysics</t>
  </si>
  <si>
    <t>Society of Petrophysicsts and Well Log Analysts</t>
  </si>
  <si>
    <t>1529-9074</t>
  </si>
  <si>
    <t>Ecology</t>
  </si>
  <si>
    <t>0012-9658</t>
  </si>
  <si>
    <t>1964, 1981-2013</t>
  </si>
  <si>
    <t>http://www.riss.kr/link?id=S16713</t>
  </si>
  <si>
    <t>Powder Diffraction</t>
  </si>
  <si>
    <t>0885-7156</t>
  </si>
  <si>
    <t>Economic Geology and the Bulletin of the Society of Economic Geologists</t>
  </si>
  <si>
    <t>Society of Economic Geologists, Inc.</t>
  </si>
  <si>
    <t>0361-0128</t>
  </si>
  <si>
    <t>1953, 1965, 1973-2014</t>
  </si>
  <si>
    <t>http://www.riss.kr/link?id=S16953</t>
  </si>
  <si>
    <t>Practice Periodical on Structural Design and Construction</t>
  </si>
  <si>
    <t>1084-0680</t>
  </si>
  <si>
    <t>ECS Solid State Letters</t>
  </si>
  <si>
    <t>2162-8742</t>
  </si>
  <si>
    <t>http://www.riss.kr/link?id=S143666</t>
  </si>
  <si>
    <t>Quantitative Infra Red Thermography Journal</t>
  </si>
  <si>
    <t>1768-6733</t>
  </si>
  <si>
    <t>El Croquis</t>
  </si>
  <si>
    <t>El Croquis Editorial</t>
  </si>
  <si>
    <t>0212-5633</t>
  </si>
  <si>
    <t>http://www.riss.kr/link?id=S7094</t>
  </si>
  <si>
    <t>Stainless Steel World</t>
  </si>
  <si>
    <t>K C I Publishing B.V.</t>
  </si>
  <si>
    <t>1383-7184</t>
  </si>
  <si>
    <t>Electric Power Components and Systems</t>
  </si>
  <si>
    <t>1532-5008</t>
  </si>
  <si>
    <t>http://www.riss.kr/link?id=S405708</t>
  </si>
  <si>
    <t>Transactions Canadian Society for Mechanical Engineers</t>
  </si>
  <si>
    <t>0315-8977</t>
  </si>
  <si>
    <t>Electrochemical and Solid-State Letters</t>
  </si>
  <si>
    <t>The Electrochemical Society</t>
  </si>
  <si>
    <t>1099-0062</t>
  </si>
  <si>
    <t>1998-2000, 2005-2012</t>
  </si>
  <si>
    <t>http://www.riss.kr/link?id=S29119</t>
  </si>
  <si>
    <t>ZKG International</t>
  </si>
  <si>
    <t>0949-0205</t>
  </si>
  <si>
    <t>Elements</t>
  </si>
  <si>
    <t>Mineralogical Association of Canada</t>
  </si>
  <si>
    <t>1811-5209</t>
  </si>
  <si>
    <t>2006-2015</t>
  </si>
  <si>
    <t>http://www.riss.kr/link?id=S31000325</t>
  </si>
  <si>
    <t>섬유기술과 산업</t>
  </si>
  <si>
    <t>1226-5160</t>
  </si>
  <si>
    <t>2020 과기 학회지</t>
  </si>
  <si>
    <t>EM</t>
  </si>
  <si>
    <t>Air &amp; Waste Management Association</t>
  </si>
  <si>
    <t>http://www.riss.kr/link?id=S60526</t>
  </si>
  <si>
    <t>한국섬유공학회지</t>
  </si>
  <si>
    <t>1225-1089</t>
  </si>
  <si>
    <t>Energy and Buildings</t>
  </si>
  <si>
    <t>0378-7788</t>
  </si>
  <si>
    <t>1981-1989</t>
  </si>
  <si>
    <t>http://www.riss.kr/link?id=S13463</t>
  </si>
  <si>
    <t>Fibers and Polymers</t>
  </si>
  <si>
    <t>1229-9197</t>
  </si>
  <si>
    <t>Engine Technology International</t>
  </si>
  <si>
    <t>UK &amp; International Press</t>
  </si>
  <si>
    <t>1460-9509</t>
  </si>
  <si>
    <t>http://www.riss.kr/link?id=S115377</t>
  </si>
  <si>
    <t>Journal of Plant Biology</t>
  </si>
  <si>
    <t>한국식물학회</t>
  </si>
  <si>
    <t>1226-9239</t>
  </si>
  <si>
    <t>Engineering Fracture Mechanics</t>
  </si>
  <si>
    <t>0013-7944</t>
  </si>
  <si>
    <t>1976, 1982-2004</t>
  </si>
  <si>
    <t>http://www.riss.kr/link?id=S16220</t>
  </si>
  <si>
    <t>약학회지</t>
  </si>
  <si>
    <t>대한약학회</t>
  </si>
  <si>
    <t>0377-9556</t>
  </si>
  <si>
    <t>2021 과기 학회지</t>
  </si>
  <si>
    <t>Engineering Journal</t>
  </si>
  <si>
    <t>American Institute of Steel Construction</t>
  </si>
  <si>
    <t>0013-8029</t>
  </si>
  <si>
    <t>2010-2012</t>
  </si>
  <si>
    <t>http://www.riss.kr/link?id=S13454</t>
  </si>
  <si>
    <t>Archives of Pharmacal Research</t>
  </si>
  <si>
    <t>0253-6269</t>
  </si>
  <si>
    <t>http://www.riss.kr/link?id=S13455</t>
  </si>
  <si>
    <t>Geosciences Journal</t>
  </si>
  <si>
    <t>대한지질학회</t>
  </si>
  <si>
    <t>1226-4806</t>
  </si>
  <si>
    <t>Engineering Studies</t>
  </si>
  <si>
    <t>1937-8629</t>
  </si>
  <si>
    <t>SCIE, SSCI, SCOPUS</t>
  </si>
  <si>
    <t>http://www.riss.kr/link?id=S90002399</t>
  </si>
  <si>
    <t>지질학회지(Journal of the Geological Society of Korea )</t>
  </si>
  <si>
    <t>0435-4036</t>
  </si>
  <si>
    <t>Environmental Health and Preventive Medicine</t>
  </si>
  <si>
    <t>Japanese Society for Hygiene</t>
  </si>
  <si>
    <t>1342-078X</t>
  </si>
  <si>
    <t>1996-2015</t>
  </si>
  <si>
    <t>http://www.riss.kr/link?id=S23513</t>
  </si>
  <si>
    <t>대한토목학회논문집(Journal of The Korean Society of Civil Engineers)</t>
  </si>
  <si>
    <t>대한토목학회</t>
  </si>
  <si>
    <t>1015-6348</t>
  </si>
  <si>
    <t>Environmental science &amp; Technology</t>
  </si>
  <si>
    <t>0013-936X</t>
  </si>
  <si>
    <t>1971-2004</t>
  </si>
  <si>
    <t>http://www.riss.kr/link?id=S14891</t>
  </si>
  <si>
    <t>대한토목학회지
 (자연과 문명의 조화)</t>
  </si>
  <si>
    <t>0494-481X</t>
  </si>
  <si>
    <t>ESAIM: Control, Optimisation and Calculus of Variations</t>
  </si>
  <si>
    <t>1292-8119</t>
  </si>
  <si>
    <t>http://www.riss.kr/link?id=S30007518</t>
  </si>
  <si>
    <t>KSCE Journal of Civil Engineering</t>
  </si>
  <si>
    <t>1226-7988</t>
  </si>
  <si>
    <t>European Journal of Control</t>
  </si>
  <si>
    <t>0947-3580</t>
  </si>
  <si>
    <t>http://www.riss.kr/link?id=S414391</t>
  </si>
  <si>
    <t>한국강구조학회 논문집</t>
  </si>
  <si>
    <t>한국강구조학회</t>
  </si>
  <si>
    <t>1226-363X</t>
  </si>
  <si>
    <t>European Journal of Glass science and Technology. Part A. Glass Technology</t>
  </si>
  <si>
    <t>Society of Glass Technology</t>
  </si>
  <si>
    <t>1753-3546</t>
  </si>
  <si>
    <t>http://www.riss.kr/link?id=S31011779</t>
  </si>
  <si>
    <t>한국강구조학회지</t>
  </si>
  <si>
    <t>1225-4312</t>
  </si>
  <si>
    <t>European Journal of Glass science and Techology. Part B. Physics and Chemistry of Glasses</t>
  </si>
  <si>
    <t>1753-3562</t>
  </si>
  <si>
    <t>2006-2007, 2011-2021</t>
  </si>
  <si>
    <t>http://www.riss.kr/link?id=S31014183</t>
  </si>
  <si>
    <t>International journal of steel structures</t>
  </si>
  <si>
    <t>1598-2351</t>
  </si>
  <si>
    <t>European Journal of Mass Spectrometry</t>
  </si>
  <si>
    <t>1469-0667</t>
  </si>
  <si>
    <t>http://www.riss.kr/link?id=S405428</t>
  </si>
  <si>
    <t>대기: 한국기상학회보</t>
  </si>
  <si>
    <t>한국기상학회</t>
  </si>
  <si>
    <t>1598-3560</t>
  </si>
  <si>
    <t>European Journal of Physics</t>
  </si>
  <si>
    <t>Institute of Physics Publishing Ltd.</t>
  </si>
  <si>
    <t>0143-0807</t>
  </si>
  <si>
    <t>http://www.riss.kr/link?id=S60840</t>
  </si>
  <si>
    <t>Asia-Pacific Journal of atmospheric sciences</t>
  </si>
  <si>
    <t>1976-7633</t>
  </si>
  <si>
    <t>Evaluation Engineering</t>
  </si>
  <si>
    <t>Endeavor Business Media</t>
  </si>
  <si>
    <t>0014-3316</t>
  </si>
  <si>
    <t>http://www.riss.kr/link?id=S401818</t>
  </si>
  <si>
    <t>로봇과 인간</t>
  </si>
  <si>
    <t>한국로봇학회</t>
  </si>
  <si>
    <t>1738-4796</t>
  </si>
  <si>
    <t>Experimental mechanics</t>
  </si>
  <si>
    <t>0014-4851</t>
  </si>
  <si>
    <t>http://www.riss.kr/link?id=S16206</t>
  </si>
  <si>
    <t>로봇학회 논문지</t>
  </si>
  <si>
    <t>1975-6291</t>
  </si>
  <si>
    <t>Experimental Techniques</t>
  </si>
  <si>
    <t>0732-8818</t>
  </si>
  <si>
    <t>1984-2004</t>
  </si>
  <si>
    <t>http://www.riss.kr/link?id=S14978</t>
  </si>
  <si>
    <t>Intelligent Service Robotics</t>
  </si>
  <si>
    <t>1861-2776</t>
  </si>
  <si>
    <t>Experiments in Fluids</t>
  </si>
  <si>
    <t>0723-4864</t>
  </si>
  <si>
    <t>1990-2021</t>
  </si>
  <si>
    <t>http://www.riss.kr/link?id=S20411</t>
  </si>
  <si>
    <t>Corrosion science and technology</t>
  </si>
  <si>
    <t>한국부식방식학회</t>
  </si>
  <si>
    <t>1598-6462</t>
  </si>
  <si>
    <t>일반과학</t>
  </si>
  <si>
    <t xml:space="preserve">Fashion Color (ファッションカラ-) </t>
  </si>
  <si>
    <t>日本色硏事業株式會社</t>
  </si>
  <si>
    <t>1983-1992, 1994-1995, 1997-2014</t>
  </si>
  <si>
    <t>http://www.riss.kr/link?id=S63720</t>
  </si>
  <si>
    <t>부식과 방식(Corrosion and Protection)</t>
  </si>
  <si>
    <t>1229-4829</t>
  </si>
  <si>
    <t>조선공학</t>
  </si>
  <si>
    <t>Fast Ferry International</t>
  </si>
  <si>
    <t>Fast Ferry Information Ltd.</t>
  </si>
  <si>
    <t>0954-3988</t>
  </si>
  <si>
    <t>http://www.riss.kr/link?id=S418434</t>
  </si>
  <si>
    <t>Metals and materials international</t>
  </si>
  <si>
    <t>1598-9623</t>
  </si>
  <si>
    <t>2008-2019</t>
  </si>
  <si>
    <t>http://www.riss.kr/link?id=S104991</t>
  </si>
  <si>
    <t>한국자원공학회지 
 (구 한국지구시스템공학회지)</t>
  </si>
  <si>
    <t>한국자원공학회</t>
  </si>
  <si>
    <t>2288-0291</t>
  </si>
  <si>
    <t>http://www.riss.kr/link?id=S28951</t>
  </si>
  <si>
    <t>Geosystem Engineering</t>
  </si>
  <si>
    <t>1226-9328</t>
  </si>
  <si>
    <t>Folia Pharmacologica Japonica</t>
  </si>
  <si>
    <t>Nihon Yakuri Gakkai Henshuubu</t>
  </si>
  <si>
    <t>0015-5691</t>
  </si>
  <si>
    <t>1998-2019</t>
  </si>
  <si>
    <t>http://www.riss.kr/link?id=S416807</t>
  </si>
  <si>
    <t>International journal of high-rise buildings</t>
  </si>
  <si>
    <t>한국초고층
 도시건축학회</t>
  </si>
  <si>
    <t>2234-7224</t>
  </si>
  <si>
    <t>Food Technology</t>
  </si>
  <si>
    <t>Institute of Food Technologists</t>
  </si>
  <si>
    <t>0015-6639</t>
  </si>
  <si>
    <t>1973-2013</t>
  </si>
  <si>
    <t>http://www.riss.kr/link?id=S15630</t>
  </si>
  <si>
    <t>피혁패션</t>
  </si>
  <si>
    <t>한국피혁산업정보센터</t>
  </si>
  <si>
    <t>L</t>
  </si>
  <si>
    <t>2021 국내 학술지</t>
  </si>
  <si>
    <t>Forest Products Journal</t>
  </si>
  <si>
    <t>Forest Products Society</t>
  </si>
  <si>
    <t>0015-7473</t>
  </si>
  <si>
    <t>http://www.riss.kr/link?id=S38401</t>
  </si>
  <si>
    <t>한국 스켑틱</t>
  </si>
  <si>
    <t>학교도서관저널</t>
  </si>
  <si>
    <t>2383-9848</t>
  </si>
  <si>
    <t>Foundations of Physics</t>
  </si>
  <si>
    <t>0015-9018</t>
  </si>
  <si>
    <t>http://www.riss.kr/link?id=S17318</t>
  </si>
  <si>
    <t>환경과조경</t>
  </si>
  <si>
    <t>환경&amp;조경</t>
  </si>
  <si>
    <t>1227-2663</t>
  </si>
  <si>
    <t>Fullerenes, Nanotubes, and Carbon Nanostructures</t>
  </si>
  <si>
    <t>2011-2017</t>
  </si>
  <si>
    <t>http://www.riss.kr/link?id=S20010150</t>
  </si>
  <si>
    <t>킨포크</t>
  </si>
  <si>
    <t>디자인이음</t>
  </si>
  <si>
    <t>2508-2019</t>
  </si>
  <si>
    <t>GA Document</t>
  </si>
  <si>
    <t>A.D.A. Edita</t>
  </si>
  <si>
    <t>0389-0066</t>
  </si>
  <si>
    <t>http://www.riss.kr/link?id=S36561</t>
  </si>
  <si>
    <t>프레스기술</t>
  </si>
  <si>
    <t>기술정보</t>
  </si>
  <si>
    <t>1227-5042</t>
  </si>
  <si>
    <t>Pequot Publishing, Inc.</t>
  </si>
  <si>
    <t>http://www.riss.kr/link?id=S412775</t>
  </si>
  <si>
    <t>Advanced Science Engineering and Medicine</t>
  </si>
  <si>
    <t>2021 과기 서양</t>
  </si>
  <si>
    <t>Gefahrstoffe - Reinhaltung der Luft</t>
  </si>
  <si>
    <t>0949-8036</t>
  </si>
  <si>
    <t>http://www.riss.kr/link?id=S414544</t>
  </si>
  <si>
    <t>Journal of the ACM</t>
  </si>
  <si>
    <t>ACM : Association for Computing Machinery</t>
  </si>
  <si>
    <t>0004-5411</t>
  </si>
  <si>
    <t>Genetic Technology News</t>
  </si>
  <si>
    <t>Frost &amp; Sullivan</t>
  </si>
  <si>
    <t>0272-9032</t>
  </si>
  <si>
    <t>1992-2001, 2003-2007, 2009-2015</t>
  </si>
  <si>
    <t>http://www.riss.kr/link?id=S16699</t>
  </si>
  <si>
    <t>Lasers in Engineering</t>
  </si>
  <si>
    <t>Old City Publishing Inc</t>
  </si>
  <si>
    <t>0898-1507</t>
  </si>
  <si>
    <t>Genetical Research</t>
  </si>
  <si>
    <t>0016-6723</t>
  </si>
  <si>
    <t>1963-2012</t>
  </si>
  <si>
    <t>http://www.riss.kr/link?id=S16697</t>
  </si>
  <si>
    <t>Measurement and Control</t>
  </si>
  <si>
    <t>SAGE Publications</t>
  </si>
  <si>
    <t>0020-2940</t>
  </si>
  <si>
    <t>Genetics</t>
  </si>
  <si>
    <t>Genetics Society of America</t>
  </si>
  <si>
    <t>0016-6731</t>
  </si>
  <si>
    <t>1979-2010</t>
  </si>
  <si>
    <t>http://www.riss.kr/link?id=S31700</t>
  </si>
  <si>
    <t>Polymer Reviews</t>
  </si>
  <si>
    <t>1558-3724</t>
  </si>
  <si>
    <t>Genome Research</t>
  </si>
  <si>
    <t>Cold Spring Harbor Laboratory Press</t>
  </si>
  <si>
    <t>1088-9051</t>
  </si>
  <si>
    <t>2016, 2019-2021</t>
  </si>
  <si>
    <t>http://www.riss.kr/link?id=S23469</t>
  </si>
  <si>
    <t>Structural and multidisciplinary optimization</t>
  </si>
  <si>
    <t>1615-147X</t>
  </si>
  <si>
    <t>Geocarto International</t>
  </si>
  <si>
    <t>1010-6049</t>
  </si>
  <si>
    <t>http://www.riss.kr/link?id=S11575031</t>
  </si>
  <si>
    <t>Wallpaper</t>
  </si>
  <si>
    <t>IPC Media</t>
  </si>
  <si>
    <t>1364-4475</t>
  </si>
  <si>
    <t>Geological Society of America Bulletin</t>
  </si>
  <si>
    <t>Geological Society of America</t>
  </si>
  <si>
    <t>0016-7606</t>
  </si>
  <si>
    <t>1951, 1965-1968, 1970-2004, 2010-2014</t>
  </si>
  <si>
    <t>http://www.riss.kr/link?id=S16941</t>
  </si>
  <si>
    <t>What Car</t>
  </si>
  <si>
    <t>0307-2991</t>
  </si>
  <si>
    <t>Geophysics</t>
  </si>
  <si>
    <t>Society of Exploration Geophysicists</t>
  </si>
  <si>
    <t>0016-8033</t>
  </si>
  <si>
    <t>http://www.riss.kr/link?id=S29847</t>
  </si>
  <si>
    <t>Asia Pafic Broadcast Union</t>
  </si>
  <si>
    <t>Geosynthetics</t>
  </si>
  <si>
    <t>Industrial Fabrics Association International</t>
  </si>
  <si>
    <t>1931-8189</t>
  </si>
  <si>
    <t>2017-2021</t>
  </si>
  <si>
    <t>http://www.riss.kr/link?id=S85559</t>
  </si>
  <si>
    <t>Global Science Press</t>
  </si>
  <si>
    <t>Southeast Asian Society of Soil Engineering</t>
  </si>
  <si>
    <t>http://www.riss.kr/link?id=S48034</t>
  </si>
  <si>
    <t>Johns Hopkins University Press</t>
  </si>
  <si>
    <t>American Society for Testing and Materials International</t>
  </si>
  <si>
    <t>2017-2018</t>
  </si>
  <si>
    <t>http://www.riss.kr/link?id=S16196</t>
  </si>
  <si>
    <t>Bauer Consumer Media ltd</t>
  </si>
  <si>
    <t>Geotechnique</t>
  </si>
  <si>
    <t>0016-8505</t>
  </si>
  <si>
    <t>1950-1952, 1954-1959, 1970-2021</t>
  </si>
  <si>
    <t>http://www.riss.kr/link?id=S92049</t>
  </si>
  <si>
    <t>Glass Technology</t>
  </si>
  <si>
    <t>0017-1050</t>
  </si>
  <si>
    <t>1982-2009, 2012, 2013</t>
  </si>
  <si>
    <t>http://www.riss.kr/link?id=S15628</t>
  </si>
  <si>
    <t>Indiana University Mathematics Journal</t>
  </si>
  <si>
    <t>Indiana University Department of Mathematics</t>
  </si>
  <si>
    <t>0022-2518</t>
  </si>
  <si>
    <t>Foundation Publications</t>
  </si>
  <si>
    <t>http://www.riss.kr/link?id=S31157</t>
  </si>
  <si>
    <t>Journal of Strain Analysis for Engineering Design</t>
  </si>
  <si>
    <t>0309-3247</t>
  </si>
  <si>
    <t>Heat Transfer Engineering</t>
  </si>
  <si>
    <t>0145-7632</t>
  </si>
  <si>
    <t>http://www.riss.kr/link?id=S16191</t>
  </si>
  <si>
    <t>Journal of the British Interplanetary Society</t>
  </si>
  <si>
    <t>Heat Transfer Research</t>
  </si>
  <si>
    <t>1064-2285</t>
  </si>
  <si>
    <t>http://www.riss.kr/link?id=S11926</t>
  </si>
  <si>
    <t>Phase Transitions</t>
  </si>
  <si>
    <t>0141-1594</t>
  </si>
  <si>
    <t>High Performance Polymers</t>
  </si>
  <si>
    <t>0954-0083</t>
  </si>
  <si>
    <t>http://www.riss.kr/link?id=S11574028</t>
  </si>
  <si>
    <t>Powder Injection Moulding International</t>
  </si>
  <si>
    <t>Inovar Communications Ltd</t>
  </si>
  <si>
    <t>1753-1497</t>
  </si>
  <si>
    <t>http://www.riss.kr/link?id=S403172</t>
  </si>
  <si>
    <t>Racecar Engineering</t>
  </si>
  <si>
    <t>Chelsea Magazine Company Ltd</t>
  </si>
  <si>
    <t>0961-1096</t>
  </si>
  <si>
    <t>http://www.riss.kr/link?id=S401504</t>
  </si>
  <si>
    <t>Seaways</t>
  </si>
  <si>
    <t>Nautical Institute</t>
  </si>
  <si>
    <t>0144-1019</t>
  </si>
  <si>
    <t>Houston Journal of Mathematics</t>
  </si>
  <si>
    <t>University of Houston * Department of Mathematics</t>
  </si>
  <si>
    <t>0362-1588</t>
  </si>
  <si>
    <t>http://www.riss.kr/link?id=S17531</t>
  </si>
  <si>
    <t>Topos : The International Review od Landscape Architecture and Urban Design</t>
  </si>
  <si>
    <t>Callwey Verlag</t>
  </si>
  <si>
    <t>0942-752X</t>
  </si>
  <si>
    <t>Human Ecology</t>
  </si>
  <si>
    <t>0300-7839</t>
  </si>
  <si>
    <t>http://www.riss.kr/link?id=S21270</t>
  </si>
  <si>
    <t>Transmission Digest</t>
  </si>
  <si>
    <t>MD PUBLICATIONS</t>
  </si>
  <si>
    <t>0277-8300</t>
  </si>
  <si>
    <t>Human Heredity</t>
  </si>
  <si>
    <t>S. Karger AG</t>
  </si>
  <si>
    <t>0001-5652</t>
  </si>
  <si>
    <t>2005, 2007-2012</t>
  </si>
  <si>
    <t>http://www.riss.kr/link?id=S16688</t>
  </si>
  <si>
    <t>食品と科学</t>
  </si>
  <si>
    <t>食品と科学社</t>
  </si>
  <si>
    <t>0037-4105</t>
  </si>
  <si>
    <t>2021 과기 동양</t>
  </si>
  <si>
    <t>http://www.riss.kr/link?id=S16189</t>
  </si>
  <si>
    <t>栄養と料理</t>
  </si>
  <si>
    <t>女子栄養大学出版部</t>
  </si>
  <si>
    <t>Peter Hoffmann</t>
  </si>
  <si>
    <t>http://www.riss.kr/link?id=S115378</t>
  </si>
  <si>
    <t>Mode et Mode</t>
  </si>
  <si>
    <t>モ-ド・エ・モ-ド社</t>
  </si>
  <si>
    <t>IEEE Transactions on Neural Networks</t>
  </si>
  <si>
    <t>Institute of Electrical and Electronics Engineers</t>
  </si>
  <si>
    <t>1045-9227</t>
  </si>
  <si>
    <t>http://www.riss.kr/link?id=S21143</t>
  </si>
  <si>
    <t>農業気象</t>
  </si>
  <si>
    <t>日本農業気象学会</t>
  </si>
  <si>
    <t>0021-8588</t>
  </si>
  <si>
    <t>IEEE Transactions on Power Delivery</t>
  </si>
  <si>
    <t>0885-8977</t>
  </si>
  <si>
    <t>1991, 1995-1999, 2003</t>
  </si>
  <si>
    <t>http://www.riss.kr/link?id=S16119</t>
  </si>
  <si>
    <t>保健の科学</t>
  </si>
  <si>
    <t>杏林書院</t>
  </si>
  <si>
    <t>0018-3342</t>
  </si>
  <si>
    <t>IEEE Transactions on Signal Processing</t>
  </si>
  <si>
    <t>1053-587X</t>
  </si>
  <si>
    <t>1984-1993, 1995-2001</t>
  </si>
  <si>
    <t>http://www.riss.kr/link?id=S20867</t>
  </si>
  <si>
    <t>日本菌学会会報 (和文誌)</t>
  </si>
  <si>
    <t>日本菌学会</t>
  </si>
  <si>
    <t>0029-0289</t>
  </si>
  <si>
    <t>IET Nanobiotechnology</t>
  </si>
  <si>
    <t>The Institution of Engineering and Technology</t>
  </si>
  <si>
    <t>1751-8741</t>
  </si>
  <si>
    <t>http://www.riss.kr/link?id=S31016059</t>
  </si>
  <si>
    <t>日本海事協会会誌</t>
  </si>
  <si>
    <t>日本海事協会</t>
  </si>
  <si>
    <t>0287-0274</t>
  </si>
  <si>
    <t>군사학</t>
  </si>
  <si>
    <t>IHS Jane's Missiles and Rockets</t>
  </si>
  <si>
    <t>Jane's by I H S Markit</t>
  </si>
  <si>
    <t>2048-3473</t>
  </si>
  <si>
    <t>http://www.riss.kr/link?id=S115381</t>
  </si>
  <si>
    <t>日本薬理学雑誌 (くすりとからだ)</t>
  </si>
  <si>
    <t>日本薬理学会</t>
  </si>
  <si>
    <t>1347-8397</t>
  </si>
  <si>
    <t>IIE Transactions</t>
  </si>
  <si>
    <t>Institute of Industrial Engineers</t>
  </si>
  <si>
    <t>2472-5854</t>
  </si>
  <si>
    <t>1982-2021</t>
  </si>
  <si>
    <t>http://www.riss.kr/link?id=S15740</t>
  </si>
  <si>
    <t>資原地質</t>
  </si>
  <si>
    <t>資源地質学会</t>
  </si>
  <si>
    <t>0918-2454</t>
  </si>
  <si>
    <t>3A</t>
  </si>
  <si>
    <t>Illinois Journal of Mathematics</t>
  </si>
  <si>
    <t>0019-2082</t>
  </si>
  <si>
    <t>http://www.riss.kr/link?id=S17530</t>
  </si>
  <si>
    <t>電気学会誌</t>
  </si>
  <si>
    <t>1340-5551</t>
  </si>
  <si>
    <t>IMA Journal of Mathematical Control &amp; Information</t>
  </si>
  <si>
    <t>0265-0754</t>
  </si>
  <si>
    <t>http://www.riss.kr/link?id=S103354</t>
  </si>
  <si>
    <t>天気</t>
  </si>
  <si>
    <t>0546-0921</t>
  </si>
  <si>
    <t>Indian Journal of Engineering and Materials sciences</t>
  </si>
  <si>
    <t>National Institute of Science Communication and Information Resources</t>
  </si>
  <si>
    <t>0971-4588</t>
  </si>
  <si>
    <t>http://www.riss.kr/link?id=S11574592</t>
  </si>
  <si>
    <t>2021 FRIC 서양</t>
  </si>
  <si>
    <t>Indian Journal of Fibre &amp; Textile Research</t>
  </si>
  <si>
    <t>0971-0426</t>
  </si>
  <si>
    <t>http://www.riss.kr/link?id=S11574570</t>
  </si>
  <si>
    <t>Proceedings of the Institution of Civil Engineers - Civil Engineering</t>
  </si>
  <si>
    <t>0965-089X</t>
  </si>
  <si>
    <t>Indiana University * Department of Mathematics</t>
  </si>
  <si>
    <t>1981, 1983-2020</t>
  </si>
  <si>
    <t>http://www.riss.kr/link?id=S17525</t>
  </si>
  <si>
    <t>Proceedings of the Institution of Civil Engineers - Municipal Engineer</t>
  </si>
  <si>
    <t>0965-0903</t>
  </si>
  <si>
    <t>Industrial &amp; Engineering Chemistry Research</t>
  </si>
  <si>
    <t>0888-5885</t>
  </si>
  <si>
    <t>1987-2021</t>
  </si>
  <si>
    <t>http://www.riss.kr/link?id=S29360</t>
  </si>
  <si>
    <t>Proceedings of the Institution of Civil Engineers - Structures &amp; Buildings</t>
  </si>
  <si>
    <t>0965-0911</t>
  </si>
  <si>
    <t>Industrial Ceramics</t>
  </si>
  <si>
    <t>Techna Group</t>
  </si>
  <si>
    <t>1121-7588</t>
  </si>
  <si>
    <t>http://www.riss.kr/link?id=S30004950</t>
  </si>
  <si>
    <t>Proceedings of the Institution of Civil Engineers - Transport</t>
  </si>
  <si>
    <t>0965-092X</t>
  </si>
  <si>
    <t>Industrial Lubrication &amp; Tribology</t>
  </si>
  <si>
    <t>0036-8792</t>
  </si>
  <si>
    <t>http://www.riss.kr/link?id=S408115</t>
  </si>
  <si>
    <t>Proceedings of the Institution of Civil Engineers - Water Management</t>
  </si>
  <si>
    <t>1741-7589</t>
  </si>
  <si>
    <t>Informacije MIDEM</t>
  </si>
  <si>
    <t>Strokovno Drustvo za Mikroelektroniko, Elektronske Sestavne Dele in Materiale (MIDEM)</t>
  </si>
  <si>
    <t>http://www.riss.kr/link?id=S411436</t>
  </si>
  <si>
    <t>Sea Technology</t>
  </si>
  <si>
    <t>Compass Publications</t>
  </si>
  <si>
    <t>0093-3651</t>
  </si>
  <si>
    <t>Ingenieria Hidraulica en Mexico</t>
  </si>
  <si>
    <t>Instituto Mexicano de Tecnologia del Agua</t>
  </si>
  <si>
    <t>0186-4076</t>
  </si>
  <si>
    <t>http://www.riss.kr/link?id=S115379</t>
  </si>
  <si>
    <t>Rotor &amp; Wing</t>
  </si>
  <si>
    <t>Access Intelligence</t>
  </si>
  <si>
    <t>1066-8098</t>
  </si>
  <si>
    <t>Insight (Northampton)</t>
  </si>
  <si>
    <t>British Institute of Non-Destructive Testing</t>
  </si>
  <si>
    <t>1354-2575</t>
  </si>
  <si>
    <t>http://www.riss.kr/link?id=S404178</t>
  </si>
  <si>
    <t>Journal of Aerospace Engineering</t>
  </si>
  <si>
    <t>0893-1321</t>
  </si>
  <si>
    <t>Instituto Mexicano de Tecnologia dele Agua. Tablas de Contenido</t>
  </si>
  <si>
    <t>0187-8336</t>
  </si>
  <si>
    <t>2011-2015</t>
  </si>
  <si>
    <t>http://www.riss.kr/link?id=S143934</t>
  </si>
  <si>
    <t>Journal of Sandwich Structures &amp; Materials</t>
  </si>
  <si>
    <t>1099-6362</t>
  </si>
  <si>
    <t>Instrumentation science &amp; Technology</t>
  </si>
  <si>
    <t>Marcel Dekker</t>
  </si>
  <si>
    <t>1073-9149</t>
  </si>
  <si>
    <t>http://www.riss.kr/link?id=S418665</t>
  </si>
  <si>
    <t>Journal of Transportation Engineering, Part A: Systems</t>
  </si>
  <si>
    <t>2473-2907</t>
  </si>
  <si>
    <t>Intelligent Automation and Soft Computing</t>
  </si>
  <si>
    <t>http://www.riss.kr/link?id=S402827</t>
  </si>
  <si>
    <t>Mining, Metallurgy &amp; Exploration (MME)</t>
  </si>
  <si>
    <t>2524-3462</t>
  </si>
  <si>
    <t>Interfaces</t>
  </si>
  <si>
    <t>Institute for Operations Research and the Management sciences</t>
  </si>
  <si>
    <t>0092-2102</t>
  </si>
  <si>
    <t>1975-1980</t>
  </si>
  <si>
    <t>http://www.riss.kr/link?id=S15737</t>
  </si>
  <si>
    <t>Nondestructive Testing and Evaluation</t>
  </si>
  <si>
    <t>1058-9759</t>
  </si>
  <si>
    <t>International Journal of Applied Ceramic Technology</t>
  </si>
  <si>
    <t>Wiley-Blackwell Publishing, Inc.</t>
  </si>
  <si>
    <t>1546-542X</t>
  </si>
  <si>
    <t>2005-2009</t>
  </si>
  <si>
    <t>http://www.riss.kr/link?id=S30006261</t>
  </si>
  <si>
    <t>Progress in Rubber, Plastics and Recycling Technology</t>
  </si>
  <si>
    <t>Smithers Rapra</t>
  </si>
  <si>
    <t>1477-7606</t>
  </si>
  <si>
    <t>International Journal of Clothing science and Technology</t>
  </si>
  <si>
    <t>0955-6222</t>
  </si>
  <si>
    <t>http://www.riss.kr/link?id=S30006757</t>
  </si>
  <si>
    <t>Journal of Engineering Design</t>
  </si>
  <si>
    <t>0954-4828</t>
  </si>
  <si>
    <t>International Journal of Computational Fluid Dynamics</t>
  </si>
  <si>
    <t>1061-8562</t>
  </si>
  <si>
    <t>http://www.riss.kr/link?id=S402265</t>
  </si>
  <si>
    <t>Journal of Vacuum Science and Technology A</t>
  </si>
  <si>
    <t>AVS-Science &amp; Technology Soc</t>
  </si>
  <si>
    <t>0734-2101</t>
  </si>
  <si>
    <t>International Journal of Computer Integrated Manufacturing</t>
  </si>
  <si>
    <t>0951-192X</t>
  </si>
  <si>
    <t>1991-2004, 2010, 2011</t>
  </si>
  <si>
    <t>http://www.riss.kr/link?id=S42441</t>
  </si>
  <si>
    <t>Journal of Vacuum Science and Technology B</t>
  </si>
  <si>
    <t>2166-2746</t>
  </si>
  <si>
    <t>International Journal of Computer Vision</t>
  </si>
  <si>
    <t>0920-5691</t>
  </si>
  <si>
    <t>1991-1993, 1995-2013</t>
  </si>
  <si>
    <t>http://www.riss.kr/link?id=S64816</t>
  </si>
  <si>
    <t>Mechanics Based Design of Structures and Machines</t>
  </si>
  <si>
    <t>1539-7734</t>
  </si>
  <si>
    <t>International Journal of Control</t>
  </si>
  <si>
    <t>0020-7179</t>
  </si>
  <si>
    <t>1984-1993, 1995-2021</t>
  </si>
  <si>
    <t>http://www.riss.kr/link?id=S11644049</t>
  </si>
  <si>
    <t>Nanoscience and Nanotechnology Letters</t>
  </si>
  <si>
    <t>1941-4900</t>
  </si>
  <si>
    <t>International Journal of Crashworthiness</t>
  </si>
  <si>
    <t>1358-8265</t>
  </si>
  <si>
    <t>http://www.riss.kr/link?id=S404348</t>
  </si>
  <si>
    <t>日本建築学会計画系論文集</t>
  </si>
  <si>
    <t>日本建築学会</t>
  </si>
  <si>
    <t>1340-4210</t>
  </si>
  <si>
    <t>2021 FRIC 동양</t>
  </si>
  <si>
    <t>International Journal of Damage Mechanics</t>
  </si>
  <si>
    <t>1056-7895</t>
  </si>
  <si>
    <t>http://www.riss.kr/link?id=S402120</t>
  </si>
  <si>
    <t>日本建築学会構造系論文集</t>
  </si>
  <si>
    <t>1340-4202</t>
  </si>
  <si>
    <t>International Journal of Engine Research</t>
  </si>
  <si>
    <t>1468-0874</t>
  </si>
  <si>
    <t>http://www.riss.kr/link?id=S405412</t>
  </si>
  <si>
    <t>日本建築学会環境系論文集</t>
  </si>
  <si>
    <t>1348-0685</t>
  </si>
  <si>
    <t>International Journal of Flexible Manufacturing Systems</t>
  </si>
  <si>
    <t>Kluwer Academic Publishers</t>
  </si>
  <si>
    <t>0920-6299</t>
  </si>
  <si>
    <t>1996-2007</t>
  </si>
  <si>
    <t>http://www.riss.kr/link?id=S21836</t>
  </si>
  <si>
    <t>地盤工学会誌 :土と基礎</t>
  </si>
  <si>
    <t>地盤工学会</t>
  </si>
  <si>
    <t>1882-7276</t>
  </si>
  <si>
    <t>1980-2008, 2010-2017</t>
  </si>
  <si>
    <t>http://www.riss.kr/link?id=S16097</t>
  </si>
  <si>
    <t>Soils and Foundations</t>
  </si>
  <si>
    <t>0038-0806</t>
  </si>
  <si>
    <t>International Journal of Geographical Information science</t>
  </si>
  <si>
    <t>1365-8816</t>
  </si>
  <si>
    <t>http://www.riss.kr/link?id=S14551</t>
  </si>
  <si>
    <t>建築と社會</t>
  </si>
  <si>
    <t>日本建築協會</t>
  </si>
  <si>
    <t>0912-8182</t>
  </si>
  <si>
    <t>http://www.riss.kr/link?id=S418684</t>
  </si>
  <si>
    <t>建築と積算</t>
  </si>
  <si>
    <t>日本建築積算協会</t>
  </si>
  <si>
    <t>0389-9721</t>
  </si>
  <si>
    <t>International Journal of Humanoid Robotics</t>
  </si>
  <si>
    <t>World Scientific Publishing Co. Pte. Ltd.</t>
  </si>
  <si>
    <t>0219-8436</t>
  </si>
  <si>
    <t>http://www.riss.kr/link?id=S31000353</t>
  </si>
  <si>
    <t>建築設備と配管工事</t>
  </si>
  <si>
    <t>日本工業出版</t>
  </si>
  <si>
    <t>0385-9851</t>
  </si>
  <si>
    <t>International Journal of Innovative Computing, Information and Control</t>
  </si>
  <si>
    <t>I C I C International</t>
  </si>
  <si>
    <t>1349-4198</t>
  </si>
  <si>
    <t>http://www.riss.kr/link?id=S104848</t>
  </si>
  <si>
    <t>機械と工具</t>
  </si>
  <si>
    <t>0387-1053</t>
  </si>
  <si>
    <t>International Journal of Materials and Product Technology</t>
  </si>
  <si>
    <t xml:space="preserve">Inderscience Publishers </t>
  </si>
  <si>
    <t>0268-1900</t>
  </si>
  <si>
    <t>http://www.riss.kr/link?id=S410183</t>
  </si>
  <si>
    <t>機械の研究</t>
  </si>
  <si>
    <t>養賢堂</t>
  </si>
  <si>
    <t>0368-5713</t>
  </si>
  <si>
    <t>http://www.riss.kr/link?id=S31027196</t>
  </si>
  <si>
    <t>機械技術</t>
  </si>
  <si>
    <t>日刊工業新聞社</t>
  </si>
  <si>
    <t>0451-9396</t>
  </si>
  <si>
    <t>http://www.riss.kr/link?id=S31010133</t>
  </si>
  <si>
    <t>基礎工</t>
  </si>
  <si>
    <t>総合土木研究所</t>
  </si>
  <si>
    <t>0285-5356</t>
  </si>
  <si>
    <t>International Journal of Metalcasting</t>
  </si>
  <si>
    <t>American Foundry Society</t>
  </si>
  <si>
    <t>1939-5981</t>
  </si>
  <si>
    <t>http://www.riss.kr/link?id=S31031955</t>
  </si>
  <si>
    <t>水道協會雜誌</t>
  </si>
  <si>
    <t>日本水道協會</t>
  </si>
  <si>
    <t>0371-0785</t>
  </si>
  <si>
    <t>http://www.riss.kr/link?id=S31011616</t>
  </si>
  <si>
    <t>熱處理</t>
  </si>
  <si>
    <t>日本熱處理技術協會</t>
  </si>
  <si>
    <t>0288-0490</t>
  </si>
  <si>
    <t>International Journal of Nanotechnology</t>
  </si>
  <si>
    <t>1475-7435</t>
  </si>
  <si>
    <t>http://www.riss.kr/link?id=S30000638</t>
  </si>
  <si>
    <t>日本材料強度学会誌</t>
  </si>
  <si>
    <t>日本材料強度学会</t>
  </si>
  <si>
    <t>0286-4010</t>
  </si>
  <si>
    <t>International Journal of Offshore and Polar Engineering</t>
  </si>
  <si>
    <t>International Society of Offshore and Polar Engineers</t>
  </si>
  <si>
    <t>1053-5381</t>
  </si>
  <si>
    <t>http://www.riss.kr/link?id=S20374</t>
  </si>
  <si>
    <t>下水道</t>
  </si>
  <si>
    <t>環境新聞社</t>
  </si>
  <si>
    <t>0387-6926</t>
  </si>
  <si>
    <t>http://www.riss.kr/link?id=S31019599</t>
  </si>
  <si>
    <t>航空技術</t>
  </si>
  <si>
    <t>日本航空技術協会</t>
  </si>
  <si>
    <t>0023-284X</t>
  </si>
  <si>
    <t>International Journal of Polymer Analysis and Characterization</t>
  </si>
  <si>
    <t>1023-666X</t>
  </si>
  <si>
    <t>http://www.riss.kr/link?id=S401790</t>
  </si>
  <si>
    <t>航空情報 / 月刊</t>
  </si>
  <si>
    <t>酣燈社</t>
  </si>
  <si>
    <t>0450-6669</t>
  </si>
  <si>
    <t>International Journal of Powder Metallurgy</t>
  </si>
  <si>
    <t>A P M I International</t>
  </si>
  <si>
    <t>0888-7462</t>
  </si>
  <si>
    <t>http://www.riss.kr/link?id=S61420</t>
  </si>
  <si>
    <t>化学装置</t>
  </si>
  <si>
    <t>(株)工業通信</t>
  </si>
  <si>
    <t>0368-4849</t>
  </si>
  <si>
    <t>International Journal of R F Technologies</t>
  </si>
  <si>
    <t>2010-2015, 2019</t>
  </si>
  <si>
    <t>ESCI</t>
  </si>
  <si>
    <t>http://www.riss.kr/link?id=S90001056</t>
  </si>
  <si>
    <t>Cement &amp; Concrete</t>
  </si>
  <si>
    <t>セメント協会</t>
  </si>
  <si>
    <t>0371-0718</t>
  </si>
  <si>
    <t>International Journal of Refrigeration</t>
  </si>
  <si>
    <t>0140-7007</t>
  </si>
  <si>
    <t>1991-1993, 1995-2004</t>
  </si>
  <si>
    <t>http://www.riss.kr/link?id=S60845</t>
  </si>
  <si>
    <t>Japanese Society of Steel Construction</t>
  </si>
  <si>
    <t>日本鋼構造協会</t>
  </si>
  <si>
    <t>0389-9020</t>
  </si>
  <si>
    <t>International Journal of Robotics and Automation</t>
  </si>
  <si>
    <t>ACTA Press</t>
  </si>
  <si>
    <t>0826-8185</t>
  </si>
  <si>
    <t>http://www.riss.kr/link?id=S90008279</t>
  </si>
  <si>
    <t>Journal of Mineralogical Petrological Sciences</t>
  </si>
  <si>
    <t>日本岩石鉱物鉱床学会</t>
  </si>
  <si>
    <t>1345-6296</t>
  </si>
  <si>
    <t>2011, 2013-2018</t>
  </si>
  <si>
    <t>http://www.riss.kr/link?id=S16091</t>
  </si>
  <si>
    <t>Science and Technology of Energetic Materials (+ Explosion) (Fer:火藥學會誌)</t>
  </si>
  <si>
    <t>日本火藥學會</t>
  </si>
  <si>
    <t>1347-9466</t>
  </si>
  <si>
    <t>International Journal of science Education</t>
  </si>
  <si>
    <t>2016-2018</t>
  </si>
  <si>
    <t>http://www.riss.kr/link?id=S21281</t>
  </si>
  <si>
    <t>フル-ドパワ-システム(日本油空壓學會誌)</t>
  </si>
  <si>
    <t>日本油空壓學會</t>
  </si>
  <si>
    <t>1346-7719</t>
  </si>
  <si>
    <t>International Journal of science Education. Part B: Communication and Public Engagement</t>
  </si>
  <si>
    <t>2154-8455</t>
  </si>
  <si>
    <t>http://www.riss.kr/link?id=S136637</t>
  </si>
  <si>
    <t>マリン・エンジニア(The Marine Engineer)</t>
  </si>
  <si>
    <t>日本船舶機関士協会</t>
  </si>
  <si>
    <t>0287-203X</t>
  </si>
  <si>
    <t>International Journal of Structural Stability and Dynamics (IJSSD)</t>
  </si>
  <si>
    <t>0219-4554</t>
  </si>
  <si>
    <t>http://www.riss.kr/link?id=S103860</t>
  </si>
  <si>
    <t>ラバ-インダストリ (The Rubber Industries)</t>
  </si>
  <si>
    <t>ポスティコ-ポレ-ション</t>
  </si>
  <si>
    <t>International Journal of Systems science</t>
  </si>
  <si>
    <t>0020-7721</t>
  </si>
  <si>
    <t>2011-2014</t>
  </si>
  <si>
    <t>http://www.riss.kr/link?id=S407942</t>
  </si>
  <si>
    <t>International Journal of Technology Management</t>
  </si>
  <si>
    <t>0267-5730</t>
  </si>
  <si>
    <t>SCIE, SSCI</t>
  </si>
  <si>
    <t>http://www.riss.kr/link?id=S410059</t>
  </si>
  <si>
    <t>International Journal of Turbo and Jet Engines</t>
  </si>
  <si>
    <t>0334-0082</t>
  </si>
  <si>
    <t>http://www.riss.kr/link?id=S401473</t>
  </si>
  <si>
    <t>International Journal of Vehicle Design</t>
  </si>
  <si>
    <t>0143-3369</t>
  </si>
  <si>
    <t>http://www.riss.kr/link?id=S24614</t>
  </si>
  <si>
    <t>International Journal of Ventilation</t>
  </si>
  <si>
    <t>1473-3315</t>
  </si>
  <si>
    <t>http://www.riss.kr/link?id=S20011127</t>
  </si>
  <si>
    <t>International Journal of Water Resources Development</t>
  </si>
  <si>
    <t>0790-0627</t>
  </si>
  <si>
    <t>http://www.riss.kr/link?id=S413557</t>
  </si>
  <si>
    <t>International Materials Reviews</t>
  </si>
  <si>
    <t>0950-6608</t>
  </si>
  <si>
    <t>1984-1993, 1995-2004, 2011-2021</t>
  </si>
  <si>
    <t>http://www.riss.kr/link?id=S28236</t>
  </si>
  <si>
    <t>International Shipbuilding Progress</t>
  </si>
  <si>
    <t>0020-868X</t>
  </si>
  <si>
    <t>1996-2004</t>
  </si>
  <si>
    <t>http://www.riss.kr/link?id=S16089</t>
  </si>
  <si>
    <t>Inverse Problems in science and Engineering</t>
  </si>
  <si>
    <t>1741-5977</t>
  </si>
  <si>
    <t>http://www.riss.kr/link?id=S20022179</t>
  </si>
  <si>
    <t>Israel Journal of Mathematics</t>
  </si>
  <si>
    <t>Magnes Press</t>
  </si>
  <si>
    <t>0021-2172</t>
  </si>
  <si>
    <t>1984-1993, 1995-2013</t>
  </si>
  <si>
    <t>http://www.riss.kr/link?id=S17518</t>
  </si>
  <si>
    <t>Japanese Journal of Applied Physics</t>
  </si>
  <si>
    <t>0021-4922</t>
  </si>
  <si>
    <t>1970-1971, 1981-2021</t>
  </si>
  <si>
    <t>http://www.riss.kr/link?id=S45402</t>
  </si>
  <si>
    <t>Japanese Journal of Hygiene</t>
  </si>
  <si>
    <t>Japanese Society of Hygiene</t>
  </si>
  <si>
    <t>0021-5082</t>
  </si>
  <si>
    <t>1996-1997, 2002-2015</t>
  </si>
  <si>
    <t>http://www.riss.kr/link?id=S416811</t>
  </si>
  <si>
    <t>JCT CoatingsTech</t>
  </si>
  <si>
    <t>http://www.riss.kr/link?id=S103439</t>
  </si>
  <si>
    <t>JETI</t>
  </si>
  <si>
    <t>ジェティ</t>
  </si>
  <si>
    <t>http://www.riss.kr/link?id=S60899</t>
  </si>
  <si>
    <t>J-FOR</t>
  </si>
  <si>
    <t>1984-1986, 1990-1991, 1993-2011</t>
  </si>
  <si>
    <t>http://www.riss.kr/link?id=S38346</t>
  </si>
  <si>
    <t>JOM</t>
  </si>
  <si>
    <t>1047-4838</t>
  </si>
  <si>
    <t>1977-2005, 2008-2021</t>
  </si>
  <si>
    <t>http://www.riss.kr/link?id=S15605</t>
  </si>
  <si>
    <t>Journal- Ceramic Society of Japan</t>
  </si>
  <si>
    <t>Ceramic Society of Japan</t>
  </si>
  <si>
    <t>1882-0743</t>
  </si>
  <si>
    <t>1988-2012</t>
  </si>
  <si>
    <t>http://www.riss.kr/link?id=S31025232</t>
  </si>
  <si>
    <t>Journal d'Analyse Mathematique</t>
  </si>
  <si>
    <t>Weizman science Press of Israel</t>
  </si>
  <si>
    <t>0021-7670</t>
  </si>
  <si>
    <t>1959, 1989-1991, 1993, 1996-2013</t>
  </si>
  <si>
    <t>http://www.riss.kr/link?id=S11584132</t>
  </si>
  <si>
    <t>Journal- Food Hygienic Society of Japan</t>
  </si>
  <si>
    <t>Japanese Society for Food Hygiene and Safety</t>
  </si>
  <si>
    <t>0015-6426</t>
  </si>
  <si>
    <t>1981-2011</t>
  </si>
  <si>
    <t>http://www.riss.kr/link?id=S416809</t>
  </si>
  <si>
    <t>Journal for General Philosophy of science</t>
  </si>
  <si>
    <t>1991-1993, 1996-2004, 2006-2019</t>
  </si>
  <si>
    <t>http://www.riss.kr/link?id=S61263</t>
  </si>
  <si>
    <t>Journal- Geological Society of Japan</t>
  </si>
  <si>
    <t>Geological Society of Japan</t>
  </si>
  <si>
    <t>0016-7630</t>
  </si>
  <si>
    <t>1973, 1978-2011</t>
  </si>
  <si>
    <t>http://www.riss.kr/link?id=S416814</t>
  </si>
  <si>
    <t>Journal- Japanese Society for Artificial Intelligence</t>
  </si>
  <si>
    <t>Japanese Society for Artificial Intelligence</t>
  </si>
  <si>
    <t>0912-8085</t>
  </si>
  <si>
    <t>1992-2021</t>
  </si>
  <si>
    <t>http://www.riss.kr/link?id=S417119</t>
  </si>
  <si>
    <t>Journal of Acoustic Emission</t>
  </si>
  <si>
    <t>Acoustic Emission Group</t>
  </si>
  <si>
    <t>0730-0050</t>
  </si>
  <si>
    <t>http://www.riss.kr/link?id=S28130</t>
  </si>
  <si>
    <t>Journal of Adhesion science and Technology</t>
  </si>
  <si>
    <t>0169-4243</t>
  </si>
  <si>
    <t>http://www.riss.kr/link?id=S13700</t>
  </si>
  <si>
    <t>Journal of Advanced Materials</t>
  </si>
  <si>
    <t>Society for the Advancement of Material and Process Engineering</t>
  </si>
  <si>
    <t>1070-9789</t>
  </si>
  <si>
    <t>http://www.riss.kr/link?id=S402589</t>
  </si>
  <si>
    <t>Journal of Advanced Transportation</t>
  </si>
  <si>
    <t>0197-6729</t>
  </si>
  <si>
    <t>http://www.riss.kr/link?id=S104527</t>
  </si>
  <si>
    <t>2010-2013, 2019-2020</t>
  </si>
  <si>
    <t>http://www.riss.kr/link?id=S21689</t>
  </si>
  <si>
    <t>Journal of Agricultural Meteorology</t>
  </si>
  <si>
    <t>Society of Agricultural Meteorology of Japan</t>
  </si>
  <si>
    <t>1974-2020</t>
  </si>
  <si>
    <t>http://www.riss.kr/link?id=S31031409</t>
  </si>
  <si>
    <t>Journal of Agricultural, Biological, and Environmental Statistics</t>
  </si>
  <si>
    <t>1085-7117</t>
  </si>
  <si>
    <t>2005-2013</t>
  </si>
  <si>
    <t>http://www.riss.kr/link?id=S24433</t>
  </si>
  <si>
    <t>Journal of Aircraft</t>
  </si>
  <si>
    <t>0021-8669</t>
  </si>
  <si>
    <t>1990-1993, 1995-2004, 2010-2013</t>
  </si>
  <si>
    <t>http://www.riss.kr/link?id=S16084</t>
  </si>
  <si>
    <t>Journal of Analytical Methods in Chemistry</t>
  </si>
  <si>
    <t>2090-8865</t>
  </si>
  <si>
    <t>http://www.riss.kr/link?id=S405313</t>
  </si>
  <si>
    <t>Journal of Applied Mechanics</t>
  </si>
  <si>
    <t>ASME International</t>
  </si>
  <si>
    <t>0021-8936</t>
  </si>
  <si>
    <t>1960-1962, 1964, 1966-2021</t>
  </si>
  <si>
    <t>http://www.riss.kr/link?id=S16083</t>
  </si>
  <si>
    <t>Journal of Applied Physiology</t>
  </si>
  <si>
    <t>8750-7587</t>
  </si>
  <si>
    <t>http://www.riss.kr/link?id=S14962</t>
  </si>
  <si>
    <t>1991-1993, 1996-2019</t>
  </si>
  <si>
    <t>SSCI</t>
  </si>
  <si>
    <t>http://www.riss.kr/link?id=S24546</t>
  </si>
  <si>
    <t>Journal of Asian Architecture and Building Engineering</t>
  </si>
  <si>
    <t>Architectural Institute of Japan</t>
  </si>
  <si>
    <t>1346-7581</t>
  </si>
  <si>
    <t>2006-2007, 2009</t>
  </si>
  <si>
    <t>SCIE, AHCI, SCOPUS</t>
  </si>
  <si>
    <t>http://www.riss.kr/link?id=S30000647</t>
  </si>
  <si>
    <t>Journal of Bioactive and Compatible Polymers</t>
  </si>
  <si>
    <t>Technomic Pub. Co</t>
  </si>
  <si>
    <t>0883-9115</t>
  </si>
  <si>
    <t>1986-2021</t>
  </si>
  <si>
    <t>http://www.riss.kr/link?id=S61261</t>
  </si>
  <si>
    <t>Journal of Biomaterials Applications</t>
  </si>
  <si>
    <t>0885-3282</t>
  </si>
  <si>
    <t>http://www.riss.kr/link?id=S418178</t>
  </si>
  <si>
    <t>Journal of Biomaterials science. Polymer Edition</t>
  </si>
  <si>
    <t>0920-5063</t>
  </si>
  <si>
    <t>http://www.riss.kr/link?id=S414304</t>
  </si>
  <si>
    <t>Journal of Biomechanical Engineering</t>
  </si>
  <si>
    <t>0148-0731</t>
  </si>
  <si>
    <t>http://www.riss.kr/link?id=S16404</t>
  </si>
  <si>
    <t>Journal of Biomedical Nanotechnology</t>
  </si>
  <si>
    <t>1550-7033</t>
  </si>
  <si>
    <t>http://www.riss.kr/link?id=S30007669</t>
  </si>
  <si>
    <t>Journal of Biomedical Optics</t>
  </si>
  <si>
    <t>International Society for Optical Engineering (SPIE)</t>
  </si>
  <si>
    <t>1083-3668</t>
  </si>
  <si>
    <t>http://www.riss.kr/link?id=S402922</t>
  </si>
  <si>
    <t>Journal of Bridge Engineering</t>
  </si>
  <si>
    <t>1084-0702</t>
  </si>
  <si>
    <t>http://www.riss.kr/link?id=S5079</t>
  </si>
  <si>
    <t>http://www.riss.kr/link?id=S408353</t>
  </si>
  <si>
    <t>Journal of Cellular Plastics</t>
  </si>
  <si>
    <t>0021-955X</t>
  </si>
  <si>
    <t>1965-1989, 2011-2021</t>
  </si>
  <si>
    <t>http://www.riss.kr/link?id=S38215</t>
  </si>
  <si>
    <t>Journal of Chemical Engineering of Japan</t>
  </si>
  <si>
    <t>Society of Chemical Engineers, Japan</t>
  </si>
  <si>
    <t>0021-9592</t>
  </si>
  <si>
    <t>1983-2021</t>
  </si>
  <si>
    <t>http://www.riss.kr/link?id=S21308</t>
  </si>
  <si>
    <t>Journal of Coastal Research</t>
  </si>
  <si>
    <t>Coastal Education and Research Foundation</t>
  </si>
  <si>
    <t>0749-0208</t>
  </si>
  <si>
    <t>1986-1993, 1995-2013</t>
  </si>
  <si>
    <t>http://www.riss.kr/link?id=S15023</t>
  </si>
  <si>
    <t>http://www.riss.kr/link?id=S15021</t>
  </si>
  <si>
    <t>Journal of Composite Materials</t>
  </si>
  <si>
    <t>0021-9983</t>
  </si>
  <si>
    <t>1989-2021</t>
  </si>
  <si>
    <t>http://www.riss.kr/link?id=S16081</t>
  </si>
  <si>
    <t>Journal of Composites for Construction</t>
  </si>
  <si>
    <t>1090-0268</t>
  </si>
  <si>
    <t>http://www.riss.kr/link?id=S12566</t>
  </si>
  <si>
    <t>Journal of Computational and Nonlinear Dynamics</t>
  </si>
  <si>
    <t>American Society of Mechanical Engineers</t>
  </si>
  <si>
    <t>1555-1415</t>
  </si>
  <si>
    <t>http://www.riss.kr/link?id=S115994</t>
  </si>
  <si>
    <t>Journal of Computational Biology</t>
  </si>
  <si>
    <t>Mary Ann Liebert, Inc</t>
  </si>
  <si>
    <t>1066-5277</t>
  </si>
  <si>
    <t>2004-2009</t>
  </si>
  <si>
    <t>http://www.riss.kr/link?id=S12876</t>
  </si>
  <si>
    <t>Journal of Computing and Information science in Engineering</t>
  </si>
  <si>
    <t>1530-9827</t>
  </si>
  <si>
    <t>http://www.riss.kr/link?id=S20010946</t>
  </si>
  <si>
    <t>Journal of Computing in Civil Engineering</t>
  </si>
  <si>
    <t>0887-3801</t>
  </si>
  <si>
    <t>1987-1990, 2010-2013</t>
  </si>
  <si>
    <t>http://www.riss.kr/link?id=S15020</t>
  </si>
  <si>
    <t>Journal of Construction Engineering and Management</t>
  </si>
  <si>
    <t>0733-9364</t>
  </si>
  <si>
    <t>1970-2021</t>
  </si>
  <si>
    <t>http://www.riss.kr/link?id=S15476</t>
  </si>
  <si>
    <t>Journal of Crustacean Biology</t>
  </si>
  <si>
    <t>0278-0372</t>
  </si>
  <si>
    <t>1984-2015</t>
  </si>
  <si>
    <t>http://www.riss.kr/link?id=S60908</t>
  </si>
  <si>
    <t>Journal of Differential Geometry</t>
  </si>
  <si>
    <t>Lehigh University * Department of Mathematics</t>
  </si>
  <si>
    <t>0022-040X</t>
  </si>
  <si>
    <t>1969, 1978, 1980, 1991-2013</t>
  </si>
  <si>
    <t>http://www.riss.kr/link?id=S17509</t>
  </si>
  <si>
    <t>Journal of Dynamic Systems, Measurement and Control</t>
  </si>
  <si>
    <t>0022-0434</t>
  </si>
  <si>
    <t>1972-2013</t>
  </si>
  <si>
    <t>http://www.riss.kr/link?id=S80605</t>
  </si>
  <si>
    <t>2015-2019</t>
  </si>
  <si>
    <t>http://www.riss.kr/link?id=S404893</t>
  </si>
  <si>
    <t>Journal of Electronic Packaging</t>
  </si>
  <si>
    <t>1043-7398</t>
  </si>
  <si>
    <t>http://www.riss.kr/link?id=S29016</t>
  </si>
  <si>
    <t>Journal of Energetic Materials</t>
  </si>
  <si>
    <t>0737-0652</t>
  </si>
  <si>
    <t>http://www.riss.kr/link?id=S411965</t>
  </si>
  <si>
    <t>Journal of Energy Engineering</t>
  </si>
  <si>
    <t>0733-9402</t>
  </si>
  <si>
    <t>1979-1981, 1983-1984, 1988-1990, 1993, 1996-2021</t>
  </si>
  <si>
    <t>http://www.riss.kr/link?id=S16079</t>
  </si>
  <si>
    <t>Journal of Energy Resources Technology</t>
  </si>
  <si>
    <t>0195-0738</t>
  </si>
  <si>
    <t>http://www.riss.kr/link?id=S14353</t>
  </si>
  <si>
    <t>http://www.riss.kr/link?id=S415749</t>
  </si>
  <si>
    <t>Journal of Engineering for Gas Turbines and Power</t>
  </si>
  <si>
    <t>0742-4795</t>
  </si>
  <si>
    <t>http://www.riss.kr/link?id=S16077</t>
  </si>
  <si>
    <t>Journal of Engineering Materials and Technology</t>
  </si>
  <si>
    <t>0094-4289</t>
  </si>
  <si>
    <t>1975-2004, 2010-2021</t>
  </si>
  <si>
    <t>http://www.riss.kr/link?id=S16074</t>
  </si>
  <si>
    <t>Journal of Engineering Mechanics</t>
  </si>
  <si>
    <t>0733-9399</t>
  </si>
  <si>
    <t>http://www.riss.kr/link?id=S87729</t>
  </si>
  <si>
    <t>http://www.riss.kr/link?id=S402394</t>
  </si>
  <si>
    <t>Journal of Environmental Engineering</t>
  </si>
  <si>
    <t>0733-9372</t>
  </si>
  <si>
    <t>1977-2021</t>
  </si>
  <si>
    <t>http://www.riss.kr/link?id=S16072</t>
  </si>
  <si>
    <t>Journal of Experimental and Theoretical Physics</t>
  </si>
  <si>
    <t>MAIK Nauka - Interperiodica</t>
  </si>
  <si>
    <t>1063-7761</t>
  </si>
  <si>
    <t>http://www.riss.kr/link?id=S13168</t>
  </si>
  <si>
    <t>Journal of Experimental Botany</t>
  </si>
  <si>
    <t>0022-0957</t>
  </si>
  <si>
    <t>1984-1993, 1995, 1997-2005, 2010, 2011</t>
  </si>
  <si>
    <t>http://www.riss.kr/link?id=S16565</t>
  </si>
  <si>
    <t>Journal of Experimental Nanoscience</t>
  </si>
  <si>
    <t>1745-8080</t>
  </si>
  <si>
    <t>http://www.riss.kr/link?id=S31004980</t>
  </si>
  <si>
    <t>Journal of Family and Consumer sciences</t>
  </si>
  <si>
    <t>American Association of Family and Consumer sciences</t>
  </si>
  <si>
    <t>1082-1651</t>
  </si>
  <si>
    <t>http://www.riss.kr/link?id=S12588</t>
  </si>
  <si>
    <t>Journal of Fire Protection Engineering</t>
  </si>
  <si>
    <t>1042-3915</t>
  </si>
  <si>
    <t>http://www.riss.kr/link?id=S416697</t>
  </si>
  <si>
    <t>Journal of Fluids Engineering</t>
  </si>
  <si>
    <t>0098-2202</t>
  </si>
  <si>
    <t>1974, 1976-2021</t>
  </si>
  <si>
    <t>http://www.riss.kr/link?id=S96424</t>
  </si>
  <si>
    <t>Journal of Geotechnical and Geoenvironmental Engineering</t>
  </si>
  <si>
    <t>1090-0241</t>
  </si>
  <si>
    <t>http://www.riss.kr/link?id=S24593</t>
  </si>
  <si>
    <t>American Institute of Aeronautics and Astronautics, Inc.</t>
  </si>
  <si>
    <t>1990-1993, 1995-2018</t>
  </si>
  <si>
    <t>http://www.riss.kr/link?id=S16068</t>
  </si>
  <si>
    <t>Journal of Heat Transfer</t>
  </si>
  <si>
    <t>0022-1481</t>
  </si>
  <si>
    <t>1966, 1968-2004, 2010-2021</t>
  </si>
  <si>
    <t>http://www.riss.kr/link?id=S11645644</t>
  </si>
  <si>
    <t>Journal of Human Genetics</t>
  </si>
  <si>
    <t>Nature Publishing Group</t>
  </si>
  <si>
    <t>1434-5161</t>
  </si>
  <si>
    <t>1998-2008</t>
  </si>
  <si>
    <t>http://www.riss.kr/link?id=S418720</t>
  </si>
  <si>
    <t>Journal of Hydraulic Engineering</t>
  </si>
  <si>
    <t>0733-9429</t>
  </si>
  <si>
    <t>http://www.riss.kr/link?id=S16067</t>
  </si>
  <si>
    <t>Journal of Hydraulic Research</t>
  </si>
  <si>
    <t>0022-1686</t>
  </si>
  <si>
    <t>http://www.riss.kr/link?id=S20212</t>
  </si>
  <si>
    <t>Journal of Hydroinformatics</t>
  </si>
  <si>
    <t>I W A Publishing</t>
  </si>
  <si>
    <t>1464-7141</t>
  </si>
  <si>
    <t>http://www.riss.kr/link?id=S405339</t>
  </si>
  <si>
    <t>Journal of Hydrologic Engineering</t>
  </si>
  <si>
    <t>1084-0699</t>
  </si>
  <si>
    <t>http://www.riss.kr/link?id=S5099</t>
  </si>
  <si>
    <t>사회과학</t>
  </si>
  <si>
    <t>Journal of Industrial and Management Optimization</t>
  </si>
  <si>
    <t>American Institute of Mathematical Sciences</t>
  </si>
  <si>
    <t>1547-5816</t>
  </si>
  <si>
    <t>http://www.riss.kr/link?id=S31002943</t>
  </si>
  <si>
    <t>Journal of Intelligent Material Systems and Structures</t>
  </si>
  <si>
    <t>1045-389X</t>
  </si>
  <si>
    <t>http://www.riss.kr/link?id=S61275</t>
  </si>
  <si>
    <t>Journal of Irrigation and Drainage Engineering</t>
  </si>
  <si>
    <t>0733-9437</t>
  </si>
  <si>
    <t>1971-1990, 1994-2011</t>
  </si>
  <si>
    <t>http://www.riss.kr/link?id=S16065</t>
  </si>
  <si>
    <t>Journal of Machine Learning Research</t>
  </si>
  <si>
    <t>M I T Press</t>
  </si>
  <si>
    <t>1532-4435</t>
  </si>
  <si>
    <t>2009-2013</t>
  </si>
  <si>
    <t>http://www.riss.kr/link?id=S103752</t>
  </si>
  <si>
    <t>Journal of Macromolecular science. Part A</t>
  </si>
  <si>
    <t>1060-1325</t>
  </si>
  <si>
    <t>1988-1993, 1995-2021</t>
  </si>
  <si>
    <t>http://www.riss.kr/link?id=S13020</t>
  </si>
  <si>
    <t>Journal of Management in Engineering</t>
  </si>
  <si>
    <t>0742-597X</t>
  </si>
  <si>
    <t>http://www.riss.kr/link?id=S15726</t>
  </si>
  <si>
    <t>Journal of Manufacturing science and Engineering</t>
  </si>
  <si>
    <t>1087-1357</t>
  </si>
  <si>
    <t>1997-2008, 2010-2021</t>
  </si>
  <si>
    <t>http://www.riss.kr/link?id=S5542</t>
  </si>
  <si>
    <t>Journal of Manufacturing Systems</t>
  </si>
  <si>
    <t>0278-6125</t>
  </si>
  <si>
    <t>1984-1993, 1995-2004, 2013</t>
  </si>
  <si>
    <t>http://www.riss.kr/link?id=S12868</t>
  </si>
  <si>
    <t>Journal of Manufacturing Technology Management</t>
  </si>
  <si>
    <t>1741-038X</t>
  </si>
  <si>
    <t>2004-2008, 2010-2013</t>
  </si>
  <si>
    <t>http://www.riss.kr/link?id=S103340</t>
  </si>
  <si>
    <t>Journal of Marine Research</t>
  </si>
  <si>
    <t>Sears Foundation for Marine Research</t>
  </si>
  <si>
    <t>0022-2402</t>
  </si>
  <si>
    <t>http://www.riss.kr/link?id=S16910</t>
  </si>
  <si>
    <t>Journal of Materials Chemistry</t>
  </si>
  <si>
    <t>0959-9428</t>
  </si>
  <si>
    <t>http://www.riss.kr/link?id=S12896</t>
  </si>
  <si>
    <t>Journal of Materials Chemistry A</t>
  </si>
  <si>
    <t>2013-2019</t>
  </si>
  <si>
    <t>http://www.riss.kr/link?id=S90023891</t>
  </si>
  <si>
    <t>Journal of Materials Chemistry B</t>
  </si>
  <si>
    <t>http://www.riss.kr/link?id=S90023890</t>
  </si>
  <si>
    <t>Journal of Materials Chemistry C</t>
  </si>
  <si>
    <t>http://www.riss.kr/link?id=S90023683</t>
  </si>
  <si>
    <t>Journal of Materials in Civil Engineering</t>
  </si>
  <si>
    <t>0899-1561</t>
  </si>
  <si>
    <t>http://www.riss.kr/link?id=S21147</t>
  </si>
  <si>
    <t>Journal of Materials Research</t>
  </si>
  <si>
    <t>0884-2914</t>
  </si>
  <si>
    <t>1991-2021</t>
  </si>
  <si>
    <t>http://www.riss.kr/link?id=S28117</t>
  </si>
  <si>
    <t>Journal of Materials science</t>
  </si>
  <si>
    <t>0022-2461</t>
  </si>
  <si>
    <t>http://www.riss.kr/link?id=S36261</t>
  </si>
  <si>
    <t>Journal of Materials science Letters</t>
  </si>
  <si>
    <t>Chapman and Hall</t>
  </si>
  <si>
    <t>0261-8028</t>
  </si>
  <si>
    <t>1988-1993, 1995-2003</t>
  </si>
  <si>
    <t>http://www.riss.kr/link?id=S16064</t>
  </si>
  <si>
    <t>Journal of Materials science: Materials in Electronics</t>
  </si>
  <si>
    <t xml:space="preserve">Springer New York LLC </t>
  </si>
  <si>
    <t>0957-4522</t>
  </si>
  <si>
    <t>1990-2013, 2015-2017</t>
  </si>
  <si>
    <t>http://www.riss.kr/link?id=S13555</t>
  </si>
  <si>
    <t>Journal of Materials science: Materials in Medicine</t>
  </si>
  <si>
    <t>0957-4530</t>
  </si>
  <si>
    <t>1990-2007, 2009-2010, 2012-2013, 2015-2017</t>
  </si>
  <si>
    <t>http://www.riss.kr/link?id=S20013675</t>
  </si>
  <si>
    <t>Journal of Mathematical sciences</t>
  </si>
  <si>
    <t>1072-3374</t>
  </si>
  <si>
    <t>1994-2013</t>
  </si>
  <si>
    <t>http://www.riss.kr/link?id=S12949</t>
  </si>
  <si>
    <t>Journal of Mechanical Design</t>
  </si>
  <si>
    <t>1050-0472</t>
  </si>
  <si>
    <t>http://www.riss.kr/link?id=S14006</t>
  </si>
  <si>
    <t>Journal of Mechanics of Materials and Structures</t>
  </si>
  <si>
    <t>Mathematical sciences Publishers</t>
  </si>
  <si>
    <t>1559-3959</t>
  </si>
  <si>
    <t>http://www.riss.kr/link?id=S90008450</t>
  </si>
  <si>
    <t>Journal of Micro/Nanolithography, MEMS, and MOEMS</t>
  </si>
  <si>
    <t>S P I E - International Society for Optical Engineering</t>
  </si>
  <si>
    <t>1932-5150</t>
  </si>
  <si>
    <t>http://www.riss.kr/link?id=S20010539</t>
  </si>
  <si>
    <t>Journal of Mineralogical and Petrological sciences</t>
  </si>
  <si>
    <t>Japanese Association of Mineralogists Petrologists and Economic Geologists</t>
  </si>
  <si>
    <t>2000-2020</t>
  </si>
  <si>
    <t>http://www.riss.kr/link?id=S403985</t>
  </si>
  <si>
    <t>Journal of Molecular Histology</t>
  </si>
  <si>
    <t>1567-2379</t>
  </si>
  <si>
    <t>2004-2013</t>
  </si>
  <si>
    <t>http://www.riss.kr/link?id=S31000238</t>
  </si>
  <si>
    <t>Journal of Motor Behavior</t>
  </si>
  <si>
    <t>0022-2895</t>
  </si>
  <si>
    <t>1988-1993, 1995-2004</t>
  </si>
  <si>
    <t>http://www.riss.kr/link?id=S21317</t>
  </si>
  <si>
    <t>Journal of Nanoscience and Nanotechnology</t>
  </si>
  <si>
    <t>1533-4880</t>
  </si>
  <si>
    <t>2006-2021</t>
  </si>
  <si>
    <t>http://www.riss.kr/link?id=S20085525</t>
  </si>
  <si>
    <t>Journal of Natural Fibers</t>
  </si>
  <si>
    <t>Haworth Press</t>
  </si>
  <si>
    <t>1544-0478</t>
  </si>
  <si>
    <t>http://www.riss.kr/link?id=S31027708</t>
  </si>
  <si>
    <t>Journal of Non-equilibrium Thermodynamics</t>
  </si>
  <si>
    <t>http://www.riss.kr/link?id=S17285</t>
  </si>
  <si>
    <t>Journal of Nonparametric Statistics</t>
  </si>
  <si>
    <t>1048-5252</t>
  </si>
  <si>
    <t>1991-2004, 2006-2013</t>
  </si>
  <si>
    <t>http://www.riss.kr/link?id=S29059</t>
  </si>
  <si>
    <t>Journal of Offshore Mechanics and Arctic Engineering</t>
  </si>
  <si>
    <t>0892-7219</t>
  </si>
  <si>
    <t>http://www.riss.kr/link?id=S97822</t>
  </si>
  <si>
    <t>Journal of Oleo science</t>
  </si>
  <si>
    <t>Japan Oil Chemists' Society</t>
  </si>
  <si>
    <t>1345-8957</t>
  </si>
  <si>
    <t>http://www.riss.kr/link?id=S14024</t>
  </si>
  <si>
    <t>Journal of Optimization Theory and Applications</t>
  </si>
  <si>
    <t>0022-3239</t>
  </si>
  <si>
    <t>http://www.riss.kr/link?id=S17499</t>
  </si>
  <si>
    <t>Journal of Optoelectronics and Advanced Materials</t>
  </si>
  <si>
    <t>National Institute of Research and Development for Optoelectronics</t>
  </si>
  <si>
    <t>1454-4164</t>
  </si>
  <si>
    <t>http://www.riss.kr/link?id=S405207</t>
  </si>
  <si>
    <t>Journal of Paleontology</t>
  </si>
  <si>
    <t>Society of Economic Paleontologists and Mineralogists</t>
  </si>
  <si>
    <t>0022-3360</t>
  </si>
  <si>
    <t>http://www.riss.kr/link?id=S13468</t>
  </si>
  <si>
    <t>Journal of Performance of Constructed Facilities</t>
  </si>
  <si>
    <t>0887-3828</t>
  </si>
  <si>
    <t>http://www.riss.kr/link?id=S15019</t>
  </si>
  <si>
    <t>Journal of Petrology</t>
  </si>
  <si>
    <t>0022-3530</t>
  </si>
  <si>
    <t>http://www.riss.kr/link?id=S16907</t>
  </si>
  <si>
    <t>Journal of Pharmacokinetics and Pharmacodynamics</t>
  </si>
  <si>
    <t>1567-567X</t>
  </si>
  <si>
    <t>2001-2007, 2009-2013</t>
  </si>
  <si>
    <t>http://www.riss.kr/link?id=S405766</t>
  </si>
  <si>
    <t>Journal of Pharmacy and Pharmacology</t>
  </si>
  <si>
    <t>0022-3573</t>
  </si>
  <si>
    <t>1971-2012</t>
  </si>
  <si>
    <t>http://www.riss.kr/link?id=S16389</t>
  </si>
  <si>
    <t>Journal of Physics, Condensed Matter</t>
  </si>
  <si>
    <t>0953-8984</t>
  </si>
  <si>
    <t>1989-2016,2021</t>
  </si>
  <si>
    <t>http://www.riss.kr/link?id=S85287</t>
  </si>
  <si>
    <t>Journal of Planning Education and Research</t>
  </si>
  <si>
    <t>0739-456X</t>
  </si>
  <si>
    <t>1990-1994, 1996-2012</t>
  </si>
  <si>
    <t>http://www.riss.kr/link?id=S24597</t>
  </si>
  <si>
    <t>Journal of Plant Research</t>
  </si>
  <si>
    <t xml:space="preserve">Springer Japan KK </t>
  </si>
  <si>
    <t>0918-9440</t>
  </si>
  <si>
    <t>1973-1976, 1980-2013</t>
  </si>
  <si>
    <t>http://www.riss.kr/link?id=S13289</t>
  </si>
  <si>
    <t>Journal of Plastic Film and Sheeting</t>
  </si>
  <si>
    <t>8756-0879</t>
  </si>
  <si>
    <t>http://www.riss.kr/link?id=S405844</t>
  </si>
  <si>
    <t>Journal of Polymer Engineering</t>
  </si>
  <si>
    <t>0334-6447</t>
  </si>
  <si>
    <t>http://www.riss.kr/link?id=S28470</t>
  </si>
  <si>
    <t>http://www.riss.kr/link?id=S403109</t>
  </si>
  <si>
    <t>Journal of Pressure Vessel Technology</t>
  </si>
  <si>
    <t>0094-9930</t>
  </si>
  <si>
    <t>1975, 2010-2021</t>
  </si>
  <si>
    <t>http://www.riss.kr/link?id=S16063</t>
  </si>
  <si>
    <t>Journal of Professional Issues in Engineering Education and Practice</t>
  </si>
  <si>
    <t>1052-3928</t>
  </si>
  <si>
    <t>http://www.riss.kr/link?id=S20557</t>
  </si>
  <si>
    <t>http://www.riss.kr/link?id=S12915</t>
  </si>
  <si>
    <t>Journal of Quality Technology</t>
  </si>
  <si>
    <t>0022-4065</t>
  </si>
  <si>
    <t>1969-1987, 1990-1992, 2010-2021</t>
  </si>
  <si>
    <t>http://www.riss.kr/link?id=S16060</t>
  </si>
  <si>
    <t>Journal of Rheology</t>
  </si>
  <si>
    <t>Society of Rheology</t>
  </si>
  <si>
    <t>0148-6055</t>
  </si>
  <si>
    <t>http://www.riss.kr/link?id=S17267</t>
  </si>
  <si>
    <t>http://www.riss.kr/link?id=S403288</t>
  </si>
  <si>
    <t>Journal of scientific and Industrial Research</t>
  </si>
  <si>
    <t>0022-4456</t>
  </si>
  <si>
    <t>http://www.riss.kr/link?id=S66354</t>
  </si>
  <si>
    <t>Journal of scientific Conference Proceedings</t>
  </si>
  <si>
    <t>1937-6456</t>
  </si>
  <si>
    <t>http://www.riss.kr/link?id=S90000827</t>
  </si>
  <si>
    <t>Journal of Sedimentary Research</t>
  </si>
  <si>
    <t>Society for Sedimentary Geology</t>
  </si>
  <si>
    <t>1527-1404</t>
  </si>
  <si>
    <t>1994-2015</t>
  </si>
  <si>
    <t>http://www.riss.kr/link?id=S49464</t>
  </si>
  <si>
    <t>Journal of Ship Production and Design</t>
  </si>
  <si>
    <t>The Society of Naval Architects and Marine Engineers</t>
  </si>
  <si>
    <t>2158-2866</t>
  </si>
  <si>
    <t>http://www.riss.kr/link?id=S20404</t>
  </si>
  <si>
    <t>Journal of Ship Research</t>
  </si>
  <si>
    <t>0022-4502</t>
  </si>
  <si>
    <t>1973-2021</t>
  </si>
  <si>
    <t>http://www.riss.kr/link?id=S16059</t>
  </si>
  <si>
    <t>Journal of Solar Energy Engineering</t>
  </si>
  <si>
    <t>0199-6231</t>
  </si>
  <si>
    <t>http://www.riss.kr/link?id=S12745</t>
  </si>
  <si>
    <t>1990-2004, 2010-2018</t>
  </si>
  <si>
    <t>http://www.riss.kr/link?id=S16058</t>
  </si>
  <si>
    <t>Journal of Spectroscopy</t>
  </si>
  <si>
    <t>2314-4920</t>
  </si>
  <si>
    <t>http://www.riss.kr/link?id=S414984</t>
  </si>
  <si>
    <t>Journal of Structural Engineering</t>
  </si>
  <si>
    <t>0733-9445</t>
  </si>
  <si>
    <t>1983-2008, 2010-2021</t>
  </si>
  <si>
    <t>http://www.riss.kr/link?id=S16057</t>
  </si>
  <si>
    <t>1971-1975, 1977-1979, 1981, 1984-1990, 1997-2019</t>
  </si>
  <si>
    <t>http://www.riss.kr/link?id=S16056</t>
  </si>
  <si>
    <t>Journal of Textile Engineering</t>
  </si>
  <si>
    <t>The Textile Machinery Society of Japan</t>
  </si>
  <si>
    <t>1346-8235</t>
  </si>
  <si>
    <t>http://www.riss.kr/link?id=S48296</t>
  </si>
  <si>
    <t>Journal of the Air &amp; Waste Management Association</t>
  </si>
  <si>
    <t>1096-2247</t>
  </si>
  <si>
    <t>1990, 2012, 2013</t>
  </si>
  <si>
    <t>http://www.riss.kr/link?id=S23468</t>
  </si>
  <si>
    <t>Journal of the American Helicopter Society</t>
  </si>
  <si>
    <t>American Helicopter Society, Inc</t>
  </si>
  <si>
    <t>0002-8711</t>
  </si>
  <si>
    <t>http://www.riss.kr/link?id=S16049</t>
  </si>
  <si>
    <t>Journal of the American Leather Chemists Association</t>
  </si>
  <si>
    <t>American Leather Chemists Association</t>
  </si>
  <si>
    <t>0002-9726</t>
  </si>
  <si>
    <t>http://www.riss.kr/link?id=S15539</t>
  </si>
  <si>
    <t>Journal of the American Oil Chemists' Society</t>
  </si>
  <si>
    <t>0003-021X</t>
  </si>
  <si>
    <t>1964-2013</t>
  </si>
  <si>
    <t>http://www.riss.kr/link?id=S17078</t>
  </si>
  <si>
    <t>Journal of the American Society for Horticultural science</t>
  </si>
  <si>
    <t>American Society for Horticultural science</t>
  </si>
  <si>
    <t>0003-1062</t>
  </si>
  <si>
    <t>1990-1994, 1998-2001, 2003-2020</t>
  </si>
  <si>
    <t>http://www.riss.kr/link?id=S12831</t>
  </si>
  <si>
    <t>Journal of the American Statistical Association</t>
  </si>
  <si>
    <t>American Statistical Association</t>
  </si>
  <si>
    <t>0162-1459</t>
  </si>
  <si>
    <t>1971, 1975-2021</t>
  </si>
  <si>
    <t>http://www.riss.kr/link?id=S10522</t>
  </si>
  <si>
    <t>Journal of the American Water Works Association</t>
  </si>
  <si>
    <t>American Water Works Association</t>
  </si>
  <si>
    <t>0003-150X</t>
  </si>
  <si>
    <t>1985-2021</t>
  </si>
  <si>
    <t>http://www.riss.kr/link?id=S6854</t>
  </si>
  <si>
    <t>Journal of the Association for Computing Machinery</t>
  </si>
  <si>
    <t>1994-2020</t>
  </si>
  <si>
    <t>http://www.riss.kr/link?id=S13259</t>
  </si>
  <si>
    <t>Journal of the Atmospheric sciences</t>
  </si>
  <si>
    <t>0022-4928</t>
  </si>
  <si>
    <t>1968, 1970-1971, 1982-2013</t>
  </si>
  <si>
    <t>http://www.riss.kr/link?id=S16902</t>
  </si>
  <si>
    <t>Journal of the Electrochemical Society</t>
  </si>
  <si>
    <t>0013-4651</t>
  </si>
  <si>
    <t>1975-1981, 1983-2014</t>
  </si>
  <si>
    <t>http://www.riss.kr/link?id=S14916</t>
  </si>
  <si>
    <t>Journal of the Geological Society</t>
  </si>
  <si>
    <t>Geological Society Publishing House</t>
  </si>
  <si>
    <t>0016-7649</t>
  </si>
  <si>
    <t>1971-1973, 1982-2013</t>
  </si>
  <si>
    <t>http://www.riss.kr/link?id=S14961</t>
  </si>
  <si>
    <t>Journal of the Japanese Society for Horticultural science</t>
  </si>
  <si>
    <t>園芸学会</t>
  </si>
  <si>
    <t>1882-3351</t>
  </si>
  <si>
    <t>2007-2014</t>
  </si>
  <si>
    <t>http://www.riss.kr/link?id=S416806</t>
  </si>
  <si>
    <t>Journal of the London Mathematical Society</t>
  </si>
  <si>
    <t>London Mathematical Society</t>
  </si>
  <si>
    <t>0024-6107</t>
  </si>
  <si>
    <t>1978-2011</t>
  </si>
  <si>
    <t>http://www.riss.kr/link?id=S14875</t>
  </si>
  <si>
    <t>Journal of the Meteorological Society of Japan SERIES 2</t>
  </si>
  <si>
    <t>Meteorological Society of Japan</t>
  </si>
  <si>
    <t>1974-1979, 1982-2018</t>
  </si>
  <si>
    <t>http://www.riss.kr/link?id=S16897</t>
  </si>
  <si>
    <t>Journal of the Optical Society of America A</t>
  </si>
  <si>
    <t>Optical Society of America</t>
  </si>
  <si>
    <t>1084-7529</t>
  </si>
  <si>
    <t>1993-2013</t>
  </si>
  <si>
    <t>http://www.riss.kr/link?id=S28842</t>
  </si>
  <si>
    <t>Journal of the Optical Society of America B</t>
  </si>
  <si>
    <t>0740-3224</t>
  </si>
  <si>
    <t>http://www.riss.kr/link?id=S412198</t>
  </si>
  <si>
    <t>Journal of the Physical Society of Japan</t>
  </si>
  <si>
    <t>Physical Society of Japan</t>
  </si>
  <si>
    <t>0031-9015</t>
  </si>
  <si>
    <t>1956-1973, 1981-2021</t>
  </si>
  <si>
    <t>http://www.riss.kr/link?id=S58111</t>
  </si>
  <si>
    <t>http://www.riss.kr/link?id=S410763</t>
  </si>
  <si>
    <t>http://www.riss.kr/link?id=S11927</t>
  </si>
  <si>
    <t>http://www.riss.kr/link?id=S20156</t>
  </si>
  <si>
    <t>http://www.riss.kr/link?id=S90006683</t>
  </si>
  <si>
    <t>Journal of Toxicology and Environmental Health. Part B: Critical Reviews</t>
  </si>
  <si>
    <t>1093-7404</t>
  </si>
  <si>
    <t>http://www.riss.kr/link?id=S11575513</t>
  </si>
  <si>
    <t>Journal of Transportation Engineering</t>
  </si>
  <si>
    <t>0733-947X</t>
  </si>
  <si>
    <t>1970-2020</t>
  </si>
  <si>
    <t>http://www.riss.kr/link?id=S21696</t>
  </si>
  <si>
    <t>Journal of Tribology</t>
  </si>
  <si>
    <t>0742-4787</t>
  </si>
  <si>
    <t>http://www.riss.kr/link?id=S15596</t>
  </si>
  <si>
    <t>Journal of Turbomachinery</t>
  </si>
  <si>
    <t>0889-504X</t>
  </si>
  <si>
    <t>http://www.riss.kr/link?id=S11572188</t>
  </si>
  <si>
    <t>Journal of Urban Design</t>
  </si>
  <si>
    <t>1357-4809</t>
  </si>
  <si>
    <t>http://www.riss.kr/link?id=S61982</t>
  </si>
  <si>
    <t>Journal of Urban Planning and Development</t>
  </si>
  <si>
    <t>0733-9488</t>
  </si>
  <si>
    <t>1971-1975, 1977-1979, 1981, 1985-1994, 1996-2021</t>
  </si>
  <si>
    <t>http://www.riss.kr/link?id=S21159</t>
  </si>
  <si>
    <t>Journal of Vacuum science &amp; Technology. A</t>
  </si>
  <si>
    <t>American Institute of Physics</t>
  </si>
  <si>
    <t>http://www.riss.kr/link?id=S17257</t>
  </si>
  <si>
    <t>Journal of Vacuum science &amp; Technology. B</t>
  </si>
  <si>
    <t>2005-2020</t>
  </si>
  <si>
    <t>http://www.riss.kr/link?id=S20402</t>
  </si>
  <si>
    <t>University of Oklahoma</t>
  </si>
  <si>
    <t>1993-2018</t>
  </si>
  <si>
    <t>http://www.riss.kr/link?id=S60909</t>
  </si>
  <si>
    <t>Journal of Vibration and Acoustics</t>
  </si>
  <si>
    <t>1048-9002</t>
  </si>
  <si>
    <t>http://www.riss.kr/link?id=S28149</t>
  </si>
  <si>
    <t>Journal of Vibration and Control</t>
  </si>
  <si>
    <t>1077-5463</t>
  </si>
  <si>
    <t>http://www.riss.kr/link?id=S57498</t>
  </si>
  <si>
    <t>Journal of Water Resources Planning and Management</t>
  </si>
  <si>
    <t>0733-9496</t>
  </si>
  <si>
    <t>http://www.riss.kr/link?id=S21692</t>
  </si>
  <si>
    <t>Journal of Water Supply</t>
  </si>
  <si>
    <t>0003-7214</t>
  </si>
  <si>
    <t>http://www.riss.kr/link?id=S68611</t>
  </si>
  <si>
    <t>Journal of Waterway, Port, Coastal, and Ocean Engineering</t>
  </si>
  <si>
    <t>0733-950X</t>
  </si>
  <si>
    <t>1971-2021</t>
  </si>
  <si>
    <t>http://www.riss.kr/link?id=S16027</t>
  </si>
  <si>
    <t>Journal of Wood Chemistry and Technology</t>
  </si>
  <si>
    <t>0277-3813</t>
  </si>
  <si>
    <t>http://www.riss.kr/link?id=S24599</t>
  </si>
  <si>
    <t>Journal of X-Ray science and Technology</t>
  </si>
  <si>
    <t>0895-3996</t>
  </si>
  <si>
    <t>http://www.riss.kr/link?id=S20215</t>
  </si>
  <si>
    <t>Journal- Society for Information Display</t>
  </si>
  <si>
    <t>1071-0922</t>
  </si>
  <si>
    <t>http://www.riss.kr/link?id=S411696</t>
  </si>
  <si>
    <t>JSSC</t>
  </si>
  <si>
    <t>日本鋼構造協會</t>
  </si>
  <si>
    <t>http://www.riss.kr/link?id=S43758</t>
  </si>
  <si>
    <t>Kanrin</t>
  </si>
  <si>
    <t>Japan Society of Naval Architects and Ocean Engineers</t>
  </si>
  <si>
    <t>http://www.riss.kr/link?id=S115899</t>
  </si>
  <si>
    <t>Korean Journal of Chemical Engineering</t>
  </si>
  <si>
    <t>0256-1115</t>
  </si>
  <si>
    <t>http://www.riss.kr/link?id=S31013729</t>
  </si>
  <si>
    <t>Land Economics</t>
  </si>
  <si>
    <t>University of Wisconsin</t>
  </si>
  <si>
    <t>0023-7639</t>
  </si>
  <si>
    <t>2017-2019</t>
  </si>
  <si>
    <t>http://www.riss.kr/link?id=S18154</t>
  </si>
  <si>
    <t>Landscape Architecture</t>
  </si>
  <si>
    <t>American Society of Landscape Architects</t>
  </si>
  <si>
    <t>0023-8031</t>
  </si>
  <si>
    <t>1994-2011</t>
  </si>
  <si>
    <t>AHCI</t>
  </si>
  <si>
    <t>http://www.riss.kr/link?id=S15441</t>
  </si>
  <si>
    <t>Old City Publishing, Inc.</t>
  </si>
  <si>
    <t>http://www.riss.kr/link?id=S11588287</t>
  </si>
  <si>
    <t>2010, 2012-2019</t>
  </si>
  <si>
    <t>http://www.riss.kr/link?id=S105345</t>
  </si>
  <si>
    <t>Limnology and Oceanography</t>
  </si>
  <si>
    <t>0024-3590</t>
  </si>
  <si>
    <t>1969, 1996-2013</t>
  </si>
  <si>
    <t>http://www.riss.kr/link?id=S16895</t>
  </si>
  <si>
    <t>Lipids</t>
  </si>
  <si>
    <t>0024-4201</t>
  </si>
  <si>
    <t>1989-2013</t>
  </si>
  <si>
    <t>http://www.riss.kr/link?id=S28375</t>
  </si>
  <si>
    <t>Machine Design</t>
  </si>
  <si>
    <t>0024-9114</t>
  </si>
  <si>
    <t>1952-1959, 1978-2021</t>
  </si>
  <si>
    <t>http://www.riss.kr/link?id=S16024</t>
  </si>
  <si>
    <t>http://www.riss.kr/link?id=S20011296</t>
  </si>
  <si>
    <t>Machining science and Technology</t>
  </si>
  <si>
    <t>1091-0344</t>
  </si>
  <si>
    <t>http://www.riss.kr/link?id=S403110</t>
  </si>
  <si>
    <t>Magazine of Concrete Research</t>
  </si>
  <si>
    <t>0024-9831</t>
  </si>
  <si>
    <t>http://www.riss.kr/link?id=S15591</t>
  </si>
  <si>
    <t>Management Information System Quarterly</t>
  </si>
  <si>
    <t xml:space="preserve"> M I S Research Center</t>
  </si>
  <si>
    <t>0276-7783</t>
  </si>
  <si>
    <t>1977, 1979-1983, 1985-1998</t>
  </si>
  <si>
    <t>http://www.riss.kr/link?id=S87400</t>
  </si>
  <si>
    <t>1999, 2010-2019</t>
  </si>
  <si>
    <t>http://www.riss.kr/link?id=S50057</t>
  </si>
  <si>
    <t>Marine Engineering</t>
  </si>
  <si>
    <t>Japan Institution of Marine Engineering</t>
  </si>
  <si>
    <t>1346-1427</t>
  </si>
  <si>
    <t>http://www.riss.kr/link?id=S20095808</t>
  </si>
  <si>
    <t>Marine Engineers Review</t>
  </si>
  <si>
    <t>The Institute of Marine Engineering, Science and Technology</t>
  </si>
  <si>
    <t>http://www.riss.kr/link?id=S11573535</t>
  </si>
  <si>
    <t>Marine Log</t>
  </si>
  <si>
    <t>Simmons-Boardman Publishing Corp.</t>
  </si>
  <si>
    <t>0897-0491</t>
  </si>
  <si>
    <t>http://www.riss.kr/link?id=S413153</t>
  </si>
  <si>
    <t>Marine Technology</t>
  </si>
  <si>
    <t>2153-4721</t>
  </si>
  <si>
    <t>http://www.riss.kr/link?id=S16019</t>
  </si>
  <si>
    <t>Marine Technology Society</t>
  </si>
  <si>
    <t>http://www.riss.kr/link?id=S16890</t>
  </si>
  <si>
    <t>Syscom 18 s.r.l.</t>
  </si>
  <si>
    <t>http://www.riss.kr/link?id=S407614</t>
  </si>
  <si>
    <t>Materialpruefung</t>
  </si>
  <si>
    <t>Carl Hanser Verlag GmbH &amp; Co. KG</t>
  </si>
  <si>
    <t>0025-5300</t>
  </si>
  <si>
    <t>http://www.riss.kr/link?id=S407616</t>
  </si>
  <si>
    <t>Materials and Manufacturing Processes</t>
  </si>
  <si>
    <t>1042-6914</t>
  </si>
  <si>
    <t>http://www.riss.kr/link?id=S416735</t>
  </si>
  <si>
    <t>Materials and Structures</t>
  </si>
  <si>
    <t>Rilem Publications</t>
  </si>
  <si>
    <t>1359-5997</t>
  </si>
  <si>
    <t>http://www.riss.kr/link?id=S71144</t>
  </si>
  <si>
    <t>Materials at High Temperatures</t>
  </si>
  <si>
    <t>0960-3409</t>
  </si>
  <si>
    <t>http://www.riss.kr/link?id=S416408</t>
  </si>
  <si>
    <t>Materials Evaluation</t>
  </si>
  <si>
    <t>American Society for Nondestructive Testing</t>
  </si>
  <si>
    <t>0025-5327</t>
  </si>
  <si>
    <t>http://www.riss.kr/link?id=S50051</t>
  </si>
  <si>
    <t>http://www.riss.kr/link?id=S409124</t>
  </si>
  <si>
    <t>Materials science and Technology</t>
  </si>
  <si>
    <t>0267-0836</t>
  </si>
  <si>
    <t>http://www.riss.kr/link?id=S15590</t>
  </si>
  <si>
    <t>Materials science Forum</t>
  </si>
  <si>
    <t>0255-5476</t>
  </si>
  <si>
    <t>http://www.riss.kr/link?id=S22129</t>
  </si>
  <si>
    <t>Materials Technology</t>
  </si>
  <si>
    <t>1066-7857</t>
  </si>
  <si>
    <t>http://www.riss.kr/link?id=S402424</t>
  </si>
  <si>
    <t>Materials Transactions</t>
  </si>
  <si>
    <t>Japan Institute of Metals</t>
  </si>
  <si>
    <t>1345-9678</t>
  </si>
  <si>
    <t>http://www.riss.kr/link?id=S20012366</t>
  </si>
  <si>
    <t>http://www.riss.kr/link?id=S402867</t>
  </si>
  <si>
    <t>Mathematics Magazine</t>
  </si>
  <si>
    <t>Mathematical Association of America</t>
  </si>
  <si>
    <t>0025-570X</t>
  </si>
  <si>
    <t>1947-1963, 1965-1974, 1976-1979, 1989-2021</t>
  </si>
  <si>
    <t>http://www.riss.kr/link?id=S17471</t>
  </si>
  <si>
    <t>1971-1972, 1984-2019</t>
  </si>
  <si>
    <t>http://www.riss.kr/link?id=S17467</t>
  </si>
  <si>
    <t xml:space="preserve">National Council of Teachers of Mathematics </t>
  </si>
  <si>
    <t>http://www.riss.kr/link?id=S418638</t>
  </si>
  <si>
    <t>Mathematische Annalen</t>
  </si>
  <si>
    <t>0025-5831</t>
  </si>
  <si>
    <t>http://www.riss.kr/link?id=S17464</t>
  </si>
  <si>
    <t>Mathematische Zeitschrift</t>
  </si>
  <si>
    <t>0025-5874</t>
  </si>
  <si>
    <t>http://www.riss.kr/link?id=S83171</t>
  </si>
  <si>
    <t>http://www.riss.kr/link?id=S31000230</t>
  </si>
  <si>
    <t>Mechanical Engineering</t>
  </si>
  <si>
    <t xml:space="preserve">The American Society of Mechanical Engineers </t>
  </si>
  <si>
    <t>0025-6501</t>
  </si>
  <si>
    <t>1961, 1964-1965, 1969-1970, 1973, 1986, 1999</t>
  </si>
  <si>
    <t>http://www.riss.kr/link?id=S16015</t>
  </si>
  <si>
    <t>2003-2008, 2010-2020</t>
  </si>
  <si>
    <t>http://www.riss.kr/link?id=S20010548</t>
  </si>
  <si>
    <t>Mechanics of Advanced Materials and Structures</t>
  </si>
  <si>
    <t>1537-6494</t>
  </si>
  <si>
    <t>http://www.riss.kr/link?id=S20010588</t>
  </si>
  <si>
    <t>Pleiades Publishing, Inc.</t>
  </si>
  <si>
    <t>1978-2019</t>
  </si>
  <si>
    <t>http://www.riss.kr/link?id=S17254</t>
  </si>
  <si>
    <t>International Newsletters Ltd.</t>
  </si>
  <si>
    <t>http://www.riss.kr/link?id=S409757</t>
  </si>
  <si>
    <t>Melliand International</t>
  </si>
  <si>
    <t>Deutscher Fachverlag GmbH</t>
  </si>
  <si>
    <t>0947-9163</t>
  </si>
  <si>
    <t>1995, 1997-2021</t>
  </si>
  <si>
    <t>http://www.riss.kr/link?id=S418445</t>
  </si>
  <si>
    <t>Melliand Textilberichte</t>
  </si>
  <si>
    <t>0341-0781</t>
  </si>
  <si>
    <t>1991, 1993-2021</t>
  </si>
  <si>
    <t>http://www.riss.kr/link?id=S15532</t>
  </si>
  <si>
    <t>Metallofizika i Noveishie Tekhnologii</t>
  </si>
  <si>
    <t>National Academy of Sciences of the Ukraine, Institute of Metal Physics</t>
  </si>
  <si>
    <t>http://www.riss.kr/link?id=S115382</t>
  </si>
  <si>
    <t>Metallurgical and Materials Transactions A - Physical Metallurgy and Materials science</t>
  </si>
  <si>
    <t>1073-5623</t>
  </si>
  <si>
    <t>http://www.riss.kr/link?id=S15584</t>
  </si>
  <si>
    <t>Metallurgical and Materials Transactions. B, Process Metallurgy and Materials Processing science</t>
  </si>
  <si>
    <t>1073-5615</t>
  </si>
  <si>
    <t>1981-2013, 2015-2021</t>
  </si>
  <si>
    <t>http://www.riss.kr/link?id=S28869</t>
  </si>
  <si>
    <t>Methods in Organic Synthesis</t>
  </si>
  <si>
    <t>0265-4245</t>
  </si>
  <si>
    <t>http://www.riss.kr/link?id=S28468</t>
  </si>
  <si>
    <t>Microbial Ecology</t>
  </si>
  <si>
    <t>0095-3628</t>
  </si>
  <si>
    <t>http://www.riss.kr/link?id=S16627</t>
  </si>
  <si>
    <t>Microscopy and Microanalysis</t>
  </si>
  <si>
    <t>1431-9276</t>
  </si>
  <si>
    <t>http://www.riss.kr/link?id=S405098</t>
  </si>
  <si>
    <t>Microwaves &amp; RF</t>
  </si>
  <si>
    <t>0745-2993</t>
  </si>
  <si>
    <t>1990, 1999</t>
  </si>
  <si>
    <t>http://www.riss.kr/link?id=S59777</t>
  </si>
  <si>
    <t>Mineral Processing and Extractive Metallurgy Review</t>
  </si>
  <si>
    <t>0882-7508</t>
  </si>
  <si>
    <t>http://www.riss.kr/link?id=S414541</t>
  </si>
  <si>
    <t>Minerals and Metallurgical Processing
(Mining, Metallurgy &amp; Exploration)</t>
  </si>
  <si>
    <t>2524-3462
(0747-9182)</t>
  </si>
  <si>
    <t>http://www.riss.kr/link?id=S97869</t>
  </si>
  <si>
    <t>モ-ドェモ-ド社</t>
  </si>
  <si>
    <t>1992-2020</t>
  </si>
  <si>
    <t>http://www.riss.kr/link?id=S20069046</t>
  </si>
  <si>
    <t>Modern Casting</t>
  </si>
  <si>
    <t>0026-7562</t>
  </si>
  <si>
    <t>1973, 1975-2021</t>
  </si>
  <si>
    <t>http://www.riss.kr/link?id=S15527</t>
  </si>
  <si>
    <t>Molecular and General Genetics</t>
  </si>
  <si>
    <t>1617-4615</t>
  </si>
  <si>
    <t>2001-2013</t>
  </si>
  <si>
    <t>http://www.riss.kr/link?id=S85996</t>
  </si>
  <si>
    <t>Molecular Plant-Microbe Interactions</t>
  </si>
  <si>
    <t>American Phytopathological Society</t>
  </si>
  <si>
    <t>0894-0282</t>
  </si>
  <si>
    <t>2002-2019</t>
  </si>
  <si>
    <t>http://www.riss.kr/link?id=S48092</t>
  </si>
  <si>
    <t>The Enthusiast Network</t>
  </si>
  <si>
    <t>http://www.riss.kr/link?id=S114686</t>
  </si>
  <si>
    <t>MRS Bulletin- Materials Research Society</t>
  </si>
  <si>
    <t>0883-7694</t>
  </si>
  <si>
    <t>http://www.riss.kr/link?id=S31001281</t>
  </si>
  <si>
    <t>Mycologia</t>
  </si>
  <si>
    <t>0027-5514</t>
  </si>
  <si>
    <t>1964-1965, 1988-1990, 1996-2013</t>
  </si>
  <si>
    <t>http://www.riss.kr/link?id=S16558</t>
  </si>
  <si>
    <t>Mycoscience</t>
  </si>
  <si>
    <t>1340-3540</t>
  </si>
  <si>
    <t>1995-2002, 2004-2015</t>
  </si>
  <si>
    <t>http://www.riss.kr/link?id=S49062</t>
  </si>
  <si>
    <t>Nano Research</t>
  </si>
  <si>
    <t>1998-0124</t>
  </si>
  <si>
    <t>http://www.riss.kr/link?id=S31027366</t>
  </si>
  <si>
    <t>Nanoscale</t>
  </si>
  <si>
    <t>2040-3364</t>
  </si>
  <si>
    <t>http://www.riss.kr/link?id=S90009813</t>
  </si>
  <si>
    <r>
      <rPr>
        <sz val="9"/>
        <color theme="1"/>
        <rFont val="Calibri"/>
        <family val="2"/>
      </rPr>
      <t>Nano</t>
    </r>
    <r>
      <rPr>
        <sz val="9"/>
        <color rgb="FF000000"/>
        <rFont val="Malgun Gothic"/>
        <family val="3"/>
        <charset val="129"/>
      </rPr>
      <t>science and Nanotechnology Letters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</si>
  <si>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</si>
  <si>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http://www.riss.kr/search/detail/DetailView.do?p_mat_type=3a11008f85f7c51d&amp;control_no=82d241e0b62bb082</t>
  </si>
  <si>
    <t>M A I K Nauka - Interperiodica</t>
  </si>
  <si>
    <t>http://www.riss.kr/link?id=S31025348</t>
  </si>
  <si>
    <t>Natural Product Reports</t>
  </si>
  <si>
    <t>0265-0568</t>
  </si>
  <si>
    <t>1997-2004, 2006-2013</t>
  </si>
  <si>
    <t>http://www.riss.kr/link?id=S14360</t>
  </si>
  <si>
    <t>Nature</t>
  </si>
  <si>
    <t>0028-0836</t>
  </si>
  <si>
    <t>1973-2012</t>
  </si>
  <si>
    <t>http://www.riss.kr/link?id=S6626</t>
  </si>
  <si>
    <t>Naunyn-Schmiedeberg's Archives of Pharmacology</t>
  </si>
  <si>
    <t>0028-1298</t>
  </si>
  <si>
    <t>1981-1994, 1997-2013</t>
  </si>
  <si>
    <t>http://www.riss.kr/link?id=S31001902</t>
  </si>
  <si>
    <t>Navigation</t>
  </si>
  <si>
    <t>Japan Institute of Navigation</t>
  </si>
  <si>
    <t>0919-9985</t>
  </si>
  <si>
    <t>http://www.riss.kr/link?id=S417089</t>
  </si>
  <si>
    <t>http://www.riss.kr/link?id=S105342</t>
  </si>
  <si>
    <t>News Bulletin</t>
  </si>
  <si>
    <t>0277-1365</t>
  </si>
  <si>
    <t>1998-2009</t>
  </si>
  <si>
    <t>http://www.riss.kr/link?id=S73295</t>
  </si>
  <si>
    <t>Nippon Kinzoku Gakkaishi</t>
  </si>
  <si>
    <t>日本金屬學會</t>
  </si>
  <si>
    <t>0021-4876</t>
  </si>
  <si>
    <t>1950-1961, 1963, 1971, 1974-2021</t>
  </si>
  <si>
    <t>http://www.riss.kr/link?id=S108179</t>
  </si>
  <si>
    <t>Noise &amp; Vibration Worldwide</t>
  </si>
  <si>
    <t xml:space="preserve">Sage Publications Ltd. </t>
  </si>
  <si>
    <t>http://www.riss.kr/link?id=S416149</t>
  </si>
  <si>
    <t>http://www.riss.kr/link?id=S402182</t>
  </si>
  <si>
    <t>Nordic Pulp &amp; Paper Research Journal</t>
  </si>
  <si>
    <t>http://www.riss.kr/link?id=S410619</t>
  </si>
  <si>
    <t>Nucleic Acids Research</t>
  </si>
  <si>
    <t>0305-1048</t>
  </si>
  <si>
    <t>1986-1987, 1991-2011</t>
  </si>
  <si>
    <t>http://www.riss.kr/link?id=S16616</t>
  </si>
  <si>
    <t>Numerical Heat Transfer Part A</t>
  </si>
  <si>
    <t>1040-7782</t>
  </si>
  <si>
    <t>http://www.riss.kr/link?id=S20951</t>
  </si>
  <si>
    <t>Numerical Heat Transfer Part B</t>
  </si>
  <si>
    <t>1040-7790</t>
  </si>
  <si>
    <t>http://www.riss.kr/link?id=S20950</t>
  </si>
  <si>
    <t>Technology Systems Corporation</t>
  </si>
  <si>
    <t>http://www.riss.kr/link?id=S115386</t>
  </si>
  <si>
    <t>Emap Business Communications Asia Pte</t>
  </si>
  <si>
    <t>http://www.riss.kr/link?id=S414260</t>
  </si>
  <si>
    <t>Energie Informationsdienst GmbH</t>
  </si>
  <si>
    <t>http://www.riss.kr/link?id=S415066</t>
  </si>
  <si>
    <t>On-site</t>
  </si>
  <si>
    <t>Rogers Publishing Ltd.</t>
  </si>
  <si>
    <t>http://www.riss.kr/link?id=S115629</t>
  </si>
  <si>
    <t>Open Systems and Information Dynamics</t>
  </si>
  <si>
    <t>1230-1612</t>
  </si>
  <si>
    <t>http://www.riss.kr/link?id=S403685</t>
  </si>
  <si>
    <t>Operating Systems Review</t>
  </si>
  <si>
    <t>ACM Special Interest Group on Operating Systems</t>
  </si>
  <si>
    <t>0163-5980</t>
  </si>
  <si>
    <t>1981-1983, 1985-1987, 1989-1991, 2010-2011, 2013</t>
  </si>
  <si>
    <t>http://www.riss.kr/link?id=S18799</t>
  </si>
  <si>
    <t>Operations Research</t>
  </si>
  <si>
    <t>0030-364X</t>
  </si>
  <si>
    <t>1974-1991</t>
  </si>
  <si>
    <t>http://www.riss.kr/link?id=S15711</t>
  </si>
  <si>
    <t>1988-2019</t>
  </si>
  <si>
    <t>http://www.riss.kr/link?id=S20345</t>
  </si>
  <si>
    <t>Organic &amp; Biomolecular Chemistry</t>
  </si>
  <si>
    <t>1477-0520</t>
  </si>
  <si>
    <t>2003-2013</t>
  </si>
  <si>
    <t>http://www.riss.kr/link?id=S20010431</t>
  </si>
  <si>
    <t>Organic Preparations and Procedures International</t>
  </si>
  <si>
    <t>0030-4948</t>
  </si>
  <si>
    <t>1984-1986, 1988-2021</t>
  </si>
  <si>
    <t>http://www.riss.kr/link?id=S58540</t>
  </si>
  <si>
    <t>PCI Journal</t>
  </si>
  <si>
    <t>Precast - Prestressed Concrete Institute</t>
  </si>
  <si>
    <t>0887-9672</t>
  </si>
  <si>
    <t>1993-2004</t>
  </si>
  <si>
    <t>http://www.riss.kr/link?id=S15472</t>
  </si>
  <si>
    <t>Petroleum Geoscience</t>
  </si>
  <si>
    <t>1354-0793</t>
  </si>
  <si>
    <t>http://www.riss.kr/link?id=S404171</t>
  </si>
  <si>
    <t>Petroleum science and Technology</t>
  </si>
  <si>
    <t>1091-6466</t>
  </si>
  <si>
    <t>http://www.riss.kr/link?id=S403127</t>
  </si>
  <si>
    <t>http://www.riss.kr/link?id=S406197</t>
  </si>
  <si>
    <t>Pharmacological Reviews</t>
  </si>
  <si>
    <t>American Society for Pharmacology and Experimental Therapeutics</t>
  </si>
  <si>
    <t>0031-6997</t>
  </si>
  <si>
    <t>1962, 1984-2011</t>
  </si>
  <si>
    <t>http://www.riss.kr/link?id=S24337</t>
  </si>
  <si>
    <t>1996-2000, 2002-2020</t>
  </si>
  <si>
    <t>http://www.riss.kr/link?id=S17230</t>
  </si>
  <si>
    <t>Photochemical &amp; Photobiological sciences</t>
  </si>
  <si>
    <t>1474-905X</t>
  </si>
  <si>
    <t>2007-2013</t>
  </si>
  <si>
    <t>http://www.riss.kr/link?id=S20010854</t>
  </si>
  <si>
    <t>Physical Chemistry Chemical Physics</t>
  </si>
  <si>
    <t>1463-9076</t>
  </si>
  <si>
    <t>1999-2007, 2009-2013</t>
  </si>
  <si>
    <t>http://www.riss.kr/link?id=S29121</t>
  </si>
  <si>
    <t>Physical Geography</t>
  </si>
  <si>
    <t>0272-3646</t>
  </si>
  <si>
    <t>http://www.riss.kr/link?id=S12901</t>
  </si>
  <si>
    <t>Physics and Chemistry of Glasses</t>
  </si>
  <si>
    <t>0031-9090</t>
  </si>
  <si>
    <t>1984-2010, 2012, 2013</t>
  </si>
  <si>
    <t>http://www.riss.kr/link?id=S28226</t>
  </si>
  <si>
    <t>Physics in Medicine &amp; Biology</t>
  </si>
  <si>
    <t>2007-2017</t>
  </si>
  <si>
    <t>http://www.riss.kr/link?id=S24135</t>
  </si>
  <si>
    <t>Plant Molecular Biology</t>
  </si>
  <si>
    <t>0167-4412</t>
  </si>
  <si>
    <t>http://www.riss.kr/link?id=S15063</t>
  </si>
  <si>
    <t>Plant Physiology</t>
  </si>
  <si>
    <t>American Society of Plant Biologists</t>
  </si>
  <si>
    <t>0032-0889</t>
  </si>
  <si>
    <t>1964-1965, 1967-2014</t>
  </si>
  <si>
    <t>http://www.riss.kr/link?id=S16546</t>
  </si>
  <si>
    <t>Plant science Bulletin</t>
  </si>
  <si>
    <t>Botanical Society of America</t>
  </si>
  <si>
    <t>0032-0919</t>
  </si>
  <si>
    <t>http://www.riss.kr/link?id=S5799</t>
  </si>
  <si>
    <t>Planta</t>
  </si>
  <si>
    <t>0032-0935</t>
  </si>
  <si>
    <t>1988-2013</t>
  </si>
  <si>
    <t>http://www.riss.kr/link?id=S16542</t>
  </si>
  <si>
    <t>Plasma Physics Reports</t>
  </si>
  <si>
    <t>1063-780X</t>
  </si>
  <si>
    <t>http://www.riss.kr/link?id=S13269</t>
  </si>
  <si>
    <t>Plastics, Rubber and Composites</t>
  </si>
  <si>
    <t>1465-8011</t>
  </si>
  <si>
    <t>http://www.riss.kr/link?id=S23595</t>
  </si>
  <si>
    <t>Polymer bulletin</t>
  </si>
  <si>
    <t>0170-0839</t>
  </si>
  <si>
    <t>http://www.riss.kr/link?id=S13936</t>
  </si>
  <si>
    <t>Polymer Chemistry</t>
  </si>
  <si>
    <t>1759-9954</t>
  </si>
  <si>
    <t>http://www.riss.kr/link?id=S90009235</t>
  </si>
  <si>
    <t>Polymer Journal</t>
  </si>
  <si>
    <t xml:space="preserve">Nature Publishing Group </t>
  </si>
  <si>
    <t>0032-3896</t>
  </si>
  <si>
    <t>1974-1980, 1984-2013</t>
  </si>
  <si>
    <t>http://www.riss.kr/link?id=S17042</t>
  </si>
  <si>
    <t>Polymer Plastics Technology and Engineering</t>
  </si>
  <si>
    <t>2574-0881</t>
  </si>
  <si>
    <t>http://www.riss.kr/link?id=S411588</t>
  </si>
  <si>
    <t>2006-2020</t>
  </si>
  <si>
    <t>http://www.riss.kr/link?id=S13243</t>
  </si>
  <si>
    <t>Polymers and Polymer Composites</t>
  </si>
  <si>
    <t>0967-3911</t>
  </si>
  <si>
    <t>http://www.riss.kr/link?id=S11574226</t>
  </si>
  <si>
    <t>Popular Mechanics Magazine</t>
  </si>
  <si>
    <t>0032-4558</t>
  </si>
  <si>
    <t>1954-1955, 1958</t>
  </si>
  <si>
    <t>http://www.riss.kr/link?id=S60691</t>
  </si>
  <si>
    <t>International Centre for Diffraction Data</t>
  </si>
  <si>
    <t>http://www.riss.kr/link?id=S414990</t>
  </si>
  <si>
    <t>Inovar Communications</t>
  </si>
  <si>
    <t>2013-2020</t>
  </si>
  <si>
    <t>http://www.riss.kr/link?id=S31023689</t>
  </si>
  <si>
    <t>http://www.riss.kr/link?id=S5090</t>
  </si>
  <si>
    <t>Probability in the Engineering and Informational sciences</t>
  </si>
  <si>
    <t>http://www.riss.kr/link?id=S410425</t>
  </si>
  <si>
    <t>http://www.riss.kr/link?id=S103468</t>
  </si>
  <si>
    <t>http://www.riss.kr/link?id=S31000856</t>
  </si>
  <si>
    <t>http://www.riss.kr/link?id=S103490</t>
  </si>
  <si>
    <t>Proceedings of the Institution of Civil Engineers Civil Engineering</t>
  </si>
  <si>
    <t>http://www.riss.kr/link?id=S13527</t>
  </si>
  <si>
    <t>Proceedings of the Institution of Civil Engineers Structures and Buildings</t>
  </si>
  <si>
    <t>http://www.riss.kr/link?id=S13542</t>
  </si>
  <si>
    <t>Proceedings of the Institution of Civil Engineers Transport</t>
  </si>
  <si>
    <t>http://www.riss.kr/link?id=S35207</t>
  </si>
  <si>
    <t>Proceedings of the Institution of Mechanical Engineers Part A</t>
  </si>
  <si>
    <t>0957-6509</t>
  </si>
  <si>
    <t>1996-2004, 2010-2012</t>
  </si>
  <si>
    <t>http://www.riss.kr/link?id=S20881</t>
  </si>
  <si>
    <t>Proceedings of the Institution of Mechanical Engineers Part B</t>
  </si>
  <si>
    <t>0954-4054</t>
  </si>
  <si>
    <t>1996-2004, 2010-2021</t>
  </si>
  <si>
    <t>http://www.riss.kr/link?id=S15959</t>
  </si>
  <si>
    <t>Proceedings of the Institution of Mechanical Engineers Part C</t>
  </si>
  <si>
    <t>0954-4062</t>
  </si>
  <si>
    <t>1983-2004, 2010-2021</t>
  </si>
  <si>
    <t>http://www.riss.kr/link?id=S30006165</t>
  </si>
  <si>
    <t>Proceedings of the Institution of Mechanical Engineers Part D</t>
  </si>
  <si>
    <t>0954-4070</t>
  </si>
  <si>
    <t>1989-2003, 2010-2021</t>
  </si>
  <si>
    <t>http://www.riss.kr/link?id=S20886</t>
  </si>
  <si>
    <t>Proceedings of the Institution of Mechanical Engineers Part E</t>
  </si>
  <si>
    <t>0954-4089</t>
  </si>
  <si>
    <t>1997-2004, 2010-2013</t>
  </si>
  <si>
    <t>http://www.riss.kr/link?id=S20891</t>
  </si>
  <si>
    <t>Proceedings of the Institution of Mechanical Engineers Part F</t>
  </si>
  <si>
    <t>0954-4097</t>
  </si>
  <si>
    <t>1997-2004, 2010-2021</t>
  </si>
  <si>
    <t>http://www.riss.kr/link?id=S20890</t>
  </si>
  <si>
    <t>Proceedings of the Institution of Mechanical Engineers Part G</t>
  </si>
  <si>
    <t>0954-4100</t>
  </si>
  <si>
    <t>http://www.riss.kr/link?id=S31000857</t>
  </si>
  <si>
    <t>Proceedings of the Institution of Mechanical Engineers Part H</t>
  </si>
  <si>
    <t>0954-4119</t>
  </si>
  <si>
    <t>http://www.riss.kr/link?id=S45501</t>
  </si>
  <si>
    <t>Proceedings of the Institution of Mechanical Engineers Part I</t>
  </si>
  <si>
    <t>0959-6518</t>
  </si>
  <si>
    <t>http://www.riss.kr/link?id=S20888</t>
  </si>
  <si>
    <t>Proceedings of the Institution of Mechanical Engineers Part J</t>
  </si>
  <si>
    <t>1350-6501</t>
  </si>
  <si>
    <t>1996-2004, 2010-2013</t>
  </si>
  <si>
    <t>http://www.riss.kr/link?id=S13543</t>
  </si>
  <si>
    <t>Proceedings of the Institution of Mechanical Engineers Part K. Journal of Multi-Body Dynamics</t>
  </si>
  <si>
    <t>1464-4193</t>
  </si>
  <si>
    <t>1999-2004, 2010-2021</t>
  </si>
  <si>
    <t>http://www.riss.kr/link?id=S103925</t>
  </si>
  <si>
    <t>Proceedings of the Institution of Mechanical Engineers Part L. Journal of Materials: Design and Applications</t>
  </si>
  <si>
    <t>1464-4207</t>
  </si>
  <si>
    <t>1999-2004, 2010-2012</t>
  </si>
  <si>
    <t>http://www.riss.kr/link?id=S11634165</t>
  </si>
  <si>
    <t>Proceedings of the Institution of Mechanical Engineers, Part M: Journal of Engineering for the Maritime Environment</t>
  </si>
  <si>
    <t>1475-0902</t>
  </si>
  <si>
    <t>2002-2004, 2012-2021</t>
  </si>
  <si>
    <t>http://www.riss.kr/link?id=S20010735</t>
  </si>
  <si>
    <t>Proceedings of the Institution of Mechanical Engineers, Part P: Journal of Sports Engineering and Technology</t>
  </si>
  <si>
    <t>1754-3371</t>
  </si>
  <si>
    <t>http://www.riss.kr/link?id=S31026610</t>
  </si>
  <si>
    <t>Proceedings of the Ocean Drilling Program Initial report</t>
  </si>
  <si>
    <t>Texas A &amp; M University * Ocean Drilling Program</t>
  </si>
  <si>
    <t>0884-5883</t>
  </si>
  <si>
    <t>http://www.riss.kr/link?id=S11644259</t>
  </si>
  <si>
    <t>Proceedings of the Ocean Drilling Program scientific Results</t>
  </si>
  <si>
    <t>0884-5891</t>
  </si>
  <si>
    <t>1998-2002, 2005</t>
  </si>
  <si>
    <t>http://www.riss.kr/link?id=S5548</t>
  </si>
  <si>
    <t>Proceedings of the Royal Society of London A</t>
  </si>
  <si>
    <t>The Royal Society</t>
  </si>
  <si>
    <t>1364-5021</t>
  </si>
  <si>
    <t>1981-1995, 2000-2013</t>
  </si>
  <si>
    <t>http://www.riss.kr/link?id=S28961</t>
  </si>
  <si>
    <t>Production Planning &amp; /control</t>
  </si>
  <si>
    <t>0953-7287</t>
  </si>
  <si>
    <t>http://www.riss.kr/link?id=S21812</t>
  </si>
  <si>
    <t>Progress in Colloid and Polymer science</t>
  </si>
  <si>
    <t>1997-2002, 2004, 2008-2010, 2012, 2013</t>
  </si>
  <si>
    <t>http://www.riss.kr/link?id=S39035</t>
  </si>
  <si>
    <t>Progress in Computational Fluid Dynamics, An International Journal</t>
  </si>
  <si>
    <t>1468-4349</t>
  </si>
  <si>
    <t>http://www.riss.kr/link?id=S30000694</t>
  </si>
  <si>
    <t>http://www.riss.kr/link?id=S20010759</t>
  </si>
  <si>
    <t>Progress of Theoretical Physics</t>
  </si>
  <si>
    <t>0033-068X</t>
  </si>
  <si>
    <t>1961-1962, 1981-1990, 2004-2012</t>
  </si>
  <si>
    <t>http://www.riss.kr/link?id=S17210</t>
  </si>
  <si>
    <t>Progressive Architecture</t>
  </si>
  <si>
    <t>Reinhold Pub. Corp., etc</t>
  </si>
  <si>
    <t>0033-0752</t>
  </si>
  <si>
    <t>1991-1995</t>
  </si>
  <si>
    <t>http://www.riss.kr/link?id=S15411</t>
  </si>
  <si>
    <t>Publications of the Astronomical Society of the Pacific</t>
  </si>
  <si>
    <t>Astronomical Society of the Pacific</t>
  </si>
  <si>
    <t>0004-6280</t>
  </si>
  <si>
    <t>http://www.riss.kr/link?id=S17357</t>
  </si>
  <si>
    <t>Pure and Applied Chemistry</t>
  </si>
  <si>
    <t>International Union of Pure and Applied Chemistry</t>
  </si>
  <si>
    <t>0033-4545</t>
  </si>
  <si>
    <t>1969, 1984-2014</t>
  </si>
  <si>
    <t>http://www.riss.kr/link?id=S12821</t>
  </si>
  <si>
    <t>Lavoisier</t>
  </si>
  <si>
    <t>2012-2019</t>
  </si>
  <si>
    <t>http://www.riss.kr/link?id=S143757</t>
  </si>
  <si>
    <t>Quarterly Journal of Engineering Geology and Hydrogeology</t>
  </si>
  <si>
    <t>1470-9236</t>
  </si>
  <si>
    <t>http://www.riss.kr/link?id=S15954</t>
  </si>
  <si>
    <t>Chelsea Magazine Company Ltd.</t>
  </si>
  <si>
    <t>http://www.riss.kr/link?id=S416464</t>
  </si>
  <si>
    <t>RadTech Report</t>
  </si>
  <si>
    <t>http://www.riss.kr/link?id=S402100</t>
  </si>
  <si>
    <t>Rapid Prototyping Journal</t>
  </si>
  <si>
    <t>1355-2546</t>
  </si>
  <si>
    <t>http://www.riss.kr/link?id=S404213</t>
  </si>
  <si>
    <t>Recent Patents on Nanotechnology</t>
  </si>
  <si>
    <t>Bentham science Publishers Ltd.</t>
  </si>
  <si>
    <t>1872-2105</t>
  </si>
  <si>
    <t>http://www.riss.kr/link?id=S31015676</t>
  </si>
  <si>
    <t>Research Disclosure</t>
  </si>
  <si>
    <t>Questel Ireland Ltd</t>
  </si>
  <si>
    <t>0374-4353</t>
  </si>
  <si>
    <t>http://www.riss.kr/link?id=S410682</t>
  </si>
  <si>
    <t>Research in Nondestructive Evaluation</t>
  </si>
  <si>
    <t>0934-9847</t>
  </si>
  <si>
    <t>http://www.riss.kr/link?id=S416272</t>
  </si>
  <si>
    <t>Resource Geology</t>
  </si>
  <si>
    <t>Society of Resource Geology</t>
  </si>
  <si>
    <t>1993-1997, 2000-2016, 2020</t>
  </si>
  <si>
    <t>http://www.riss.kr/link?id=S417085</t>
  </si>
  <si>
    <t>Resource Geology -English Edition-</t>
  </si>
  <si>
    <t>1344-1698</t>
  </si>
  <si>
    <t>1998-2015</t>
  </si>
  <si>
    <t>http://www.riss.kr/link?id=S403964</t>
  </si>
  <si>
    <t>Review of Automotive Engineering</t>
  </si>
  <si>
    <t>Society of Automotive Engineers of Japan, Inc.</t>
  </si>
  <si>
    <t>1349-4724</t>
  </si>
  <si>
    <t>http://www.riss.kr/link?id=S31002774</t>
  </si>
  <si>
    <t>Reviews in Mineralogy and Geochemistry</t>
  </si>
  <si>
    <t>Mineralogical Society of America</t>
  </si>
  <si>
    <t>1529-6466</t>
  </si>
  <si>
    <t>2000-2010, 2012-2021</t>
  </si>
  <si>
    <t>http://www.riss.kr/link?id=S72024</t>
  </si>
  <si>
    <t>Rheologica Acta: An International Journal of Rheology</t>
  </si>
  <si>
    <t>0035-4511</t>
  </si>
  <si>
    <t>http://www.riss.kr/link?id=S107335</t>
  </si>
  <si>
    <t>Road Materials and Pavement Design</t>
  </si>
  <si>
    <t>1468-0629</t>
  </si>
  <si>
    <t>http://www.riss.kr/link?id=S31023273</t>
  </si>
  <si>
    <t>combridge university press</t>
  </si>
  <si>
    <t>http://www.riss.kr/link?id=S91311</t>
  </si>
  <si>
    <t xml:space="preserve">Access Intelligence, LLC </t>
  </si>
  <si>
    <t>http://www.riss.kr/link?id=S402427</t>
  </si>
  <si>
    <t>Rubber Chemistry and Technology</t>
  </si>
  <si>
    <t>American Chemical Society * Rubber Division</t>
  </si>
  <si>
    <t>0035-9475</t>
  </si>
  <si>
    <t>1991-2010</t>
  </si>
  <si>
    <t>http://www.riss.kr/link?id=S15519</t>
  </si>
  <si>
    <t>Russian Academy of sciences. Izvestiya. Atmospheric and Oceanic Physics</t>
  </si>
  <si>
    <t>0001-4338</t>
  </si>
  <si>
    <t>http://www.riss.kr/link?id=S16998</t>
  </si>
  <si>
    <t>Russian Electrical Engineering</t>
  </si>
  <si>
    <t>Allerton Press</t>
  </si>
  <si>
    <t>1068-3712</t>
  </si>
  <si>
    <t>1993-2004, 2006-2013</t>
  </si>
  <si>
    <t>http://www.riss.kr/link?id=S417604</t>
  </si>
  <si>
    <t>http://www.riss.kr/link?id=S415386</t>
  </si>
  <si>
    <t>SAE Transactions</t>
  </si>
  <si>
    <t>Society of Automotive Engineers</t>
  </si>
  <si>
    <t>0096-736X</t>
  </si>
  <si>
    <t>http://www.riss.kr/link?id=S15933</t>
  </si>
  <si>
    <t>SAMPE Journal</t>
  </si>
  <si>
    <t>0091-1062</t>
  </si>
  <si>
    <t>2010-2011</t>
  </si>
  <si>
    <t>http://www.riss.kr/link?id=S408997</t>
  </si>
  <si>
    <t>Sankhya. Indian Journal of Statistics</t>
  </si>
  <si>
    <t>Indian Statistical Institute</t>
  </si>
  <si>
    <t>0972-7671</t>
  </si>
  <si>
    <t>2010, 2013</t>
  </si>
  <si>
    <t>http://www.riss.kr/link?id=S20099271</t>
  </si>
  <si>
    <t>Schweissen und Schneiden</t>
  </si>
  <si>
    <t>D V S Media GmbH</t>
  </si>
  <si>
    <t>0036-7184</t>
  </si>
  <si>
    <t>http://www.riss.kr/link?id=S417529</t>
  </si>
  <si>
    <t>science</t>
  </si>
  <si>
    <t>American Association for the Advancement of science</t>
  </si>
  <si>
    <t>0036-8075</t>
  </si>
  <si>
    <t>1931-1948, 1958-1963, 1966, 1969-2013</t>
  </si>
  <si>
    <t>http://www.riss.kr/link?id=S6601</t>
  </si>
  <si>
    <t>science and Engineering of Composite Materials</t>
  </si>
  <si>
    <t>0792-1233</t>
  </si>
  <si>
    <t>http://www.riss.kr/link?id=S413600</t>
  </si>
  <si>
    <r>
      <rPr>
        <sz val="9"/>
        <color theme="1"/>
        <rFont val="Calibri"/>
        <family val="2"/>
      </rPr>
      <t>2019</t>
    </r>
    <r>
      <rPr>
        <sz val="9"/>
        <color rgb="FF000000"/>
        <rFont val="Malgun Gothic"/>
        <family val="3"/>
        <charset val="129"/>
      </rPr>
      <t>-2020</t>
    </r>
  </si>
  <si>
    <t>http://www.riss.kr/link?id=S20012183</t>
  </si>
  <si>
    <t>science China Technological sciences</t>
  </si>
  <si>
    <t>Science in China Press</t>
  </si>
  <si>
    <t>1674-7321</t>
  </si>
  <si>
    <t>http://www.riss.kr/link?id=S11574962</t>
  </si>
  <si>
    <t>science Of Advanced Materials</t>
  </si>
  <si>
    <t>1947-2935</t>
  </si>
  <si>
    <t>2012-2014, 2016-2021</t>
  </si>
  <si>
    <t>http://www.riss.kr/link?id=S143758</t>
  </si>
  <si>
    <t>scientific American</t>
  </si>
  <si>
    <t>0036-8733</t>
  </si>
  <si>
    <t>1950-2021</t>
  </si>
  <si>
    <t>http://www.riss.kr/link?id=S6600</t>
  </si>
  <si>
    <t>Compass Publications, Inc.</t>
  </si>
  <si>
    <t>http://www.riss.kr/link?id=S16848</t>
  </si>
  <si>
    <t>The Nautical Institute</t>
  </si>
  <si>
    <t>http://www.riss.kr/link?id=S410797</t>
  </si>
  <si>
    <t>Sensor Letters</t>
  </si>
  <si>
    <t>1546-198X</t>
  </si>
  <si>
    <t>http://www.riss.kr/link?id=S103626</t>
  </si>
  <si>
    <t>Sensors and Materials</t>
  </si>
  <si>
    <t>M Y U * Scientific Publishing Division</t>
  </si>
  <si>
    <t>0914-4935</t>
  </si>
  <si>
    <t>http://www.riss.kr/link?id=S418358</t>
  </si>
  <si>
    <t>Separation science and Technology</t>
  </si>
  <si>
    <t>0149-6395</t>
  </si>
  <si>
    <t>http://www.riss.kr/link?id=S17031</t>
  </si>
  <si>
    <t>Ship Technology Research</t>
  </si>
  <si>
    <t>0937-7255</t>
  </si>
  <si>
    <t>http://www.riss.kr/link?id=S13240</t>
  </si>
  <si>
    <t>Shiprepair</t>
  </si>
  <si>
    <t>Mercator Media Ltd.</t>
  </si>
  <si>
    <t>http://www.riss.kr/link?id=S5102</t>
  </si>
  <si>
    <t>Ships and Offshore Structures</t>
  </si>
  <si>
    <t>1744-5302</t>
  </si>
  <si>
    <t>http://www.riss.kr/link?id=S31019601</t>
  </si>
  <si>
    <t>Shock and Vibration</t>
  </si>
  <si>
    <t>1070-9622</t>
  </si>
  <si>
    <t>http://www.riss.kr/link?id=S11575494</t>
  </si>
  <si>
    <t>SIAM Journal on Computing</t>
  </si>
  <si>
    <t>0097-5397</t>
  </si>
  <si>
    <t>1974, 1996-2013</t>
  </si>
  <si>
    <t>http://www.riss.kr/link?id=S18795</t>
  </si>
  <si>
    <t>SIAM Journal on Control and Optimization</t>
  </si>
  <si>
    <t>1988-1997, 2010-2018</t>
  </si>
  <si>
    <t>http://www.riss.kr/link?id=S17423</t>
  </si>
  <si>
    <t>SIAM Review</t>
  </si>
  <si>
    <t>0036-1445</t>
  </si>
  <si>
    <t>1959, 1961-2013</t>
  </si>
  <si>
    <t>http://www.riss.kr/link?id=S17420</t>
  </si>
  <si>
    <t>SID International Symposium. Digest of Technical Papers</t>
  </si>
  <si>
    <t>0097-966X</t>
  </si>
  <si>
    <t>http://www.riss.kr/link?id=S409282</t>
  </si>
  <si>
    <t>Significance</t>
  </si>
  <si>
    <t>1740-9705</t>
  </si>
  <si>
    <t>2004, 2006, 2008, 2009</t>
  </si>
  <si>
    <t>http://www.riss.kr/link?id=S20067228</t>
  </si>
  <si>
    <t>Smart Structures and Systems : an international journal of Mechatronics, Sensors, Monitoring, Control, Diagnosis, &amp; Life Cycle Eng</t>
  </si>
  <si>
    <t>1738-1584</t>
  </si>
  <si>
    <t>http://www.riss.kr/link?id=S113997</t>
  </si>
  <si>
    <t>Soft Materials</t>
  </si>
  <si>
    <t>1539-445X</t>
  </si>
  <si>
    <t>http://www.riss.kr/link?id=S20012913</t>
  </si>
  <si>
    <t>Soil &amp; Sediment Contamination</t>
  </si>
  <si>
    <t>1532-0383</t>
  </si>
  <si>
    <t>http://www.riss.kr/link?id=S405698</t>
  </si>
  <si>
    <t>Japanese Society of Soil Mechanics and Foundation Engineering</t>
  </si>
  <si>
    <t>1981-1982, 2011-2020</t>
  </si>
  <si>
    <t>http://www.riss.kr/link?id=S43165</t>
  </si>
  <si>
    <t>SOKEIZAI</t>
  </si>
  <si>
    <t>Materials Process Technology Center</t>
  </si>
  <si>
    <t>0910-1985</t>
  </si>
  <si>
    <t>http://www.riss.kr/link?id=S417077</t>
  </si>
  <si>
    <t>Soldering &amp; Surface Mount Technology</t>
  </si>
  <si>
    <t>0954-0911</t>
  </si>
  <si>
    <t>http://www.riss.kr/link?id=S415705</t>
  </si>
  <si>
    <t>http://www.riss.kr/link?id=S417596</t>
  </si>
  <si>
    <t>Space Communications</t>
  </si>
  <si>
    <t>0924-8625</t>
  </si>
  <si>
    <t>1996, 2010, 2013</t>
  </si>
  <si>
    <t>http://www.riss.kr/link?id=S13525</t>
  </si>
  <si>
    <t>SPE Drilling &amp; Completion</t>
  </si>
  <si>
    <t>Society of Petroleum Engineers, Inc.</t>
  </si>
  <si>
    <t>1064-6671</t>
  </si>
  <si>
    <t>http://www.riss.kr/link?id=S402360</t>
  </si>
  <si>
    <t>SPE Journal</t>
  </si>
  <si>
    <t>1086-055X</t>
  </si>
  <si>
    <t>http://www.riss.kr/link?id=S402996</t>
  </si>
  <si>
    <t>SPE Production &amp; Operations</t>
  </si>
  <si>
    <t>1930-1855</t>
  </si>
  <si>
    <t>http://www.riss.kr/link?id=S402361</t>
  </si>
  <si>
    <t>SPE Reservoir Evaluation and Engineering</t>
  </si>
  <si>
    <t>1094-6470</t>
  </si>
  <si>
    <t>http://www.riss.kr/link?id=S403200</t>
  </si>
  <si>
    <t>인문학</t>
  </si>
  <si>
    <t>Speculum</t>
  </si>
  <si>
    <t>University of Chicago Press</t>
  </si>
  <si>
    <t>0038-7134</t>
  </si>
  <si>
    <t>1996-2003, 2005-2006, 2008-2013</t>
  </si>
  <si>
    <t>http://www.riss.kr/link?id=S15236</t>
  </si>
  <si>
    <t>http://www.riss.kr/link?id=S115388</t>
  </si>
  <si>
    <t>Statistica Sinica</t>
  </si>
  <si>
    <t>Academia Sinica * Institute of Statistical Science</t>
  </si>
  <si>
    <t>1017-0405</t>
  </si>
  <si>
    <t>http://www.riss.kr/link?id=S29090</t>
  </si>
  <si>
    <t>Statistical science</t>
  </si>
  <si>
    <t>Institute of Mathematical Statistics</t>
  </si>
  <si>
    <t>0883-4237</t>
  </si>
  <si>
    <t>1988-1994, 1996-2013</t>
  </si>
  <si>
    <t>http://www.riss.kr/link?id=S28428</t>
  </si>
  <si>
    <t>Steel &amp; Composite Structures: an international journal</t>
  </si>
  <si>
    <t>1229-9367</t>
  </si>
  <si>
    <t>http://www.riss.kr/link?id=S11640555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</si>
  <si>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</si>
  <si>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http://www.riss.kr/link?id=S85659</t>
  </si>
  <si>
    <t>Structural Engineering and Mechanics</t>
  </si>
  <si>
    <t>1225-4568</t>
  </si>
  <si>
    <t>http://www.riss.kr/link?id=S14380</t>
  </si>
  <si>
    <t>Structural Engineering International</t>
  </si>
  <si>
    <t>1016-8664</t>
  </si>
  <si>
    <t>http://www.riss.kr/link?id=S401354</t>
  </si>
  <si>
    <t>Structural Health Monitoring</t>
  </si>
  <si>
    <t>1475-9217</t>
  </si>
  <si>
    <t>http://www.riss.kr/link?id=S20014915</t>
  </si>
  <si>
    <t>http://www.riss.kr/link?id=S115390</t>
  </si>
  <si>
    <t>Structure &amp; Infrastructure Engineering</t>
  </si>
  <si>
    <t>1573-2479</t>
  </si>
  <si>
    <t>http://www.riss.kr/link?id=S31002302</t>
  </si>
  <si>
    <t>Studies in Conservation</t>
  </si>
  <si>
    <t>International Institute for Conservation of Historic and Aritistic Works</t>
  </si>
  <si>
    <t>0039-3630</t>
  </si>
  <si>
    <t>http://www.riss.kr/link?id=S407287</t>
  </si>
  <si>
    <t>Studies in the History of Gardens &amp; Designed Landscapes</t>
  </si>
  <si>
    <t>1460-1176</t>
  </si>
  <si>
    <t>1998, 2000-2002,2004-2019</t>
  </si>
  <si>
    <t>http://www.riss.kr/link?id=S405210</t>
  </si>
  <si>
    <t>Surface Engineering</t>
  </si>
  <si>
    <t>Institute of Metals and the Wolfson Institute for Surface Engineering</t>
  </si>
  <si>
    <t>0267-0844</t>
  </si>
  <si>
    <t>http://www.riss.kr/link?id=S12262</t>
  </si>
  <si>
    <t>Surface Review and Letters</t>
  </si>
  <si>
    <t>0218-625X</t>
  </si>
  <si>
    <t>http://www.riss.kr/link?id=S412793</t>
  </si>
  <si>
    <t>Survey Review</t>
  </si>
  <si>
    <t>0039-6265</t>
  </si>
  <si>
    <t>http://www.riss.kr/link?id=S20011380</t>
  </si>
  <si>
    <t>Surveys in Differential Geometry</t>
  </si>
  <si>
    <t>Lehigh University</t>
  </si>
  <si>
    <t>1052-9233</t>
  </si>
  <si>
    <t>1991, 1998-1999, 2009, 2011-2013</t>
  </si>
  <si>
    <t>http://www.riss.kr/link?id=S11645053</t>
  </si>
  <si>
    <t>Synthesis</t>
  </si>
  <si>
    <t>Georg Thieme Verlag</t>
  </si>
  <si>
    <t>0039-7881</t>
  </si>
  <si>
    <t>http://www.riss.kr/link?id=S68638</t>
  </si>
  <si>
    <t>Systematic Biology</t>
  </si>
  <si>
    <t>Society of Systematic Biologists</t>
  </si>
  <si>
    <t>1063-5157</t>
  </si>
  <si>
    <t>1991-2011</t>
  </si>
  <si>
    <t>http://www.riss.kr/link?id=S13274</t>
  </si>
  <si>
    <t>T3</t>
  </si>
  <si>
    <t>Future Publishing</t>
  </si>
  <si>
    <t>http://www.riss.kr/link?id=S20085548</t>
  </si>
  <si>
    <t>Taikabutsu</t>
  </si>
  <si>
    <t>Technical Association of Refractories</t>
  </si>
  <si>
    <t>0039-8993</t>
  </si>
  <si>
    <t>1980-2021</t>
  </si>
  <si>
    <t>http://www.riss.kr/link?id=S407398</t>
  </si>
  <si>
    <t>Technical Textiles International</t>
  </si>
  <si>
    <t>0964-5993</t>
  </si>
  <si>
    <t>http://www.riss.kr/link?id=S11574145</t>
  </si>
  <si>
    <t>Technisches Messen - TM</t>
  </si>
  <si>
    <t>De Gruyter Oldenbourg</t>
  </si>
  <si>
    <t>0171-8096</t>
  </si>
  <si>
    <t>http://www.riss.kr/link?id=S410779</t>
  </si>
  <si>
    <t>Techno Marine</t>
  </si>
  <si>
    <t>日本造船學會</t>
  </si>
  <si>
    <t>0916-8699</t>
  </si>
  <si>
    <t>1992-2004</t>
  </si>
  <si>
    <t>http://www.riss.kr/link?id=S80310</t>
  </si>
  <si>
    <t>Technology and Culture</t>
  </si>
  <si>
    <t>0040-165X</t>
  </si>
  <si>
    <t>SCIE, SSCI, AHCI, SCOPUS</t>
  </si>
  <si>
    <t>http://www.riss.kr/link?id=S16489</t>
  </si>
  <si>
    <t>Technometrics</t>
  </si>
  <si>
    <t>American Society for Quality Control</t>
  </si>
  <si>
    <t>0040-1706</t>
  </si>
  <si>
    <t>http://www.riss.kr/link?id=S15907</t>
  </si>
  <si>
    <t>Tenside Surfactants Detergents</t>
  </si>
  <si>
    <t>0932-3414</t>
  </si>
  <si>
    <t>http://www.riss.kr/link?id=S415882</t>
  </si>
  <si>
    <t>Textile Research Journal</t>
  </si>
  <si>
    <t>0040-5175</t>
  </si>
  <si>
    <t>http://www.riss.kr/link?id=S53708</t>
  </si>
  <si>
    <t>The Aeronautical Journal</t>
  </si>
  <si>
    <t>0001-9240</t>
  </si>
  <si>
    <t>http://www.riss.kr/link?id=S16322</t>
  </si>
  <si>
    <t>The American Journal of Clinical Nutrition</t>
  </si>
  <si>
    <t>American Society for Nutrition</t>
  </si>
  <si>
    <t>0002-9165</t>
  </si>
  <si>
    <t>1976-2019</t>
  </si>
  <si>
    <t>http://www.riss.kr/link?id=S16479</t>
  </si>
  <si>
    <t>The American Journal of science</t>
  </si>
  <si>
    <t>American Journal of Science</t>
  </si>
  <si>
    <t>0002-9599</t>
  </si>
  <si>
    <t>http://www.riss.kr/link?id=S11643712</t>
  </si>
  <si>
    <t>The American Mathematical Monthly</t>
  </si>
  <si>
    <t>0002-9890</t>
  </si>
  <si>
    <t>1923-1924, 1926-1984, 1988-2021</t>
  </si>
  <si>
    <t>http://www.riss.kr/link?id=S42967</t>
  </si>
  <si>
    <t>The American Mineralogist</t>
  </si>
  <si>
    <t>0003-004X</t>
  </si>
  <si>
    <t>1969, 1973-2021</t>
  </si>
  <si>
    <t>http://www.riss.kr/link?id=S17168</t>
  </si>
  <si>
    <t>The Annals of Statistics</t>
  </si>
  <si>
    <t>0090-5364</t>
  </si>
  <si>
    <t>1976, 1981-2021</t>
  </si>
  <si>
    <t>http://www.riss.kr/link?id=S17577</t>
  </si>
  <si>
    <t>The Architects' Journal</t>
  </si>
  <si>
    <t>The Architectural Press</t>
  </si>
  <si>
    <t>0003-8466</t>
  </si>
  <si>
    <t>http://www.riss.kr/link?id=S43399</t>
  </si>
  <si>
    <t>The Architectural Review</t>
  </si>
  <si>
    <t>Architectural Press Ltd.</t>
  </si>
  <si>
    <t>0003-861X</t>
  </si>
  <si>
    <t>http://www.riss.kr/link?id=S11603111</t>
  </si>
  <si>
    <t>The Astronomical Journal</t>
  </si>
  <si>
    <t>1975-2014</t>
  </si>
  <si>
    <t>http://www.riss.kr/link?id=S22287</t>
  </si>
  <si>
    <t>The Astrophysical Journal</t>
  </si>
  <si>
    <t>0004-637X</t>
  </si>
  <si>
    <t>1975-2015</t>
  </si>
  <si>
    <t>http://www.riss.kr/link?id=S48354</t>
  </si>
  <si>
    <t>The Baltic Journal of Road and Bridge Engineering</t>
  </si>
  <si>
    <t>Riga Technical University</t>
  </si>
  <si>
    <t>http://www.riss.kr/link?id=S115374</t>
  </si>
  <si>
    <t>The Bulletin of the London Mathematical Society</t>
  </si>
  <si>
    <t>0024-6093</t>
  </si>
  <si>
    <t>1989-1994, 1997-2011</t>
  </si>
  <si>
    <t>http://www.riss.kr/link?id=S17558</t>
  </si>
  <si>
    <t>The College Mathematics Journal</t>
  </si>
  <si>
    <t>0746-8342</t>
  </si>
  <si>
    <t>http://www.riss.kr/link?id=S13026</t>
  </si>
  <si>
    <t>The Cooling journal</t>
  </si>
  <si>
    <t>National Automotive Radiator Service Association</t>
  </si>
  <si>
    <t>http://www.riss.kr/link?id=S115630</t>
  </si>
  <si>
    <t>The Electrochemical Society Interface</t>
  </si>
  <si>
    <t>1996-2016</t>
  </si>
  <si>
    <t>http://www.riss.kr/link?id=S30007494</t>
  </si>
  <si>
    <t>The Fibonacci Quarterly</t>
  </si>
  <si>
    <t>Fibonacci Association</t>
  </si>
  <si>
    <t>0015-0517</t>
  </si>
  <si>
    <t>1963, 1965-1984, 1988-2004, 2006-2021</t>
  </si>
  <si>
    <t>http://www.riss.kr/link?id=S17539</t>
  </si>
  <si>
    <t>Associated Cement Companies Ltd.</t>
  </si>
  <si>
    <t>http://www.riss.kr/link?id=S28261</t>
  </si>
  <si>
    <t>The Industrial Robot</t>
  </si>
  <si>
    <t>0143-991X</t>
  </si>
  <si>
    <t>1982-2008, 2010</t>
  </si>
  <si>
    <t>http://www.riss.kr/link?id=S50066</t>
  </si>
  <si>
    <t>The International Journal of Aeroacoustics</t>
  </si>
  <si>
    <t>1475-472X</t>
  </si>
  <si>
    <t>http://www.riss.kr/link?id=S20011409</t>
  </si>
  <si>
    <t>The International Journal of Applied Electromagnetics and Mechanics</t>
  </si>
  <si>
    <t>1383-5416</t>
  </si>
  <si>
    <t>http://www.riss.kr/link?id=S415890</t>
  </si>
  <si>
    <t>The International Journal of Cast Metals Research</t>
  </si>
  <si>
    <t>1364-0461</t>
  </si>
  <si>
    <t>http://www.riss.kr/link?id=S405999</t>
  </si>
  <si>
    <t>The International Journal of Pavement Engineering</t>
  </si>
  <si>
    <t>1029-8436</t>
  </si>
  <si>
    <t>http://www.riss.kr/link?id=S20015069</t>
  </si>
  <si>
    <t>The Journal of Adhesion</t>
  </si>
  <si>
    <t>0021-8464</t>
  </si>
  <si>
    <t>http://www.riss.kr/link?id=S86061</t>
  </si>
  <si>
    <t>The Journal of Biochemistry</t>
  </si>
  <si>
    <t>0021-924X</t>
  </si>
  <si>
    <t>1981-2015</t>
  </si>
  <si>
    <t>http://www.riss.kr/link?id=S16670</t>
  </si>
  <si>
    <t>The Journal of Elastomers and Plastics</t>
  </si>
  <si>
    <t>0095-2443</t>
  </si>
  <si>
    <t>1992-1994, 1996-2007, 2009-2021</t>
  </si>
  <si>
    <t>http://www.riss.kr/link?id=S60841</t>
  </si>
  <si>
    <t>International Society of Explosives Engineers</t>
  </si>
  <si>
    <t>http://www.riss.kr/link?id=S411666</t>
  </si>
  <si>
    <t>The Journal of General and Applied Microbiology</t>
  </si>
  <si>
    <t>Applied Microbiology, Molecular and Cellulrar Biosciences Research Foundation</t>
  </si>
  <si>
    <t>0022-1260</t>
  </si>
  <si>
    <t>http://www.riss.kr/link?id=S16656</t>
  </si>
  <si>
    <t>The Journal of Heredity</t>
  </si>
  <si>
    <t>American Genetic Association</t>
  </si>
  <si>
    <t>0022-1503</t>
  </si>
  <si>
    <t>1963-1965, 1971-2011</t>
  </si>
  <si>
    <t>http://www.riss.kr/link?id=S43048</t>
  </si>
  <si>
    <t>The Journal of Humanistic Psychology</t>
  </si>
  <si>
    <t>0022-1678</t>
  </si>
  <si>
    <t>1981-2012</t>
  </si>
  <si>
    <t>http://www.riss.kr/link?id=S18502</t>
  </si>
  <si>
    <t>The Journal of Navigation</t>
  </si>
  <si>
    <t>0373-4633</t>
  </si>
  <si>
    <t>http://www.riss.kr/link?id=S12014</t>
  </si>
  <si>
    <t>The Journal of Nutrition</t>
  </si>
  <si>
    <t>0022-3166</t>
  </si>
  <si>
    <t>1963, 1966-2019</t>
  </si>
  <si>
    <t>http://www.riss.kr/link?id=S15785</t>
  </si>
  <si>
    <t>The Journal of Strain Analysis for Engineering Design</t>
  </si>
  <si>
    <t>http://www.riss.kr/link?id=S414717</t>
  </si>
  <si>
    <t>The Journal of the Astronautical sciences</t>
  </si>
  <si>
    <t>American Astronautical Society</t>
  </si>
  <si>
    <t>2009-2013, 2015</t>
  </si>
  <si>
    <t>http://www.riss.kr/link?id=S12402</t>
  </si>
  <si>
    <t>The Journal of the Textile Institute</t>
  </si>
  <si>
    <t>0040-5000</t>
  </si>
  <si>
    <t>http://www.riss.kr/link?id=S15537</t>
  </si>
  <si>
    <t>The Michigan Mathematical Journal</t>
  </si>
  <si>
    <t>University of Michigan Press</t>
  </si>
  <si>
    <t>0026-2285</t>
  </si>
  <si>
    <t>http://www.riss.kr/link?id=S17458</t>
  </si>
  <si>
    <t>The Naval Architect</t>
  </si>
  <si>
    <t>1973-2004, 2006, 2008-2019</t>
  </si>
  <si>
    <t>http://www.riss.kr/link?id=S15985</t>
  </si>
  <si>
    <t>The Oil and Gas Journal</t>
  </si>
  <si>
    <t>http://www.riss.kr/link?id=S15576</t>
  </si>
  <si>
    <t>The Plant Cell</t>
  </si>
  <si>
    <t>1040-4651</t>
  </si>
  <si>
    <t>1989-2014</t>
  </si>
  <si>
    <t>http://www.riss.kr/link?id=S12296</t>
  </si>
  <si>
    <t>The Quarterly Journal of Mechanics and Applied Mathematics</t>
  </si>
  <si>
    <t>0033-5614</t>
  </si>
  <si>
    <t>http://www.riss.kr/link?id=S15953</t>
  </si>
  <si>
    <t>The Structural Engineer</t>
  </si>
  <si>
    <t>Structural Engineers Trading Organisation Ltd.</t>
  </si>
  <si>
    <t>1466-5123</t>
  </si>
  <si>
    <t>1988-2004, 2010-2014</t>
  </si>
  <si>
    <t>http://www.riss.kr/link?id=S29694</t>
  </si>
  <si>
    <t>Tissue Engineering. Part A</t>
  </si>
  <si>
    <t>1937-3341</t>
  </si>
  <si>
    <t>2008-2018</t>
  </si>
  <si>
    <t>http://www.riss.kr/link?id=S31024691</t>
  </si>
  <si>
    <t>Topos</t>
  </si>
  <si>
    <t>http://www.riss.kr/link?id=S79897</t>
  </si>
  <si>
    <t>Town Planning Review</t>
  </si>
  <si>
    <t>Liverpool University Press</t>
  </si>
  <si>
    <t>0041-0020</t>
  </si>
  <si>
    <t>1981-2019</t>
  </si>
  <si>
    <t>http://www.riss.kr/link?id=S15438</t>
  </si>
  <si>
    <t>Transactions - The Society of Naval Architects and Marine Engineers</t>
  </si>
  <si>
    <t>Society of Naval Architects and Marine Engineers</t>
  </si>
  <si>
    <t>0081-1661</t>
  </si>
  <si>
    <t>1965, 1972-1981, 1984-1985, 1987-1991, 1993-1997, 1999-2002</t>
  </si>
  <si>
    <t>http://www.riss.kr/link?id=S21690</t>
  </si>
  <si>
    <t>Transactions - West Japan Society of Naval Architects</t>
  </si>
  <si>
    <t>Nihon Sempaku Kaiyou Kougakkai</t>
  </si>
  <si>
    <t>0389-911X</t>
  </si>
  <si>
    <t>1975, 1977-1979, 1981-1989, 1991-1994, 1996-2004</t>
  </si>
  <si>
    <t>http://www.riss.kr/link?id=S411651</t>
  </si>
  <si>
    <t>Transactions of the American Foundry Society</t>
  </si>
  <si>
    <t>http://www.riss.kr/link?id=S61686</t>
  </si>
  <si>
    <t>Transactions of the ASABE</t>
  </si>
  <si>
    <t>American Society of Agricultural and Biological Engineers</t>
  </si>
  <si>
    <t>2151-0032</t>
  </si>
  <si>
    <t>http://www.riss.kr/link?id=S31011773</t>
  </si>
  <si>
    <t>Transactions of the ASAE</t>
  </si>
  <si>
    <t>American Society of Agricultural Engineers</t>
  </si>
  <si>
    <t>0001-2351</t>
  </si>
  <si>
    <t>1994-1995, 1998-2001, 2004-2005, 2010-2015</t>
  </si>
  <si>
    <t>http://www.riss.kr/link?id=S28534</t>
  </si>
  <si>
    <t>Transactions of the Canadian Society for Mechanical Engineering</t>
  </si>
  <si>
    <t>Canadian Society for Mechanical Engineering</t>
  </si>
  <si>
    <t>http://www.riss.kr/link?id=S97926</t>
  </si>
  <si>
    <t>Transactions of the Institute of Metal Finishing</t>
  </si>
  <si>
    <t>0020-2967</t>
  </si>
  <si>
    <t>http://www.riss.kr/link?id=S407845</t>
  </si>
  <si>
    <t>Transactions of the Japan Society for Aeronautical and Space sciences</t>
  </si>
  <si>
    <t>日本航空宇宙学会</t>
  </si>
  <si>
    <t>0549-3811</t>
  </si>
  <si>
    <t>1991-2002, 2005-2015</t>
  </si>
  <si>
    <t>http://www.riss.kr/link?id=S30006830</t>
  </si>
  <si>
    <t>Transactions of the Royal Institution of Naval Architects Part A.</t>
  </si>
  <si>
    <t>1479-8751</t>
  </si>
  <si>
    <t>http://www.riss.kr/link?id=S6141</t>
  </si>
  <si>
    <t>MD Publications</t>
  </si>
  <si>
    <t>http://www.riss.kr/link?id=S115391</t>
  </si>
  <si>
    <t>1993-2004, 2010-2016</t>
  </si>
  <si>
    <t>http://www.riss.kr/link?id=S17778</t>
  </si>
  <si>
    <t>Tribology &amp; lubrication Technology</t>
  </si>
  <si>
    <t>Society of Tribologists and Lubrication Engineers</t>
  </si>
  <si>
    <t>1545-858X</t>
  </si>
  <si>
    <t>http://www.riss.kr/link?id=S104898</t>
  </si>
  <si>
    <t>Tribology Transactions</t>
  </si>
  <si>
    <t>1040-2004</t>
  </si>
  <si>
    <t>http://www.riss.kr/link?id=S21137</t>
  </si>
  <si>
    <t>Tuijin Jishu</t>
  </si>
  <si>
    <t>Zhongguo Hangtian Gongye Zonggongsi * Di 3 Yanjiuyuan 31 Yanjiushuo</t>
  </si>
  <si>
    <t>1001-4055</t>
  </si>
  <si>
    <t>http://www.riss.kr/link?id=S11574764</t>
  </si>
  <si>
    <t>Urgent Communications</t>
  </si>
  <si>
    <t>1945-4384</t>
  </si>
  <si>
    <t>http://www.riss.kr/link?id=S31028687</t>
  </si>
  <si>
    <t>Vehicle System Dynamics</t>
  </si>
  <si>
    <t>0042-3114</t>
  </si>
  <si>
    <t>http://www.riss.kr/link?id=S12927</t>
  </si>
  <si>
    <t>Vogue</t>
  </si>
  <si>
    <t>0042-8000</t>
  </si>
  <si>
    <t>1981-1984, 1986-2015</t>
  </si>
  <si>
    <t>http://www.riss.kr/link?id=S15780</t>
  </si>
  <si>
    <t>T I Media</t>
  </si>
  <si>
    <t>2005-2008, 2013-2020</t>
  </si>
  <si>
    <t>http://www.riss.kr/link?id=S11621370</t>
  </si>
  <si>
    <t>Warship Technology</t>
  </si>
  <si>
    <t>0957-5537</t>
  </si>
  <si>
    <t>http://www.riss.kr/link?id=S416102</t>
  </si>
  <si>
    <t>Faversham House Group Ltd</t>
  </si>
  <si>
    <t>2006-2018</t>
  </si>
  <si>
    <t>http://www.riss.kr/link?id=S115748</t>
  </si>
  <si>
    <t>Water Environment &amp; Technology</t>
  </si>
  <si>
    <t>The Federation</t>
  </si>
  <si>
    <t>1044-9493</t>
  </si>
  <si>
    <t>1984-1988</t>
  </si>
  <si>
    <t>http://www.riss.kr/link?id=S58267</t>
  </si>
  <si>
    <t>Water Environment Research</t>
  </si>
  <si>
    <t>1061-4303</t>
  </si>
  <si>
    <t>1992-2019</t>
  </si>
  <si>
    <t>http://www.riss.kr/link?id=S20527</t>
  </si>
  <si>
    <t>Water International</t>
  </si>
  <si>
    <t>International Water Resources Association</t>
  </si>
  <si>
    <t>0250-8060</t>
  </si>
  <si>
    <t>http://www.riss.kr/link?id=S413415</t>
  </si>
  <si>
    <t>Water science and Technology</t>
  </si>
  <si>
    <t>0273-1223</t>
  </si>
  <si>
    <t>1985-2006, 2010</t>
  </si>
  <si>
    <t>http://www.riss.kr/link?id=S24498</t>
  </si>
  <si>
    <t>Welding in the World</t>
  </si>
  <si>
    <t>0043-2288</t>
  </si>
  <si>
    <t>http://www.riss.kr/link?id=S417506</t>
  </si>
  <si>
    <t>http://www.riss.kr/link?id=S414819</t>
  </si>
  <si>
    <t>Welding Journal</t>
  </si>
  <si>
    <t>American Welding Society</t>
  </si>
  <si>
    <t>0043-2296</t>
  </si>
  <si>
    <t>1965-2004, 2010-2021</t>
  </si>
  <si>
    <t>http://www.riss.kr/link?id=S15504</t>
  </si>
  <si>
    <t>What Car?</t>
  </si>
  <si>
    <t>http://www.riss.kr/link?id=S115392</t>
  </si>
  <si>
    <t>Wind &amp; Structures</t>
  </si>
  <si>
    <t>1226-6116</t>
  </si>
  <si>
    <t>http://www.riss.kr/link?id=S29114</t>
  </si>
  <si>
    <t>Wood and Fiber science</t>
  </si>
  <si>
    <t>Society of Wood science and Technology</t>
  </si>
  <si>
    <t>http://www.riss.kr/link?id=S24586</t>
  </si>
  <si>
    <t>World Journal of Microbiology Biotechnology</t>
  </si>
  <si>
    <t>http://www.riss.kr/link?id=S11581308</t>
  </si>
  <si>
    <t>Zairyo</t>
  </si>
  <si>
    <t>Nihon Zairyo Gakkai</t>
  </si>
  <si>
    <t>0514-5163</t>
  </si>
  <si>
    <t>1974-1995</t>
  </si>
  <si>
    <t>http://www.riss.kr/link?id=S114439</t>
  </si>
  <si>
    <t>ZKG. Zement-Kalk-Gips</t>
  </si>
  <si>
    <t>http://www.riss.kr/link?id=S11606249</t>
  </si>
  <si>
    <t>Zoological science</t>
  </si>
  <si>
    <t>Zoological Society of Japan</t>
  </si>
  <si>
    <t>0289-0003</t>
  </si>
  <si>
    <t>http://www.riss.kr/link?id=S60910</t>
  </si>
  <si>
    <t>オレオサイエンス</t>
  </si>
  <si>
    <t>日本油化學會</t>
  </si>
  <si>
    <t>1345-8949</t>
  </si>
  <si>
    <t>http://www.riss.kr/link?id=S20095138</t>
  </si>
  <si>
    <t>コソクリ-ト工學論文集</t>
  </si>
  <si>
    <t>Japan Concrete Institute</t>
  </si>
  <si>
    <t>1340-4733</t>
  </si>
  <si>
    <t>2000-2011</t>
  </si>
  <si>
    <t>http://www.riss.kr/link?id=S88228</t>
  </si>
  <si>
    <t>コンクリ－ト工學</t>
  </si>
  <si>
    <t>0387-1061</t>
  </si>
  <si>
    <t>1981-2004, 2006-2021</t>
  </si>
  <si>
    <t>http://www.riss.kr/link?id=S64419</t>
  </si>
  <si>
    <t>システムと制御·情報</t>
  </si>
  <si>
    <t>Shisutemu Seigyo Joho Gakkai</t>
  </si>
  <si>
    <t>0916-1600</t>
  </si>
  <si>
    <t>http://www.riss.kr/link?id=S63539</t>
  </si>
  <si>
    <t>セメント.コンクリ-ト</t>
  </si>
  <si>
    <t>セメント協會</t>
  </si>
  <si>
    <t>1971, 1981-2020</t>
  </si>
  <si>
    <t>http://www.riss.kr/link?id=S25143</t>
  </si>
  <si>
    <t>タ-ボ機械</t>
  </si>
  <si>
    <t>Japan Industrial Publishing Co., Ltd.</t>
  </si>
  <si>
    <t>0385-8839</t>
  </si>
  <si>
    <t>http://www.riss.kr/link?id=S85490</t>
  </si>
  <si>
    <t>Doboku Kogakusha</t>
  </si>
  <si>
    <t>http://www.riss.kr/link?id=S20190</t>
  </si>
  <si>
    <t>フ-ドケミカル</t>
  </si>
  <si>
    <t>Shokuhin Kagaku Shinbunsha</t>
  </si>
  <si>
    <t>http://www.riss.kr/link?id=S48720</t>
  </si>
  <si>
    <t>フル－ドパワ－システム</t>
  </si>
  <si>
    <t>Japan Fluid Power System Society</t>
  </si>
  <si>
    <t>http://www.riss.kr/link?id=S20010476</t>
  </si>
  <si>
    <t>プレストレスト コンクリ-ト</t>
  </si>
  <si>
    <t>Japan Prestressed Concrete Engineering Association</t>
  </si>
  <si>
    <t>0387-1983</t>
  </si>
  <si>
    <t>http://www.riss.kr/link?id=S48390</t>
  </si>
  <si>
    <t>マイガーデン</t>
  </si>
  <si>
    <t>マルモ出版</t>
  </si>
  <si>
    <t>1343-4217</t>
  </si>
  <si>
    <t>http://www.riss.kr/link?id=S144775</t>
  </si>
  <si>
    <t>マリン エンジニア</t>
  </si>
  <si>
    <t>Japan Marine Engineers' Association</t>
  </si>
  <si>
    <t>http://www.riss.kr/link?id=S108985</t>
  </si>
  <si>
    <t>ら ん</t>
  </si>
  <si>
    <t>Kansai Society of Naval Architects</t>
  </si>
  <si>
    <t>0916-0981</t>
  </si>
  <si>
    <t>1988-1991, 1993, 1995-1996, 1998-2001, 2003, 2005</t>
  </si>
  <si>
    <t>http://www.riss.kr/link?id=S61213</t>
  </si>
  <si>
    <t>ゴム報知新聞社</t>
  </si>
  <si>
    <t>1982-1990, 1998-2020</t>
  </si>
  <si>
    <t>http://www.riss.kr/link?id=S62294</t>
  </si>
  <si>
    <t>加工技術</t>
  </si>
  <si>
    <t>纖維社</t>
  </si>
  <si>
    <t>0386-6041</t>
  </si>
  <si>
    <t>http://www.riss.kr/link?id=S48936</t>
  </si>
  <si>
    <t>建設機械</t>
  </si>
  <si>
    <t>0385-9878</t>
  </si>
  <si>
    <t>http://www.riss.kr/link?id=S63516</t>
  </si>
  <si>
    <t>http://www.riss.kr/link?id=S87980</t>
  </si>
  <si>
    <t>日本建築積算協會</t>
  </si>
  <si>
    <t>http://www.riss.kr/link?id=S80195</t>
  </si>
  <si>
    <t>建築技術</t>
  </si>
  <si>
    <t>建築技術社</t>
  </si>
  <si>
    <t>0022-9911</t>
  </si>
  <si>
    <t>1972-1978, 1980, 1982-2021</t>
  </si>
  <si>
    <t>http://www.riss.kr/link?id=S30780</t>
  </si>
  <si>
    <t>建築文化</t>
  </si>
  <si>
    <t>Shokokusha Publishing Co. Ltd.</t>
  </si>
  <si>
    <t>0003-8490</t>
  </si>
  <si>
    <t>1976-2004</t>
  </si>
  <si>
    <t>http://www.riss.kr/link?id=S77936</t>
  </si>
  <si>
    <t>建築設備</t>
  </si>
  <si>
    <t>建築設備綜合協會</t>
  </si>
  <si>
    <t>1346-9371</t>
  </si>
  <si>
    <t>1999, 2011-2021</t>
  </si>
  <si>
    <t>http://www.riss.kr/link?id=S64125</t>
  </si>
  <si>
    <t>http://www.riss.kr/link?id=S68575</t>
  </si>
  <si>
    <t>建築雜誌</t>
  </si>
  <si>
    <t>0003-8555</t>
  </si>
  <si>
    <t>1974-1980, 1982-2021</t>
  </si>
  <si>
    <t>http://www.riss.kr/link?id=S7757</t>
  </si>
  <si>
    <t>輕金屬</t>
  </si>
  <si>
    <t>Japan Institute of Light Metals</t>
  </si>
  <si>
    <t>0451-5994</t>
  </si>
  <si>
    <t>1982-2004, 2010-2021</t>
  </si>
  <si>
    <t>http://www.riss.kr/link?id=S417018</t>
  </si>
  <si>
    <t>季刊 地理學</t>
  </si>
  <si>
    <t>東北地理學會</t>
  </si>
  <si>
    <t>0916-7889</t>
  </si>
  <si>
    <t>1983-1990, 1992-2015</t>
  </si>
  <si>
    <t>http://www.riss.kr/link?id=S104265</t>
  </si>
  <si>
    <t>計測と制御</t>
  </si>
  <si>
    <t>Society of Instrument and Control Engineers</t>
  </si>
  <si>
    <t>0453-4662</t>
  </si>
  <si>
    <t>1965, 1968-2021</t>
  </si>
  <si>
    <t>http://www.riss.kr/link?id=S26171</t>
  </si>
  <si>
    <t>計測自動制御學會論文集</t>
  </si>
  <si>
    <t>Corona Publishing Co., Ltd.</t>
  </si>
  <si>
    <t>0453-4654</t>
  </si>
  <si>
    <t>1967, 1969-1977, 1981-2004</t>
  </si>
  <si>
    <t>http://www.riss.kr/link?id=S417041</t>
  </si>
  <si>
    <t>高分子</t>
  </si>
  <si>
    <t>Society of Polymer Science, Japan</t>
  </si>
  <si>
    <t>0454-1138</t>
  </si>
  <si>
    <t>1957-1962, 1964-1969, 1980-2021</t>
  </si>
  <si>
    <t>http://www.riss.kr/link?id=S41124</t>
  </si>
  <si>
    <t>空気調和 衛生工学会論文集</t>
  </si>
  <si>
    <t>Air-Conditioning and Sanitary Engineering of Japan</t>
  </si>
  <si>
    <t>0385-275X</t>
  </si>
  <si>
    <t>http://www.riss.kr/link?id=S411199</t>
  </si>
  <si>
    <t>空氣調和·衛生工學</t>
  </si>
  <si>
    <t>http://www.riss.kr/link?id=S31658</t>
  </si>
  <si>
    <t>工業材料</t>
  </si>
  <si>
    <t>Industrial Daily News Ltd.</t>
  </si>
  <si>
    <t>0452-2834</t>
  </si>
  <si>
    <t>1961, 1973-2021</t>
  </si>
  <si>
    <t>http://www.riss.kr/link?id=S20091842</t>
  </si>
  <si>
    <t>公園綠地</t>
  </si>
  <si>
    <t>日本公園綠地協会</t>
  </si>
  <si>
    <t>0287-9034</t>
  </si>
  <si>
    <t>2003-2017</t>
  </si>
  <si>
    <t>http://www.riss.kr/link?id=S36945</t>
  </si>
  <si>
    <t>關西造船協會誌</t>
  </si>
  <si>
    <t>關西造船協會</t>
  </si>
  <si>
    <t>0389-9101</t>
  </si>
  <si>
    <t>1949-1962, 1964-1988</t>
  </si>
  <si>
    <t>http://www.riss.kr/link?id=S60981</t>
  </si>
  <si>
    <t>橋梁</t>
  </si>
  <si>
    <t>橋梁編纂會</t>
  </si>
  <si>
    <t>0287-0991</t>
  </si>
  <si>
    <t>1980-1998</t>
  </si>
  <si>
    <t>http://www.riss.kr/link?id=S60897</t>
  </si>
  <si>
    <t>橋梁 &amp; 都市 project</t>
  </si>
  <si>
    <t>Kyoryo Hensan-iinkai</t>
  </si>
  <si>
    <t>1344-7084</t>
  </si>
  <si>
    <t>1999-2010</t>
  </si>
  <si>
    <t>http://www.riss.kr/link?id=S27654</t>
  </si>
  <si>
    <t>橋梁と基礎</t>
  </si>
  <si>
    <t>Kensetsu Tosho</t>
  </si>
  <si>
    <t>0287-170X</t>
  </si>
  <si>
    <t>http://www.riss.kr/link?id=S27803</t>
  </si>
  <si>
    <t>近代建築</t>
  </si>
  <si>
    <t>Kindai Kenchikusha</t>
  </si>
  <si>
    <t>0023-1479</t>
  </si>
  <si>
    <t>http://www.riss.kr/link?id=S19603</t>
  </si>
  <si>
    <t>金屬</t>
  </si>
  <si>
    <t>AGNE Gijutsu Center</t>
  </si>
  <si>
    <t>0368-6337</t>
  </si>
  <si>
    <t>1957-1962, 1967-1968, 1981-2021</t>
  </si>
  <si>
    <t>http://www.riss.kr/link?id=S20070027</t>
  </si>
  <si>
    <t>機械 と工具</t>
  </si>
  <si>
    <t>Kogyo Chosakai Publishing Co. Ltd.</t>
  </si>
  <si>
    <t>2010, 2012-2020</t>
  </si>
  <si>
    <t>http://www.riss.kr/link?id=S48402</t>
  </si>
  <si>
    <t>機械の硏究</t>
  </si>
  <si>
    <t>Yokendo Co. Ltd.</t>
  </si>
  <si>
    <t>1949-1962, 1967-1968, 1974-1975, 1980-2004, 2010-2020</t>
  </si>
  <si>
    <t>http://www.riss.kr/link?id=S19734</t>
  </si>
  <si>
    <t>1974-1975, 1980-2020</t>
  </si>
  <si>
    <t>http://www.riss.kr/link?id=S40376</t>
  </si>
  <si>
    <t>機械設計</t>
  </si>
  <si>
    <t>0387-1045</t>
  </si>
  <si>
    <t>http://www.riss.kr/link?id=S40515</t>
  </si>
  <si>
    <t>機能材料</t>
  </si>
  <si>
    <t>C M C Publishing Co., Ltd.</t>
  </si>
  <si>
    <t>0286-4835</t>
  </si>
  <si>
    <t>1999, 2010-2021</t>
  </si>
  <si>
    <t>http://www.riss.kr/link?id=S20068215</t>
  </si>
  <si>
    <t>氣象硏究ノ-ト</t>
  </si>
  <si>
    <t>1974-1975, 1991-2017</t>
  </si>
  <si>
    <t>http://www.riss.kr/link?id=S19817</t>
  </si>
  <si>
    <t>基礎工, 第1卷</t>
  </si>
  <si>
    <t>Sogo Doboku Kenkyujo</t>
  </si>
  <si>
    <t>1981-2020</t>
  </si>
  <si>
    <t>http://www.riss.kr/link?id=S67352</t>
  </si>
  <si>
    <t>內然機關</t>
  </si>
  <si>
    <t>Sankaido</t>
  </si>
  <si>
    <t>0387-1142</t>
  </si>
  <si>
    <t>1968, 1972-1995</t>
  </si>
  <si>
    <t>http://www.riss.kr/link?id=S48399</t>
  </si>
  <si>
    <t>冷凍</t>
  </si>
  <si>
    <t>Japan Society of Refrigerating and Air Conditioning Engineers</t>
  </si>
  <si>
    <t>0034-3714</t>
  </si>
  <si>
    <t>http://www.riss.kr/link?id=S54489</t>
  </si>
  <si>
    <t>農業および園藝</t>
  </si>
  <si>
    <t>0369-5247</t>
  </si>
  <si>
    <t>1986-1989,1991-1996,1999. 2002-2019</t>
  </si>
  <si>
    <t>http://www.riss.kr/link?id=S48404</t>
  </si>
  <si>
    <t>農業機械學會誌</t>
  </si>
  <si>
    <t>Japanese Society of Agricultural Machinery</t>
  </si>
  <si>
    <t>0285-2543</t>
  </si>
  <si>
    <t>1991, 1993-2001, 2007-2019</t>
  </si>
  <si>
    <t>http://www.riss.kr/link?id=S45128</t>
  </si>
  <si>
    <t>都市計劃</t>
  </si>
  <si>
    <t>City Planning Institute of Japan</t>
  </si>
  <si>
    <t>0495-9280</t>
  </si>
  <si>
    <t>http://www.riss.kr/link?id=S45160</t>
  </si>
  <si>
    <t>膜</t>
  </si>
  <si>
    <t>Membrane Society of Japan</t>
  </si>
  <si>
    <t>0385-1036</t>
  </si>
  <si>
    <t>http://www.riss.kr/link?id=S111037</t>
  </si>
  <si>
    <t>美學</t>
  </si>
  <si>
    <t>Japanese Society of Aesthetics</t>
  </si>
  <si>
    <t>0520-0962</t>
  </si>
  <si>
    <t>2009-2015</t>
  </si>
  <si>
    <t>http://www.riss.kr/link?id=S35290</t>
  </si>
  <si>
    <t>醱酵工學會誌</t>
  </si>
  <si>
    <t>Society for Biotechnology, Japan</t>
  </si>
  <si>
    <t>1982-1992, 1998-2018</t>
  </si>
  <si>
    <t>http://www.riss.kr/link?id=S21878</t>
  </si>
  <si>
    <t>保健の科學</t>
  </si>
  <si>
    <t>Kyorin Shoin</t>
  </si>
  <si>
    <t>1995-2020</t>
  </si>
  <si>
    <t>http://www.riss.kr/link?id=S25096</t>
  </si>
  <si>
    <t>分析化學</t>
  </si>
  <si>
    <t>日本分析化學會</t>
  </si>
  <si>
    <t>1965-1981, 1983-1999</t>
  </si>
  <si>
    <t>http://www.riss.kr/link?id=S93244</t>
  </si>
  <si>
    <t>非破壞檢査</t>
  </si>
  <si>
    <t>Japanese Society for Non-Destructive Inspection</t>
  </si>
  <si>
    <t>0367-5866</t>
  </si>
  <si>
    <t>http://www.riss.kr/link?id=S19748</t>
  </si>
  <si>
    <t>寫眞測量とリモ-トセンシング</t>
  </si>
  <si>
    <t>Japan Society of Photogrammetry and Remote Sensing</t>
  </si>
  <si>
    <t>0285-5844</t>
  </si>
  <si>
    <t>http://www.riss.kr/link?id=S60896</t>
  </si>
  <si>
    <t>商店建築</t>
  </si>
  <si>
    <t>商店建築社</t>
  </si>
  <si>
    <t>0385-3195</t>
  </si>
  <si>
    <t>2013-2021</t>
  </si>
  <si>
    <t>http://www.riss.kr/link?id=S67972</t>
  </si>
  <si>
    <t>日本纖維セソタ</t>
  </si>
  <si>
    <t>1970-2013</t>
  </si>
  <si>
    <t>http://www.riss.kr/link?id=S48729</t>
  </si>
  <si>
    <t>纖維機械學會誌</t>
  </si>
  <si>
    <t>Textile Machinery Society of Japan</t>
  </si>
  <si>
    <t>0371-0580</t>
  </si>
  <si>
    <t>1955-1959, 1962-1963, 1975-2021</t>
  </si>
  <si>
    <t>http://www.riss.kr/link?id=S19616</t>
  </si>
  <si>
    <t>纖維製品消費科學</t>
  </si>
  <si>
    <t>Japan Research Association for Textile End-Uses</t>
  </si>
  <si>
    <t>0037-2072</t>
  </si>
  <si>
    <t>1978-2021</t>
  </si>
  <si>
    <t>http://www.riss.kr/link?id=S416895</t>
  </si>
  <si>
    <t>纖維學會誌</t>
  </si>
  <si>
    <t>日本繊維学会</t>
  </si>
  <si>
    <t>0037-9875</t>
  </si>
  <si>
    <t>1954, 1956-1960, 1965-1967, 1969-1971, 1973-2021</t>
  </si>
  <si>
    <t>http://www.riss.kr/link?id=S417589</t>
  </si>
  <si>
    <t>細胞工學</t>
  </si>
  <si>
    <t>Gakken Medical Shujunsha Co. Ltd.</t>
  </si>
  <si>
    <t>0287-3796</t>
  </si>
  <si>
    <t>1991-2016</t>
  </si>
  <si>
    <t>http://www.riss.kr/link?id=S50135</t>
  </si>
  <si>
    <t>塑性と加工</t>
  </si>
  <si>
    <t>Japan Society for Technology of Plasticity</t>
  </si>
  <si>
    <t>0038-1586</t>
  </si>
  <si>
    <t>1981-2001, 2003-2021</t>
  </si>
  <si>
    <t>http://www.riss.kr/link?id=S416847</t>
  </si>
  <si>
    <t>Japan Water Works Association</t>
  </si>
  <si>
    <t>2015-2020</t>
  </si>
  <si>
    <t>http://www.riss.kr/link?id=S19714</t>
  </si>
  <si>
    <t>數學セミナ-</t>
  </si>
  <si>
    <t>1962, 1964-1967, 1970-2018</t>
  </si>
  <si>
    <t>http://www.riss.kr/link?id=S87915</t>
  </si>
  <si>
    <t>施設 と 園藝</t>
  </si>
  <si>
    <t>日本施設園藝協會</t>
  </si>
  <si>
    <t>0912-666X</t>
  </si>
  <si>
    <t>http://www.riss.kr/link?id=S87108</t>
  </si>
  <si>
    <t>食品と科學</t>
  </si>
  <si>
    <t>Food Science Co. Ltd.</t>
  </si>
  <si>
    <t>1972-2020</t>
  </si>
  <si>
    <t>http://www.riss.kr/link?id=S78202</t>
  </si>
  <si>
    <t>食品衛生硏究</t>
  </si>
  <si>
    <t>Japan Food Hygiene Association</t>
  </si>
  <si>
    <t>0559-8974</t>
  </si>
  <si>
    <t>1974-1999, 2001-2021</t>
  </si>
  <si>
    <t>http://www.riss.kr/link?id=S20068237</t>
  </si>
  <si>
    <t>新しい住まいの設計</t>
  </si>
  <si>
    <t>Sankei Publishing Ltd.(扶桑社)</t>
  </si>
  <si>
    <t>4000-2000</t>
  </si>
  <si>
    <t>http://www.riss.kr/link?id=S63709</t>
  </si>
  <si>
    <t>新建築</t>
  </si>
  <si>
    <t>Japan Architect Co., Ltd.</t>
  </si>
  <si>
    <t>1342-5447</t>
  </si>
  <si>
    <t>1968-1970, 1976, 1991, 1994-2001, 2010-2021</t>
  </si>
  <si>
    <t>http://www.riss.kr/link?id=S19595</t>
  </si>
  <si>
    <t>岩石鑛物科學</t>
  </si>
  <si>
    <t>Japan Association of Mineralogical Sciences</t>
  </si>
  <si>
    <t>1345-630X</t>
  </si>
  <si>
    <t>2000-2021</t>
  </si>
  <si>
    <t>http://www.riss.kr/link?id=S115750</t>
  </si>
  <si>
    <t>藥局</t>
  </si>
  <si>
    <t>Nanzando Co. Ltd.</t>
  </si>
  <si>
    <t>0044-0035</t>
  </si>
  <si>
    <t>1952, 1956-1962, 1972-2003, 2006-2021</t>
  </si>
  <si>
    <t>http://www.riss.kr/link?id=S35840</t>
  </si>
  <si>
    <t>藥事</t>
  </si>
  <si>
    <t>藥事硏究會</t>
  </si>
  <si>
    <t>0016-5980</t>
  </si>
  <si>
    <t>1972-2001, 2003, 2005, 2007, 2009-2021</t>
  </si>
  <si>
    <t>http://www.riss.kr/link?id=S115749</t>
  </si>
  <si>
    <t>藥劑學</t>
  </si>
  <si>
    <t>Academy of Pharmaceutical Science and Technology</t>
  </si>
  <si>
    <t>1982-1984, 1986-2018</t>
  </si>
  <si>
    <t>http://www.riss.kr/link?id=S93106</t>
  </si>
  <si>
    <t>藥學雜誌</t>
  </si>
  <si>
    <t>0031-6903</t>
  </si>
  <si>
    <t>1955-1957, 1963, 1969-1971, 1973, 1982-2021</t>
  </si>
  <si>
    <t>http://www.riss.kr/link?id=S104164</t>
  </si>
  <si>
    <t>Japan Society for Heat Treatment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</si>
  <si>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</si>
  <si>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http://www.riss.kr/link?id=S31001099</t>
  </si>
  <si>
    <t>營養と料理</t>
  </si>
  <si>
    <t>女子榮養大學出版部</t>
  </si>
  <si>
    <t>1961-1962, 1973-2019</t>
  </si>
  <si>
    <t>http://www.riss.kr/link?id=S115754</t>
  </si>
  <si>
    <t>營養學雜誌</t>
  </si>
  <si>
    <t>Japanese Society of Nutrition and Dietetics</t>
  </si>
  <si>
    <t>0021-5147</t>
  </si>
  <si>
    <t>1961-1962, 1981-2021</t>
  </si>
  <si>
    <t>http://www.riss.kr/link?id=S36958</t>
  </si>
  <si>
    <t>用水と廢水</t>
  </si>
  <si>
    <t>産業用水調査會</t>
  </si>
  <si>
    <t>0513-5907</t>
  </si>
  <si>
    <t>1972-1982, 1985-1992, 1999, 2002-2019</t>
  </si>
  <si>
    <t>http://www.riss.kr/link?id=S21959</t>
  </si>
  <si>
    <t>溶接技術</t>
  </si>
  <si>
    <t>Sanpo Publications, Inc.</t>
  </si>
  <si>
    <t>0387-0197</t>
  </si>
  <si>
    <t>1974-1975, 1983-2004</t>
  </si>
  <si>
    <t>http://www.riss.kr/link?id=S63464</t>
  </si>
  <si>
    <t>溶接學會誌</t>
  </si>
  <si>
    <t>Japan Welding Society</t>
  </si>
  <si>
    <t>0021-4787</t>
  </si>
  <si>
    <t>http://www.riss.kr/link?id=S35299</t>
  </si>
  <si>
    <t>原子力 eye</t>
  </si>
  <si>
    <t>1343-3563</t>
  </si>
  <si>
    <t>1998-2011</t>
  </si>
  <si>
    <t>http://www.riss.kr/link?id=S6194</t>
  </si>
  <si>
    <t>遺傳</t>
  </si>
  <si>
    <t>N T S Inc.</t>
  </si>
  <si>
    <t>0387-0022</t>
  </si>
  <si>
    <t>http://www.riss.kr/link?id=S49427</t>
  </si>
  <si>
    <t>育種学研究 : Breeding Research</t>
  </si>
  <si>
    <t>Japanese Society of Breeding</t>
  </si>
  <si>
    <t>1344-7629</t>
  </si>
  <si>
    <t>1999-2006,2008-2019</t>
  </si>
  <si>
    <t>http://www.riss.kr/link?id=S85462</t>
  </si>
  <si>
    <t>人類學學報</t>
  </si>
  <si>
    <t>Science Press</t>
  </si>
  <si>
    <t>1000-3193</t>
  </si>
  <si>
    <t>1996-2000, 2002-2021</t>
  </si>
  <si>
    <t>http://www.riss.kr/link?id=S31000872</t>
  </si>
  <si>
    <t>日經ものづくり</t>
  </si>
  <si>
    <t>Nikkei Business Publications Inc.</t>
  </si>
  <si>
    <t>1349-2772</t>
  </si>
  <si>
    <t>http://www.riss.kr/link?id=S116123</t>
  </si>
  <si>
    <t>日本 航空宇宙學會 論文集</t>
  </si>
  <si>
    <t>Japan Society for Aeronautical and Space Sciences</t>
  </si>
  <si>
    <t>1344-6460</t>
  </si>
  <si>
    <t>1999-2021</t>
  </si>
  <si>
    <t>http://www.riss.kr/link?id=S11625015</t>
  </si>
  <si>
    <t>日本ロボツト學會誌</t>
  </si>
  <si>
    <t>Nihon Robotto Gakkai</t>
  </si>
  <si>
    <t>0289-1824</t>
  </si>
  <si>
    <t>http://www.riss.kr/link?id=S60898</t>
  </si>
  <si>
    <t>日本家禽學會誌</t>
  </si>
  <si>
    <t>Japan Poultry Science Association</t>
  </si>
  <si>
    <t>1346-7395</t>
  </si>
  <si>
    <t>http://www.riss.kr/link?id=S104199</t>
  </si>
  <si>
    <t>日本家政學會誌</t>
  </si>
  <si>
    <t>Japan Society of Home Economics</t>
  </si>
  <si>
    <t>0913-5227</t>
  </si>
  <si>
    <t>http://www.riss.kr/link?id=S19685</t>
  </si>
  <si>
    <t>日本建築學會計劃系論文集</t>
  </si>
  <si>
    <t>1990, 2000-2001, 2010-2020</t>
  </si>
  <si>
    <t>http://www.riss.kr/link?id=S72786</t>
  </si>
  <si>
    <t>日本建築學會構造系論文集</t>
  </si>
  <si>
    <t>2000-2001, 2010-2020</t>
  </si>
  <si>
    <t>http://www.riss.kr/link?id=S69646</t>
  </si>
  <si>
    <t>日本建築學會環境系論文集</t>
  </si>
  <si>
    <t>http://www.riss.kr/link?id=S20084641</t>
  </si>
  <si>
    <t>日本公衆衛生雜誌</t>
  </si>
  <si>
    <t>Japanese Society of Public Health</t>
  </si>
  <si>
    <t>0546-1766</t>
  </si>
  <si>
    <t>http://www.riss.kr/link?id=S417050</t>
  </si>
  <si>
    <t>교육</t>
  </si>
  <si>
    <t>日本敎育工學雜誌</t>
  </si>
  <si>
    <t>日本敎育工學雜誌刊行會</t>
  </si>
  <si>
    <t>0385-5236</t>
  </si>
  <si>
    <t>1991-2004</t>
  </si>
  <si>
    <t>http://www.riss.kr/link?id=S60960</t>
  </si>
  <si>
    <t>日本菌學會會報</t>
  </si>
  <si>
    <t>Mycological Society of Japan</t>
  </si>
  <si>
    <t>1998-2020</t>
  </si>
  <si>
    <t>http://www.riss.kr/link?id=S36930</t>
  </si>
  <si>
    <t>日本金屬學會會報</t>
  </si>
  <si>
    <t>1340-2625</t>
  </si>
  <si>
    <t>http://www.riss.kr/link?id=S20085286</t>
  </si>
  <si>
    <t>日本機械學會論文集. A</t>
  </si>
  <si>
    <t>Japan Society of Mechanical Engineers</t>
  </si>
  <si>
    <t>0387-5008</t>
  </si>
  <si>
    <t>http://www.riss.kr/link?id=S7127</t>
  </si>
  <si>
    <t>日本機械學會論文集. B</t>
  </si>
  <si>
    <t>0387-5016</t>
  </si>
  <si>
    <t>http://www.riss.kr/link?id=S80312</t>
  </si>
  <si>
    <t>日本機械學會論文集. C</t>
  </si>
  <si>
    <t>0387-5024</t>
  </si>
  <si>
    <t>http://www.riss.kr/link?id=S80194</t>
  </si>
  <si>
    <t>日本機械学会誌</t>
  </si>
  <si>
    <t>0021-4728</t>
  </si>
  <si>
    <t>1952, 1956-1965, 1967, 1969-2021</t>
  </si>
  <si>
    <t>http://www.riss.kr/link?id=S35765</t>
  </si>
  <si>
    <t>日本複合材料學會誌</t>
  </si>
  <si>
    <t>Japan Society for Composite Materials</t>
  </si>
  <si>
    <t>0385-2563</t>
  </si>
  <si>
    <t>1990-2015, 2021</t>
  </si>
  <si>
    <t>http://www.riss.kr/link?id=S60956</t>
  </si>
  <si>
    <t>日本生態學會誌</t>
  </si>
  <si>
    <t>Ecological Society of Japan</t>
  </si>
  <si>
    <t>0021-5007</t>
  </si>
  <si>
    <t>1974-1994, 1996-2021</t>
  </si>
  <si>
    <t>http://www.riss.kr/link?id=S19808</t>
  </si>
  <si>
    <t>日本船舶海洋工學會論文集</t>
  </si>
  <si>
    <t>1880-3717</t>
  </si>
  <si>
    <t>http://www.riss.kr/link?id=S31000567</t>
  </si>
  <si>
    <t>日本水産学会誌</t>
  </si>
  <si>
    <t>Japanese Society of Scientific Fisheries</t>
  </si>
  <si>
    <t>0021-5392</t>
  </si>
  <si>
    <t>http://www.riss.kr/link?id=S416880</t>
  </si>
  <si>
    <t>日本數學敎育學會誌 : 數學敎育</t>
  </si>
  <si>
    <t>Japan Society of Mathematical Education</t>
  </si>
  <si>
    <t>0021-471X</t>
  </si>
  <si>
    <t>http://www.riss.kr/link?id=S70667</t>
  </si>
  <si>
    <t>日本食品科學工學會誌</t>
  </si>
  <si>
    <t>Japanese Society for Food Science and Technology</t>
  </si>
  <si>
    <t>1341-027X</t>
  </si>
  <si>
    <t>http://www.riss.kr/link?id=S416936</t>
  </si>
  <si>
    <t>日本榮養 食糧學會誌</t>
  </si>
  <si>
    <t>Japanese Society of Nutrition and Food Science</t>
  </si>
  <si>
    <t>0287-3516</t>
  </si>
  <si>
    <t>http://www.riss.kr/link?id=S19681</t>
  </si>
  <si>
    <t>日本原子力學會誌</t>
  </si>
  <si>
    <t>Atomic Energy Society of Japan</t>
  </si>
  <si>
    <t>http://www.riss.kr/link?id=S416788</t>
  </si>
  <si>
    <t>日本作物學會紀事</t>
  </si>
  <si>
    <t>Crop Science Society of Japan</t>
  </si>
  <si>
    <t>0011-1848</t>
  </si>
  <si>
    <t>http://www.riss.kr/link?id=S44714</t>
  </si>
  <si>
    <t>日本材料强度學會誌</t>
  </si>
  <si>
    <t>Japanese Society for Strength and Fracture of Materials</t>
  </si>
  <si>
    <t>1990-1991, 1993-2003, 2005-2020</t>
  </si>
  <si>
    <t>http://www.riss.kr/link?id=S60895</t>
  </si>
  <si>
    <t>日本草地学会誌</t>
  </si>
  <si>
    <t>Japanese Society of Grassland Science</t>
  </si>
  <si>
    <t>0447-5933</t>
  </si>
  <si>
    <t>http://www.riss.kr/link?id=S36924</t>
  </si>
  <si>
    <t>日本航空宇宙學會誌</t>
  </si>
  <si>
    <t>日本航空宇宙學會</t>
  </si>
  <si>
    <t>0021-4663</t>
  </si>
  <si>
    <t>1991-1999, 2001-2004, 2007-2015, 2021</t>
  </si>
  <si>
    <t>http://www.riss.kr/link?id=S19712</t>
  </si>
  <si>
    <t>日本航海學會論文集</t>
  </si>
  <si>
    <t>0388-7405</t>
  </si>
  <si>
    <t>http://www.riss.kr/link?id=S80026</t>
  </si>
  <si>
    <t>日本海事協會會誌</t>
  </si>
  <si>
    <t>日本海事協會</t>
  </si>
  <si>
    <t>http://www.riss.kr/link?id=S63727</t>
  </si>
  <si>
    <t>日本海水學會誌</t>
  </si>
  <si>
    <t>Society of Sea Water Science, Japan</t>
  </si>
  <si>
    <t>0369-4550</t>
  </si>
  <si>
    <t>1974-1975</t>
  </si>
  <si>
    <t>http://www.riss.kr/link?id=S19819</t>
  </si>
  <si>
    <t>子どもと發育發達</t>
  </si>
  <si>
    <t>1348-3056</t>
  </si>
  <si>
    <t>2004-2015</t>
  </si>
  <si>
    <t>http://www.riss.kr/link?id=S114746</t>
  </si>
  <si>
    <t>自動車と整備</t>
  </si>
  <si>
    <t>日整硏出版社</t>
  </si>
  <si>
    <t>http://www.riss.kr/link?id=S62753</t>
  </si>
  <si>
    <t>自動車工學</t>
  </si>
  <si>
    <t>Tetsudo Nihon-sha</t>
  </si>
  <si>
    <t>http://www.riss.kr/link?id=S35658</t>
  </si>
  <si>
    <t>自動車技術</t>
  </si>
  <si>
    <t>0385-7298</t>
  </si>
  <si>
    <t>http://www.riss.kr/link?id=S411233</t>
  </si>
  <si>
    <t>自動車技術會論文集</t>
  </si>
  <si>
    <t>http://www.riss.kr/link?id=S61535</t>
  </si>
  <si>
    <t>Japan Society of Corrosion Engineering</t>
  </si>
  <si>
    <t>1978-2004, 2011-2019</t>
  </si>
  <si>
    <t>http://www.riss.kr/link?id=S60119</t>
  </si>
  <si>
    <t>電氣製鋼</t>
  </si>
  <si>
    <t>Daido Steel Co. Ltd.</t>
  </si>
  <si>
    <t>0011-8389</t>
  </si>
  <si>
    <t>1980-2008</t>
  </si>
  <si>
    <t>http://www.riss.kr/link?id=S48722</t>
  </si>
  <si>
    <t>電氣學會論文誌. A</t>
  </si>
  <si>
    <t>Institute of Electrical Engineers of Japan</t>
  </si>
  <si>
    <t>1978-2018</t>
  </si>
  <si>
    <t>http://www.riss.kr/link?id=S84178</t>
  </si>
  <si>
    <t>電氣學會論文誌. B</t>
  </si>
  <si>
    <t>http://www.riss.kr/link?id=S84179</t>
  </si>
  <si>
    <t>電氣學會論文誌. C</t>
  </si>
  <si>
    <t>1974, 1980-2018</t>
  </si>
  <si>
    <t>http://www.riss.kr/link?id=S43699</t>
  </si>
  <si>
    <t>電氣學會論文誌. D</t>
  </si>
  <si>
    <t>1992-2018</t>
  </si>
  <si>
    <t>http://www.riss.kr/link?id=S417133</t>
  </si>
  <si>
    <t>電氣學會誌</t>
  </si>
  <si>
    <t>http://www.riss.kr/link?id=S61475</t>
  </si>
  <si>
    <t>電設技術</t>
  </si>
  <si>
    <t>Ohmsha Ltd.</t>
  </si>
  <si>
    <t>1344-1450</t>
  </si>
  <si>
    <t>http://www.riss.kr/link?id=S80221</t>
  </si>
  <si>
    <t>電子 情報通信學會 論文誌 エレクトロニクス I : 光 波動</t>
  </si>
  <si>
    <t>Institute of Electronics Information and Communication Engineers</t>
  </si>
  <si>
    <t>0915-1893</t>
  </si>
  <si>
    <t>1989-1999</t>
  </si>
  <si>
    <t>http://www.riss.kr/link?id=S13948</t>
  </si>
  <si>
    <t>電子材料</t>
  </si>
  <si>
    <t xml:space="preserve"> Kogyo Chosakai Publishing Co. Ltd.</t>
  </si>
  <si>
    <t>0387-0774</t>
  </si>
  <si>
    <t>1980-2003, 2007-2010</t>
  </si>
  <si>
    <t>http://www.riss.kr/link?id=S37341</t>
  </si>
  <si>
    <t>電子情報通信學會 論文誌, D-I</t>
  </si>
  <si>
    <t>0915-1915</t>
  </si>
  <si>
    <t>1999-2005</t>
  </si>
  <si>
    <t>http://www.riss.kr/link?id=S49446</t>
  </si>
  <si>
    <t>電子情報通信學會論文誌 通信Ⅰ-情報通信システムㆍ理論</t>
  </si>
  <si>
    <t>0915-1877</t>
  </si>
  <si>
    <t>http://www.riss.kr/link?id=S61209</t>
  </si>
  <si>
    <t>電子情報通信学会論文誌. A, 基礎 境界</t>
  </si>
  <si>
    <t>1974-1977, 1981-2014</t>
  </si>
  <si>
    <t>http://www.riss.kr/link?id=S38258</t>
  </si>
  <si>
    <t>電子情報通信学会論文誌. B, 通信</t>
  </si>
  <si>
    <t>1974-1988, 1999-2014</t>
  </si>
  <si>
    <t>http://www.riss.kr/link?id=S27664</t>
  </si>
  <si>
    <t>電子情報通信学会論文誌. C, エレクトロニクス</t>
  </si>
  <si>
    <t>1974-1988, 2000-2014</t>
  </si>
  <si>
    <t>http://www.riss.kr/link?id=S104082</t>
  </si>
  <si>
    <t>電子情報通信学会論文誌. D, 情報 システム</t>
  </si>
  <si>
    <t>1989-1999, 2006-2014</t>
  </si>
  <si>
    <t>http://www.riss.kr/link?id=S49444</t>
  </si>
  <si>
    <t>電子情報通信學會誌</t>
  </si>
  <si>
    <t>0913-5693</t>
  </si>
  <si>
    <t>http://www.riss.kr/link?id=S417126</t>
  </si>
  <si>
    <t>庭</t>
  </si>
  <si>
    <t>建築資料研究社</t>
  </si>
  <si>
    <t>0389-6374</t>
  </si>
  <si>
    <t>http://www.riss.kr/link?id=S91440</t>
  </si>
  <si>
    <t>精密工學會誌</t>
  </si>
  <si>
    <t>Japan Society for Precision Engineering</t>
  </si>
  <si>
    <t>0912-0289</t>
  </si>
  <si>
    <t>http://www.riss.kr/link?id=S19733</t>
  </si>
  <si>
    <t>第四紀硏究</t>
  </si>
  <si>
    <t>Japan Association for Quaternary Research</t>
  </si>
  <si>
    <t>0418-2642</t>
  </si>
  <si>
    <t>http://www.riss.kr/link?id=S31425</t>
  </si>
  <si>
    <t>鑄造工學</t>
  </si>
  <si>
    <t>Japan Foundry Engineering Society</t>
  </si>
  <si>
    <t>1342-0429</t>
  </si>
  <si>
    <t>http://www.riss.kr/link?id=S63124</t>
  </si>
  <si>
    <t>住宅建築</t>
  </si>
  <si>
    <t>建築資料硏究所</t>
  </si>
  <si>
    <t>0389-6358</t>
  </si>
  <si>
    <t>http://www.riss.kr/link?id=S60986</t>
  </si>
  <si>
    <t>Japan Society for Fuzzy Theory and Intelligent Informatics</t>
  </si>
  <si>
    <t>2003-2018</t>
  </si>
  <si>
    <t>http://www.riss.kr/link?id=S20069376</t>
  </si>
  <si>
    <t>地理學評論</t>
  </si>
  <si>
    <t>日本地理学会</t>
  </si>
  <si>
    <t>1883-4388</t>
  </si>
  <si>
    <t>1940, 1960, 1983-2015</t>
  </si>
  <si>
    <t>http://www.riss.kr/link?id=S416813</t>
  </si>
  <si>
    <t>地盤工學會論文報告集</t>
  </si>
  <si>
    <t>Japanese Geotechnical Society</t>
  </si>
  <si>
    <t>1341-7452</t>
  </si>
  <si>
    <t>1995-2011</t>
  </si>
  <si>
    <t>http://www.riss.kr/link?id=S61212</t>
  </si>
  <si>
    <t>地盤工學會誌</t>
  </si>
  <si>
    <t>1980-2020</t>
  </si>
  <si>
    <t>http://www.riss.kr/link?id=S143626</t>
  </si>
  <si>
    <t>地質ニュ-ス</t>
  </si>
  <si>
    <t>Jitsugyo Kohosha Co.</t>
  </si>
  <si>
    <t>0009-4854</t>
  </si>
  <si>
    <t>1982-2011</t>
  </si>
  <si>
    <t>http://www.riss.kr/link?id=S21980</t>
  </si>
  <si>
    <t>天氣</t>
  </si>
  <si>
    <t>http://www.riss.kr/link?id=S35910</t>
  </si>
  <si>
    <t>鐵と鋼</t>
  </si>
  <si>
    <t>1977-2019</t>
  </si>
  <si>
    <t>http://www.riss.kr/link?id=S20066775</t>
  </si>
  <si>
    <t>測地學會誌</t>
  </si>
  <si>
    <t>Geodetic Society of Japan</t>
  </si>
  <si>
    <t>0038-0830</t>
  </si>
  <si>
    <t>1997-2019</t>
  </si>
  <si>
    <t>http://www.riss.kr/link?id=S62819</t>
  </si>
  <si>
    <t>太陽エネルギ―</t>
  </si>
  <si>
    <t>日本太陽エネルギ―學會</t>
  </si>
  <si>
    <t>0388-9564</t>
  </si>
  <si>
    <t>http://www.riss.kr/link?id=S105323</t>
  </si>
  <si>
    <t>土木技術</t>
  </si>
  <si>
    <t>Doboku Gijutsusha</t>
  </si>
  <si>
    <t>0285-5046</t>
  </si>
  <si>
    <t>1946, 1948-1949, 1951-1960, 1972-2021</t>
  </si>
  <si>
    <t>http://www.riss.kr/link?id=S43977</t>
  </si>
  <si>
    <t>土木技術資料</t>
  </si>
  <si>
    <t>Public Works Research Center</t>
  </si>
  <si>
    <t>0386-5886</t>
  </si>
  <si>
    <t>http://www.riss.kr/link?id=S80251</t>
  </si>
  <si>
    <t>土木施工</t>
  </si>
  <si>
    <t>Ofisu Supesu</t>
  </si>
  <si>
    <t>0387-0790</t>
  </si>
  <si>
    <t>1970-2008</t>
  </si>
  <si>
    <t>http://www.riss.kr/link?id=S40249</t>
  </si>
  <si>
    <t>土木學會論文報告集</t>
  </si>
  <si>
    <t>Japan Society of Civil Engineers</t>
  </si>
  <si>
    <t>0289-7806</t>
  </si>
  <si>
    <t>1973, 1984-2007, 2009-2012</t>
  </si>
  <si>
    <t>http://www.riss.kr/link?id=S27656</t>
  </si>
  <si>
    <t>土木學會論文集 B2, 海岸工學</t>
  </si>
  <si>
    <t>1884-2399</t>
  </si>
  <si>
    <t>2013, 2014</t>
  </si>
  <si>
    <t>http://www.riss.kr/link?id=S144142</t>
  </si>
  <si>
    <t>土木學會誌</t>
  </si>
  <si>
    <t>0021-468X</t>
  </si>
  <si>
    <t>1981, 1992, 1999, 2013-2021</t>
  </si>
  <si>
    <t>http://www.riss.kr/link?id=S19719</t>
  </si>
  <si>
    <t>特殊鋼</t>
  </si>
  <si>
    <t>特殊鋼俱樂部</t>
  </si>
  <si>
    <t>0495-7644</t>
  </si>
  <si>
    <t>1980, 1983-1991, 1993-2021</t>
  </si>
  <si>
    <t>http://www.riss.kr/link?id=S63537</t>
  </si>
  <si>
    <t>廢棄物學會誌</t>
  </si>
  <si>
    <t>Japan Society of Material Cycles and Waste Management</t>
  </si>
  <si>
    <t>1883-5864</t>
  </si>
  <si>
    <t>2014-2019</t>
  </si>
  <si>
    <t>http://www.riss.kr/link?id=S116014</t>
  </si>
  <si>
    <t>表面</t>
  </si>
  <si>
    <t>Koshinsha Co. Ltd.</t>
  </si>
  <si>
    <t>0367-648X</t>
  </si>
  <si>
    <t>1992-2011</t>
  </si>
  <si>
    <t>http://www.riss.kr/link?id=S63540</t>
  </si>
  <si>
    <t>表面と眞空</t>
  </si>
  <si>
    <t>日本表面科学会</t>
  </si>
  <si>
    <t>2433-5835</t>
  </si>
  <si>
    <t>http://www.riss.kr/link?id=S61680</t>
  </si>
  <si>
    <t>表面技術</t>
  </si>
  <si>
    <t>Surface Finishing Society of Japan</t>
  </si>
  <si>
    <t>0915-1869</t>
  </si>
  <si>
    <t>1989-2004, 2010-2021</t>
  </si>
  <si>
    <t>http://www.riss.kr/link?id=S413798</t>
  </si>
  <si>
    <t>http://www.riss.kr/link?id=S85459</t>
  </si>
  <si>
    <t>下水道協會誌</t>
  </si>
  <si>
    <t>Japan Sewage Works Association</t>
  </si>
  <si>
    <t>0021-4639</t>
  </si>
  <si>
    <t>1983-2019</t>
  </si>
  <si>
    <t>http://www.riss.kr/link?id=S36572</t>
  </si>
  <si>
    <t>學術講梗槪集(C-1); 構造 III : 木質構造 鐵筋構造 鋼 コンクリ―ト合成構造</t>
  </si>
  <si>
    <t>日本建築學會</t>
  </si>
  <si>
    <t>1341-447X</t>
  </si>
  <si>
    <t>1995-2005</t>
  </si>
  <si>
    <t>http://www.riss.kr/link?id=S104123</t>
  </si>
  <si>
    <t>學術講梗槪集(D-1) ; 環境工學 1</t>
  </si>
  <si>
    <t>1341-4496</t>
  </si>
  <si>
    <t>http://www.riss.kr/link?id=S104124</t>
  </si>
  <si>
    <t>學術講梗槪集(D-2) ; 環境工學 2</t>
  </si>
  <si>
    <t>1341-450X</t>
  </si>
  <si>
    <t>http://www.riss.kr/link?id=S104125</t>
  </si>
  <si>
    <t>學術講梗槪集(E-1) ; 建築計劃 1</t>
  </si>
  <si>
    <t>1341-4518</t>
  </si>
  <si>
    <t>http://www.riss.kr/link?id=S104126</t>
  </si>
  <si>
    <t>學術講演梗槪集</t>
  </si>
  <si>
    <t>0915-0161</t>
  </si>
  <si>
    <t>1982, 1985-1989, 1991, 1994</t>
  </si>
  <si>
    <t>http://www.riss.kr/link?id=S104262</t>
  </si>
  <si>
    <t>學術講演梗槪集 E-2</t>
  </si>
  <si>
    <t>1341-4526</t>
  </si>
  <si>
    <t>http://www.riss.kr/link?id=S104127</t>
  </si>
  <si>
    <t>學術講演梗槪集 F-1</t>
  </si>
  <si>
    <t>1341-4534</t>
  </si>
  <si>
    <t>http://www.riss.kr/link?id=S104203</t>
  </si>
  <si>
    <t>學術講演梗槪集 F-2</t>
  </si>
  <si>
    <t>1341-4542</t>
  </si>
  <si>
    <t>1982, 1995-2005</t>
  </si>
  <si>
    <t>http://www.riss.kr/link?id=S104204</t>
  </si>
  <si>
    <t>學術講演梗槪集 材料施工</t>
  </si>
  <si>
    <t>1341-4437</t>
  </si>
  <si>
    <t>http://www.riss.kr/link?id=S79477</t>
  </si>
  <si>
    <t>學術講演梗槪集(A-2);防火 海洋 情報システム技術</t>
  </si>
  <si>
    <t>1341-4445</t>
  </si>
  <si>
    <t>1995-2012</t>
  </si>
  <si>
    <t>http://www.riss.kr/link?id=S104122</t>
  </si>
  <si>
    <t>學術講演梗槪集(B-1);構造 1</t>
  </si>
  <si>
    <t>1341-4453</t>
  </si>
  <si>
    <t>http://www.riss.kr/link?id=S104180</t>
  </si>
  <si>
    <t>學術講演梗槪集(B-2);構造 2</t>
  </si>
  <si>
    <t>1341-4461</t>
  </si>
  <si>
    <t>http://www.riss.kr/link?id=S104181</t>
  </si>
  <si>
    <t>學術講演梗槪集(C-2);構造 4</t>
  </si>
  <si>
    <t>1341-4488</t>
  </si>
  <si>
    <t>http://www.riss.kr/link?id=S104177</t>
  </si>
  <si>
    <t>航空技術(Avigagtion Engineering)</t>
  </si>
  <si>
    <t>Japan Aeronautical Engineers Association</t>
  </si>
  <si>
    <t>http://www.riss.kr/link?id=S11643948</t>
  </si>
  <si>
    <t>航空情報</t>
  </si>
  <si>
    <t>Kantosha Co. Ltd.</t>
  </si>
  <si>
    <t>http://www.riss.kr/link?id=S20085282</t>
  </si>
  <si>
    <t>海と空</t>
  </si>
  <si>
    <t>Marine Meteorological Society</t>
  </si>
  <si>
    <t>0503-1567</t>
  </si>
  <si>
    <t>1974-1975, 1977-1978, 1980-1981, 1983-1988, 1990-2014</t>
  </si>
  <si>
    <t>http://www.riss.kr/link?id=S61039</t>
  </si>
  <si>
    <t>海の氣象</t>
  </si>
  <si>
    <t>0287-5276</t>
  </si>
  <si>
    <t>1973-1978, 1980-2004, 2006-2014</t>
  </si>
  <si>
    <t>http://www.riss.kr/link?id=S60888</t>
  </si>
  <si>
    <t>解剖學雜誌</t>
  </si>
  <si>
    <t>日本解剖學會</t>
  </si>
  <si>
    <t>0022-7722</t>
  </si>
  <si>
    <t>http://www.riss.kr/link?id=S24367</t>
  </si>
  <si>
    <t>海岸工學論文集</t>
  </si>
  <si>
    <t>土木學會</t>
  </si>
  <si>
    <t>0916-7897</t>
  </si>
  <si>
    <t>1974-1979, 1991-1993, 1996-2011</t>
  </si>
  <si>
    <t>http://www.riss.kr/link?id=S63728</t>
  </si>
  <si>
    <t>海洋水産エンジニアリング</t>
  </si>
  <si>
    <t>Fishing Boat And Syatem Engineering Association of Japan</t>
  </si>
  <si>
    <t>1346-9800</t>
  </si>
  <si>
    <t>http://www.riss.kr/link?id=S20069318</t>
  </si>
  <si>
    <t>海外纖維技術文獻集</t>
  </si>
  <si>
    <t>日本纖維機械學會</t>
  </si>
  <si>
    <t>1983-2017</t>
  </si>
  <si>
    <t>http://www.riss.kr/link?id=S63688</t>
  </si>
  <si>
    <t>現代 農業</t>
  </si>
  <si>
    <t>Rural Culture Association</t>
  </si>
  <si>
    <t>0289-3517</t>
  </si>
  <si>
    <t>http://www.riss.kr/link?id=S85829</t>
  </si>
  <si>
    <t>現代化學</t>
  </si>
  <si>
    <t>Tokyo Kagaku Dojin</t>
  </si>
  <si>
    <t>0386-961X</t>
  </si>
  <si>
    <t>http://www.riss.kr/link?id=S58112</t>
  </si>
  <si>
    <t>火山</t>
  </si>
  <si>
    <t>Nihon Kazan Gakkai</t>
  </si>
  <si>
    <t>0453-4360</t>
  </si>
  <si>
    <t>1982-1989, 1991-2021</t>
  </si>
  <si>
    <t>http://www.riss.kr/link?id=S60985</t>
  </si>
  <si>
    <t>化學と生物</t>
  </si>
  <si>
    <t>Japan Scientific Societies Press</t>
  </si>
  <si>
    <t>1972-2018</t>
  </si>
  <si>
    <t>http://www.riss.kr/link?id=S19811</t>
  </si>
  <si>
    <t>化學工學</t>
  </si>
  <si>
    <t>0375-9253</t>
  </si>
  <si>
    <t>1962-1963, 1974-1975, 1982-2021</t>
  </si>
  <si>
    <t>http://www.riss.kr/link?id=S35578</t>
  </si>
  <si>
    <t>化學工學論文集</t>
  </si>
  <si>
    <t>0386-216X</t>
  </si>
  <si>
    <t>http://www.riss.kr/link?id=S20109</t>
  </si>
  <si>
    <t>化學裝置</t>
  </si>
  <si>
    <t>工業調査會</t>
  </si>
  <si>
    <t>1959-1960, 1963, 1966, 1970-2020</t>
  </si>
  <si>
    <t>http://www.riss.kr/link?id=S40112</t>
  </si>
  <si>
    <t>Soft Robotics</t>
  </si>
  <si>
    <t>Mary and Libert Inc</t>
  </si>
  <si>
    <t>2169-5180</t>
  </si>
  <si>
    <t>2021~2021</t>
  </si>
  <si>
    <t>번호</t>
  </si>
  <si>
    <t>구분</t>
  </si>
  <si>
    <t>출판사</t>
  </si>
  <si>
    <t>간기</t>
  </si>
  <si>
    <t>구독조건</t>
  </si>
  <si>
    <t>Price($)</t>
  </si>
  <si>
    <t>비고</t>
  </si>
  <si>
    <t>서양</t>
  </si>
  <si>
    <t>Amer Assn Petroleum Geologists</t>
  </si>
  <si>
    <t>$ 1,278.00</t>
  </si>
  <si>
    <t>Amer Assn Txtl Chem &amp; Colorist</t>
  </si>
  <si>
    <t>$ 362.00</t>
  </si>
  <si>
    <t>금액 불일치, 타기관 영수증 등 증빙자료 요망</t>
  </si>
  <si>
    <t>$ 216.00</t>
  </si>
  <si>
    <t>$ 3,391.00</t>
  </si>
  <si>
    <t>Trans Tech Publications</t>
  </si>
  <si>
    <t>$ 1,129.00</t>
  </si>
  <si>
    <t>Print+Online</t>
  </si>
  <si>
    <t>$ 1,932.00</t>
  </si>
  <si>
    <t>American Ceramic Society bulletin</t>
  </si>
  <si>
    <t>American Ceramic Society</t>
  </si>
  <si>
    <t>$ 159.00</t>
  </si>
  <si>
    <t>Allen Press Inc</t>
  </si>
  <si>
    <t>$ 714.00</t>
  </si>
  <si>
    <t>$ 4,471.00</t>
  </si>
  <si>
    <t>The Architect</t>
  </si>
  <si>
    <t>Hanley Wood Media, Inc.</t>
  </si>
  <si>
    <t>$ 232.00</t>
  </si>
  <si>
    <t>Advance Magazine Group</t>
  </si>
  <si>
    <t>$ 256.00</t>
  </si>
  <si>
    <t>McGraw Hill Construction</t>
  </si>
  <si>
    <t>$ 291.00</t>
  </si>
  <si>
    <t>Architectural Review</t>
  </si>
  <si>
    <t>$ 404.00</t>
  </si>
  <si>
    <t>Architectural Science Review</t>
  </si>
  <si>
    <t>$ 1,215.00</t>
  </si>
  <si>
    <t>$ 679.00</t>
  </si>
  <si>
    <t>$ 1,666.00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</si>
  <si>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</si>
  <si>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t>$ 1,331.00</t>
  </si>
  <si>
    <t>Chemical &amp; Engineering News</t>
  </si>
  <si>
    <t>$ 981.00</t>
  </si>
  <si>
    <t>Amer Inst Chemical Engineers</t>
  </si>
  <si>
    <t>$ 464.00</t>
  </si>
  <si>
    <t>Elsevier</t>
  </si>
  <si>
    <t>$ 3,927.00</t>
  </si>
  <si>
    <t>$ 210.00</t>
  </si>
  <si>
    <t>E</t>
  </si>
  <si>
    <t>CIRP Annals ...manufacturing Technology</t>
  </si>
  <si>
    <t>Elsevier Science (Singapore)</t>
  </si>
  <si>
    <t>$ 1,000.00</t>
  </si>
  <si>
    <t>Clothing &amp; Textiles Research Journal</t>
  </si>
  <si>
    <t>$ 463.00</t>
  </si>
  <si>
    <t>$ 1,007.00</t>
  </si>
  <si>
    <t>Concurrent Engineering: Research &amp; Application</t>
  </si>
  <si>
    <t>$ 2,148.00</t>
  </si>
  <si>
    <t>$ 1,330.00</t>
  </si>
  <si>
    <t>Detail : Zeitschrift fuer Architektur und Baudetail - Bilingual ed - German with English Summaries</t>
  </si>
  <si>
    <t>Architektur Dokumentation GmbH &amp; Co.KG</t>
  </si>
  <si>
    <t>$ 345.00</t>
  </si>
  <si>
    <t>$ 235.00</t>
  </si>
  <si>
    <t>$ 2,676.00</t>
  </si>
  <si>
    <t>El Croquis de Arquitectura y de Diseno</t>
  </si>
  <si>
    <t>$ 505.00</t>
  </si>
  <si>
    <t>부산대도서관 명시 안 됨</t>
  </si>
  <si>
    <t>$ 168.00</t>
  </si>
  <si>
    <t>Elsevier Bv</t>
  </si>
  <si>
    <t>$ 1,032.00</t>
  </si>
  <si>
    <t>$ 1,694.00</t>
  </si>
  <si>
    <t>$ 1,533.00</t>
  </si>
  <si>
    <t>Experimental Mechanics</t>
  </si>
  <si>
    <t>$ 2,287.00</t>
  </si>
  <si>
    <t>$ 8,325.00</t>
  </si>
  <si>
    <t>$ 2,390.00</t>
  </si>
  <si>
    <t>$ 1,275.00</t>
  </si>
  <si>
    <t>$ 119.00</t>
  </si>
  <si>
    <t>$ 1,682.00</t>
  </si>
  <si>
    <t>Glass Technology : European Journal of Glass Science and Technology Part A</t>
  </si>
  <si>
    <t>$ 766.00</t>
  </si>
  <si>
    <t>$ 5,685.00</t>
  </si>
  <si>
    <t>$ 4,482.00</t>
  </si>
  <si>
    <t>$ 2,190.00</t>
  </si>
  <si>
    <t>$ -</t>
  </si>
  <si>
    <t>Open Access</t>
  </si>
  <si>
    <t>IISE Transactions</t>
  </si>
  <si>
    <t>$ 2,022.00</t>
  </si>
  <si>
    <t>$ 5,610.00</t>
  </si>
  <si>
    <t>Insight : Non Destructive Testing and Condition Monitoring</t>
  </si>
  <si>
    <t>British Inst Nondestruct Test</t>
  </si>
  <si>
    <t>$ 353.00</t>
  </si>
  <si>
    <t>Instrumentation Science &amp; Technology</t>
  </si>
  <si>
    <t>$ 3,861.00</t>
  </si>
  <si>
    <t>International Journal of Cast Metals Research</t>
  </si>
  <si>
    <t>$ 1,257.00</t>
  </si>
  <si>
    <t>$ 3,784.00</t>
  </si>
  <si>
    <t>$ 16,410.00</t>
  </si>
  <si>
    <t>$ 2,080.00</t>
  </si>
  <si>
    <t>$ 2,621.00</t>
  </si>
  <si>
    <t>$ 4,146.00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</si>
  <si>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</si>
  <si>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t>International Journal of Geographical Information Science</t>
  </si>
  <si>
    <t>$ 6,760.00</t>
  </si>
  <si>
    <t>International Journal of Maritime Engineering - Transactions of the Royal Inst of Naval Architects - Part A</t>
  </si>
  <si>
    <t>$ 156.00</t>
  </si>
  <si>
    <t>International Journal of Materials &amp; Product Technology</t>
  </si>
  <si>
    <t>$ 1,766.00</t>
  </si>
  <si>
    <t>Springer Nature</t>
  </si>
  <si>
    <t>$ 1,885.00</t>
  </si>
  <si>
    <t>Intl Soc Offshore Polar Engineers</t>
  </si>
  <si>
    <t>$ 228.00</t>
  </si>
  <si>
    <t>International Journal of Pavement Engineering</t>
  </si>
  <si>
    <t>$ 3,078.00</t>
  </si>
  <si>
    <t>$ 3,150.00</t>
  </si>
  <si>
    <t>APMI International</t>
  </si>
  <si>
    <t>$ 385.00</t>
  </si>
  <si>
    <t>$ 2,382.00</t>
  </si>
  <si>
    <t>$ 918.00</t>
  </si>
  <si>
    <t>$ 926.00</t>
  </si>
  <si>
    <t>$ 2,997.00</t>
  </si>
  <si>
    <t>$ 3,141.00</t>
  </si>
  <si>
    <t>Inverse Problems in Science and Engineering</t>
  </si>
  <si>
    <t>$ 5,712.00</t>
  </si>
  <si>
    <t>JOM : the Journal of the Minerals Metals &amp; Materials Society</t>
  </si>
  <si>
    <t>$ 1,383.00</t>
  </si>
  <si>
    <t>Journal - American Water Works Association</t>
  </si>
  <si>
    <t>John Wiley &amp; Sons,Ltd</t>
  </si>
  <si>
    <t>$ 379.00</t>
  </si>
  <si>
    <t>$ 11,109.00</t>
  </si>
  <si>
    <t>Journal of Adhesion Science and Technology</t>
  </si>
  <si>
    <t>$ 8,297.00</t>
  </si>
  <si>
    <t>$ 2,202.00</t>
  </si>
  <si>
    <t>$ 3,747.00</t>
  </si>
  <si>
    <t>$ 5,686.00</t>
  </si>
  <si>
    <t>$ 1,586.00</t>
  </si>
  <si>
    <t>$ 2,352.00</t>
  </si>
  <si>
    <t>$ 13,034.00</t>
  </si>
  <si>
    <t>$ 1,321.00</t>
  </si>
  <si>
    <t>$ 2,073.00</t>
  </si>
  <si>
    <t>Journal of Elastomers and Plastics</t>
  </si>
  <si>
    <t>$ 2,930.00</t>
  </si>
  <si>
    <t>$ 1,498.00</t>
  </si>
  <si>
    <t>$ 837.00</t>
  </si>
  <si>
    <t>Journal of Engineering for Gas Turbines &amp; Power</t>
  </si>
  <si>
    <t>Journal of Engineering Materials &amp; Technology</t>
  </si>
  <si>
    <t>$ 1,359.00</t>
  </si>
  <si>
    <t>$ 2,577.00</t>
  </si>
  <si>
    <t>Journal of Environmental Engineering - VA</t>
  </si>
  <si>
    <t>$ 2,454.00</t>
  </si>
  <si>
    <t>$ 2,707.00</t>
  </si>
  <si>
    <t>$ 1,632.00</t>
  </si>
  <si>
    <t>$ 1,775.00</t>
  </si>
  <si>
    <t>Journal of Intelligent Materials Systems and Structures</t>
  </si>
  <si>
    <t>$ 5,727.00</t>
  </si>
  <si>
    <t>$ 708.00</t>
  </si>
  <si>
    <t>Journal of Manufacturing Science and Engineering</t>
  </si>
  <si>
    <t>$ 1,904.00</t>
  </si>
  <si>
    <t>$ 3,386.00</t>
  </si>
  <si>
    <t>Journal of Materials Science|
  Journal of materials science. : Materials in electronics(0957-4522)
  Journal of materials science. : Materials in medicine(0957-4530)</t>
  </si>
  <si>
    <t>$ 35,336.00</t>
  </si>
  <si>
    <t>Mathematical Science Publ</t>
  </si>
  <si>
    <t>$ 944.00</t>
  </si>
  <si>
    <t>$ 7,193.00</t>
  </si>
  <si>
    <t>$ 2,297.00</t>
  </si>
  <si>
    <t>Journal of Offshore Mechanics &amp; Arctic Engineering</t>
  </si>
  <si>
    <t>$ 1,710.00</t>
  </si>
  <si>
    <t>$ 946.00</t>
  </si>
  <si>
    <t>$ 3,635.00</t>
  </si>
  <si>
    <t>항목 중복</t>
  </si>
  <si>
    <t>Journal of Structural Engineering - VA</t>
  </si>
  <si>
    <t>$ 2,931.00</t>
  </si>
  <si>
    <t>The Journal of Textile Institute</t>
  </si>
  <si>
    <t>$ 2,575.00</t>
  </si>
  <si>
    <t>The Journal of the American Leather Chemists Association</t>
  </si>
  <si>
    <t>American Leather Chemists Assn</t>
  </si>
  <si>
    <t>$ 271.00</t>
  </si>
  <si>
    <t>Journal of Toxicology and Environmental Health, Part B: Critical Reviews</t>
  </si>
  <si>
    <t>$ 2,503.00</t>
  </si>
  <si>
    <t>$ 1,622.00</t>
  </si>
  <si>
    <t>$ 765.00</t>
  </si>
  <si>
    <t>Journal of Vibration &amp; Acoustics</t>
  </si>
  <si>
    <t>$ 1,253.00</t>
  </si>
  <si>
    <t>$ 987.00</t>
  </si>
  <si>
    <t>$ 4,413.00</t>
  </si>
  <si>
    <t>Journal of X-Ray Science and Technology</t>
  </si>
  <si>
    <t>$ 1,358.00</t>
  </si>
  <si>
    <t>$ 783.00</t>
  </si>
  <si>
    <t>Machining Science and Technology</t>
  </si>
  <si>
    <t>$ 2,072.00</t>
  </si>
  <si>
    <t>$ 2,157.00</t>
  </si>
  <si>
    <t>$ 175.00</t>
  </si>
  <si>
    <t>$ 7,183.00</t>
  </si>
  <si>
    <t>$ 2,107.00</t>
  </si>
  <si>
    <t>Amer Soc Nondestruct Testing</t>
  </si>
  <si>
    <t>$ 260.00</t>
  </si>
  <si>
    <t>Materials Science and Technology - IMMM</t>
  </si>
  <si>
    <t>$ 4,863.00</t>
  </si>
  <si>
    <t>Materials Science Forum</t>
  </si>
  <si>
    <t>$ 4,857.00</t>
  </si>
  <si>
    <t>$ 2,255.00</t>
  </si>
  <si>
    <t>$ 7,388.00</t>
  </si>
  <si>
    <t>$ 336.00</t>
  </si>
  <si>
    <t>$ 378.00</t>
  </si>
  <si>
    <t>$ 5,898.00</t>
  </si>
  <si>
    <t>$ 191.00</t>
  </si>
  <si>
    <t>MRS Bulletin</t>
  </si>
  <si>
    <t>$ 988.00</t>
  </si>
  <si>
    <t>Numerical Heat Transfer - Part A - Applications</t>
  </si>
  <si>
    <t>$ 14,299.00</t>
  </si>
  <si>
    <t>Numerical Heat Transfer - Part B - Fundamentals</t>
  </si>
  <si>
    <t>$ 4,669.00</t>
  </si>
  <si>
    <t>$ 1,039.00</t>
  </si>
  <si>
    <t>Physics and Chemistry of Glasses : European Journal of Glass Science and Technology Part B</t>
  </si>
  <si>
    <t>$ 822.00</t>
  </si>
  <si>
    <t>Plastics Rubber and Composites</t>
  </si>
  <si>
    <t>$ 3,376.00</t>
  </si>
  <si>
    <t>Polymer Bulletin</t>
  </si>
  <si>
    <t>$ 9,651.00</t>
  </si>
  <si>
    <t>$ 9,900.00</t>
  </si>
  <si>
    <t>Polymers &amp; Polymer Composites</t>
  </si>
  <si>
    <t>$ 1,606.00</t>
  </si>
  <si>
    <t>Proceedings of the Institution of Mechanical Engineers - Part B - Journal of Engineering Manufacture</t>
  </si>
  <si>
    <t>$ 6,723.00</t>
  </si>
  <si>
    <t>Proceedings of the Institution of Mechanical Engineers - Part C - Journal of Mechanical Engineering Science</t>
  </si>
  <si>
    <t>$ 7,268.00</t>
  </si>
  <si>
    <t>Proceedings of the Institution of Mechanical Engineers - Part D - Journal of Automobile Engineering</t>
  </si>
  <si>
    <t>$ 7,031.00</t>
  </si>
  <si>
    <t>Proceedings of the Institution of Mechanical Engineers - Part F - Journal of Rail &amp; Rapid Transit</t>
  </si>
  <si>
    <t>$ 3,453.00</t>
  </si>
  <si>
    <t>Proceedings of the Institution of Mechanical Engineers - Part G - Journal of Aerospace Engineering</t>
  </si>
  <si>
    <t>$ 6,835.00</t>
  </si>
  <si>
    <t>Proceedings of the Institution of Mechanical Engineers - Part H - Journal of Engineering in Medicine</t>
  </si>
  <si>
    <t>$ 6,480.00</t>
  </si>
  <si>
    <t>Proceedings of the Institution of Mechanical Engineers - Part I - Journal of Systems &amp; Control Engineering</t>
  </si>
  <si>
    <t>$ 5,132.00</t>
  </si>
  <si>
    <t>Proceedings of the Institution of Mechanical Engineers - Part K - Journal of Multibody Dynamics</t>
  </si>
  <si>
    <t>$ 2,105.00</t>
  </si>
  <si>
    <t>Proceedings of the Institution of Mechanical Engineers - Part P - Journal of Sports Engineering &amp; Technology</t>
  </si>
  <si>
    <t>$ 1,934.00</t>
  </si>
  <si>
    <t>Proceedings of the Institution of Mechanical Engineers -Pt M - Journal of Engineering of the Maritime Environment</t>
  </si>
  <si>
    <t>$ 1,907.00</t>
  </si>
  <si>
    <t>Production Planning &amp; Control</t>
  </si>
  <si>
    <t>$ 2,816.00</t>
  </si>
  <si>
    <t>Progress in Computational Fluid Dynamics</t>
  </si>
  <si>
    <t>$ 1,268.00</t>
  </si>
  <si>
    <t>Quarterly Journal of Engineering Geology &amp; Hydrogeology</t>
  </si>
  <si>
    <t>$ 1,414.00</t>
  </si>
  <si>
    <t>Bentham Science Publishers ltd</t>
  </si>
  <si>
    <t>$ 1,697.00</t>
  </si>
  <si>
    <t>QUESTEL</t>
  </si>
  <si>
    <t>$ 980.00</t>
  </si>
  <si>
    <t>$ 562.00</t>
  </si>
  <si>
    <t>Rheologica Acta</t>
  </si>
  <si>
    <t>Springer GmbH</t>
  </si>
  <si>
    <t>$ 5,917.00</t>
  </si>
  <si>
    <t>$ 1,966.00</t>
  </si>
  <si>
    <t>Science of Advanced Materials</t>
  </si>
  <si>
    <t>$ 5,729.00</t>
  </si>
  <si>
    <t>Separation Science &amp; Technology - England</t>
  </si>
  <si>
    <t>$ 9,808.00</t>
  </si>
  <si>
    <t>$ 2,292.00</t>
  </si>
  <si>
    <t>SID Symposium Digest of Technical Papers</t>
  </si>
  <si>
    <t>$ 849.00</t>
  </si>
  <si>
    <t>Smart Structures and Systems</t>
  </si>
  <si>
    <t>$ 1,306.00</t>
  </si>
  <si>
    <t>$ 1,868.00</t>
  </si>
  <si>
    <t>$ 3,950.00</t>
  </si>
  <si>
    <t>Soil and Sediment Contamination</t>
  </si>
  <si>
    <t>$ 3,347.00</t>
  </si>
  <si>
    <t>Steel &amp; Composite Structures</t>
  </si>
  <si>
    <t>$ 2,248.00</t>
  </si>
  <si>
    <t>$ 898.00</t>
  </si>
  <si>
    <t>$ 1,837.00</t>
  </si>
  <si>
    <t>Structure and Infrastructure Engineering</t>
  </si>
  <si>
    <t>$ 2,523.00</t>
  </si>
  <si>
    <t>$ 1,342.00</t>
  </si>
  <si>
    <t>$ 5,745.00</t>
  </si>
  <si>
    <t>$ 509.00</t>
  </si>
  <si>
    <t>$ 268.00</t>
  </si>
  <si>
    <t>$ 373.00</t>
  </si>
  <si>
    <t>$ 3,942.00</t>
  </si>
  <si>
    <t>TM : Technisches Messen</t>
  </si>
  <si>
    <t>$ 1,080.00</t>
  </si>
  <si>
    <t>$ 1,458.00</t>
  </si>
  <si>
    <t>$ 4,970.00</t>
  </si>
  <si>
    <t>$ 1,772.00</t>
  </si>
  <si>
    <t>$ 170.00</t>
  </si>
  <si>
    <t>Wind and Structures: an International Journal</t>
  </si>
  <si>
    <t>동양</t>
  </si>
  <si>
    <t>繊維社</t>
  </si>
  <si>
    <t>$ 346.00</t>
  </si>
  <si>
    <t>(株)建築技術</t>
  </si>
  <si>
    <t>$ 322.00</t>
  </si>
  <si>
    <t>建築設備総合協会</t>
  </si>
  <si>
    <t>$ 279.00</t>
  </si>
  <si>
    <t>建築雑誌</t>
  </si>
  <si>
    <t>$ 265.00</t>
  </si>
  <si>
    <t>軽金属</t>
  </si>
  <si>
    <t>軽金属学会</t>
  </si>
  <si>
    <t>$ 236.00</t>
  </si>
  <si>
    <t>計測自動制御学会</t>
  </si>
  <si>
    <t>$ 359.00</t>
  </si>
  <si>
    <t>高分子学会</t>
  </si>
  <si>
    <t>$ 398.00</t>
  </si>
  <si>
    <t>空気調和‧衛生工学論文集</t>
  </si>
  <si>
    <t>$ 372.00</t>
  </si>
  <si>
    <t>$ 241.00</t>
  </si>
  <si>
    <t>建設図書</t>
  </si>
  <si>
    <t>$ 292.00</t>
  </si>
  <si>
    <t>近代建築社</t>
  </si>
  <si>
    <t>$ 390.00</t>
  </si>
  <si>
    <t>金属</t>
  </si>
  <si>
    <t>アグネ技術センタ-</t>
  </si>
  <si>
    <t>$ 329.00</t>
  </si>
  <si>
    <t>$ 347.00</t>
  </si>
  <si>
    <t>シーエムシー出版</t>
  </si>
  <si>
    <t>$ 732.00</t>
  </si>
  <si>
    <t>耐火物</t>
  </si>
  <si>
    <t>耐火物技術協会</t>
  </si>
  <si>
    <t>日本冷凍空調学会</t>
  </si>
  <si>
    <t>都市計画</t>
  </si>
  <si>
    <t>日本都市計画学会</t>
  </si>
  <si>
    <t>$ 275.00</t>
  </si>
  <si>
    <t>分析化学</t>
  </si>
  <si>
    <t>日本分析化学会</t>
  </si>
  <si>
    <t>$ 384.00</t>
  </si>
  <si>
    <t>非破壞検査(Journal of N.D.I)</t>
  </si>
  <si>
    <t>日本非破壞検査協会</t>
  </si>
  <si>
    <t>$ 258.00</t>
  </si>
  <si>
    <t>$ 356.00</t>
  </si>
  <si>
    <t>繊維機械学会誌</t>
  </si>
  <si>
    <t>$ 511.00</t>
  </si>
  <si>
    <t>日本纖維機械学会</t>
  </si>
  <si>
    <t>222번의
  세트</t>
  </si>
  <si>
    <t>繊維製品消費科学</t>
  </si>
  <si>
    <t>日本繊維製品消費科学会</t>
  </si>
  <si>
    <t>$ 264.00</t>
  </si>
  <si>
    <t>繊維学会誌 (FIBER)</t>
  </si>
  <si>
    <t>繊維学会</t>
  </si>
  <si>
    <t>$ 646.00</t>
  </si>
  <si>
    <t>日本塑性加工協会</t>
  </si>
  <si>
    <t>$ 424.00</t>
  </si>
  <si>
    <t>素形材</t>
  </si>
  <si>
    <t>素形材センタ-</t>
  </si>
  <si>
    <t>新しい住まいの設計 (SUMAI)</t>
  </si>
  <si>
    <t>扶桑社</t>
  </si>
  <si>
    <t>$ 106.00</t>
  </si>
  <si>
    <t>新建築社</t>
  </si>
  <si>
    <t>$ 536.00</t>
  </si>
  <si>
    <t>岩石鉱物科学</t>
  </si>
  <si>
    <t>$ 184.00</t>
  </si>
  <si>
    <t>溶接学会誌</t>
  </si>
  <si>
    <t>溶接学会</t>
  </si>
  <si>
    <t>$ 172.00</t>
  </si>
  <si>
    <t>日本ロボット学会誌</t>
  </si>
  <si>
    <t>日本ロボット学会</t>
  </si>
  <si>
    <t>$ 452.00</t>
  </si>
  <si>
    <t>日本機械学会</t>
  </si>
  <si>
    <t>$ 434.00</t>
  </si>
  <si>
    <t>日本金属学会誌</t>
  </si>
  <si>
    <t>日本金属学会</t>
  </si>
  <si>
    <t>$ 544.00</t>
  </si>
  <si>
    <t>まてりあ : Materia Japan</t>
  </si>
  <si>
    <t>$ 321.00</t>
  </si>
  <si>
    <t>日本復合材料学会誌</t>
  </si>
  <si>
    <t>日本復合材料学会</t>
  </si>
  <si>
    <t>$ 421.00</t>
  </si>
  <si>
    <t>日本船舶海洋工学会論文集</t>
  </si>
  <si>
    <t>日本水産学会</t>
  </si>
  <si>
    <t>$ 438.00</t>
  </si>
  <si>
    <t>日本航空宇宙学会論文集</t>
  </si>
  <si>
    <t>$ 777.00</t>
  </si>
  <si>
    <t>日本航空宇宙学会誌</t>
  </si>
  <si>
    <t>239번의 
 세트</t>
  </si>
  <si>
    <t>日本航海学会誌 (Navigation)</t>
  </si>
  <si>
    <t>日本航海学会</t>
  </si>
  <si>
    <t>$ 204.00</t>
  </si>
  <si>
    <t>精密工学会誌</t>
  </si>
  <si>
    <t>精密工学会</t>
  </si>
  <si>
    <t>$ 366.00</t>
  </si>
  <si>
    <t>鑄造工学</t>
  </si>
  <si>
    <t>日本鑄造工学会</t>
  </si>
  <si>
    <t>$ 432.00</t>
  </si>
  <si>
    <t>$ 196.00</t>
  </si>
  <si>
    <t>推進技術(=Journal of Propulsion Technology)</t>
  </si>
  <si>
    <t>航天科工集團公司31硏究所</t>
  </si>
  <si>
    <t>$ 610.00</t>
  </si>
  <si>
    <t>太陽エネルギ-</t>
  </si>
  <si>
    <t>太陽エネルギ-學會</t>
  </si>
  <si>
    <t>$ 439.00</t>
  </si>
  <si>
    <t>土木技術社</t>
  </si>
  <si>
    <t>$ 220.00</t>
  </si>
  <si>
    <t>土木研究センタ-</t>
  </si>
  <si>
    <t>$ 314.00</t>
  </si>
  <si>
    <t>0021-468x</t>
  </si>
  <si>
    <t>$ 310.00</t>
  </si>
  <si>
    <t>$ 104.00</t>
  </si>
  <si>
    <t>$ 826.00</t>
  </si>
  <si>
    <t>表面技術協会</t>
  </si>
  <si>
    <t>$ 443.00</t>
  </si>
  <si>
    <t>現代化学</t>
  </si>
  <si>
    <t>東京化学同人</t>
  </si>
  <si>
    <t>$ 146.00</t>
  </si>
  <si>
    <t>化学工学</t>
  </si>
  <si>
    <t>化学工学会</t>
  </si>
  <si>
    <t>$ 358.00</t>
  </si>
  <si>
    <t>化学工学論文集</t>
  </si>
  <si>
    <t>$ 1,051.00</t>
  </si>
  <si>
    <t>A + U (建築と都市)</t>
  </si>
  <si>
    <t>エ-・アンド・ユ-</t>
  </si>
  <si>
    <t>$ 475.00</t>
  </si>
  <si>
    <t>Ceramics Japan (セラミックス)</t>
  </si>
  <si>
    <t>日本セラミックス協会</t>
  </si>
  <si>
    <t>$ 349.00</t>
  </si>
  <si>
    <t>エ-ディ-エ・エディタ・トーキョ</t>
  </si>
  <si>
    <t>$ 262.00</t>
  </si>
  <si>
    <t>JCEJ : Journal of Chemical Engineering of Japan</t>
  </si>
  <si>
    <t>$ 992.00</t>
  </si>
  <si>
    <t>Journal of Oleo Science</t>
  </si>
  <si>
    <t>日本油化学会</t>
  </si>
  <si>
    <t>$ 448.00</t>
  </si>
  <si>
    <t>オレオ サイエンス</t>
  </si>
  <si>
    <t>261번의
  세트</t>
  </si>
  <si>
    <t>$ 1,101.00</t>
  </si>
  <si>
    <t>Sensors and materials</t>
  </si>
  <si>
    <t>MYU</t>
  </si>
  <si>
    <t>$ 1,114.00</t>
  </si>
  <si>
    <t>ケミカル・エンジニヤリング</t>
  </si>
  <si>
    <t>化学工業社</t>
  </si>
  <si>
    <t>$ 215.00</t>
  </si>
  <si>
    <t>コンクリ-ト工学</t>
  </si>
  <si>
    <t>日本コンクリ-ト工学協会</t>
  </si>
  <si>
    <t>日本工業出版(株)</t>
  </si>
  <si>
    <t>プレストレスト・コンクリート</t>
  </si>
  <si>
    <t>プレストレスト・コンクリート技術協会</t>
  </si>
  <si>
    <t>$ 582,912.00</t>
  </si>
  <si>
    <t>주  제</t>
  </si>
  <si>
    <t>서 명</t>
  </si>
  <si>
    <t>출판사명</t>
  </si>
  <si>
    <t>간 기</t>
  </si>
  <si>
    <t>구독예정가($)</t>
  </si>
  <si>
    <t>딸림여부</t>
  </si>
  <si>
    <t>日本膜学会</t>
  </si>
  <si>
    <t>$289.00</t>
  </si>
  <si>
    <t>食品衛生研究</t>
  </si>
  <si>
    <t>日本食品衛生協会</t>
  </si>
  <si>
    <t>$126.00</t>
  </si>
  <si>
    <t>遺伝 ― 生物の科学</t>
  </si>
  <si>
    <t>エヌ・ティー・エス</t>
  </si>
  <si>
    <t>$134.00</t>
  </si>
  <si>
    <t>人工知能学会誌</t>
  </si>
  <si>
    <t>人工知能学会</t>
  </si>
  <si>
    <t>$225.00</t>
  </si>
  <si>
    <t>中科院古脊椎動物與古人類硏究所</t>
  </si>
  <si>
    <t>$115.60</t>
  </si>
  <si>
    <t>日本家政学会誌</t>
  </si>
  <si>
    <t>日本家政学会</t>
  </si>
  <si>
    <t>$260.00</t>
  </si>
  <si>
    <t>日本公衆衛生雑誌</t>
  </si>
  <si>
    <t>日本公衆衛生学会</t>
  </si>
  <si>
    <t>$220.00</t>
  </si>
  <si>
    <t>日本生態学会誌</t>
  </si>
  <si>
    <t>日本生態学会</t>
  </si>
  <si>
    <t>$202.00</t>
  </si>
  <si>
    <t>日本数学教育学会誌</t>
  </si>
  <si>
    <t>日本数学教育学会</t>
  </si>
  <si>
    <t>$315.00</t>
  </si>
  <si>
    <t>日本栄養・食糧学会誌</t>
  </si>
  <si>
    <t>日本栄養・食糧学会</t>
  </si>
  <si>
    <t>$430.00</t>
  </si>
  <si>
    <t>日経ものづくり (旧: 日経メカニカル)</t>
  </si>
  <si>
    <t>日経BP社</t>
  </si>
  <si>
    <t>$294.00</t>
  </si>
  <si>
    <t>日本電設工業協会</t>
  </si>
  <si>
    <t>$218.00</t>
  </si>
  <si>
    <t>電子情報通信学会誌</t>
  </si>
  <si>
    <t>$423.00</t>
  </si>
  <si>
    <t>第四紀研究</t>
  </si>
  <si>
    <t>日本第四紀学会</t>
  </si>
  <si>
    <t>写真測量とリ―モトセンシング</t>
  </si>
  <si>
    <t>日本写真測量学会</t>
  </si>
  <si>
    <t>$188.00</t>
  </si>
  <si>
    <t>解剖学雑誌</t>
  </si>
  <si>
    <t>日本解剖学会</t>
  </si>
  <si>
    <t>$249.00</t>
  </si>
  <si>
    <t>海洋水産システム協会</t>
  </si>
  <si>
    <t>$361.00</t>
  </si>
  <si>
    <t>日本火山学会</t>
  </si>
  <si>
    <t>栄養学雑誌</t>
  </si>
  <si>
    <t>日本栄養改善学会</t>
  </si>
  <si>
    <t>$99.00</t>
  </si>
  <si>
    <t>薬局</t>
  </si>
  <si>
    <t>南山堂</t>
  </si>
  <si>
    <t>$413.00</t>
  </si>
  <si>
    <t>薬事 / 月刊</t>
  </si>
  <si>
    <t>(株)じほう</t>
  </si>
  <si>
    <t>$547.00</t>
  </si>
  <si>
    <t>薬学雑誌 (YAKUGAKU ZASSHI)</t>
  </si>
  <si>
    <t>日本薬学会</t>
  </si>
  <si>
    <t>$355.00</t>
  </si>
  <si>
    <t>APG
(Acta Phytotaxonomica et Geobotanica)</t>
  </si>
  <si>
    <t>植物分類地理学会</t>
  </si>
  <si>
    <t>$172.00</t>
  </si>
  <si>
    <t>$182.00</t>
  </si>
  <si>
    <t>Japanese Journal of Applied Physics (Part 1)</t>
  </si>
  <si>
    <t>応用物理学会</t>
  </si>
  <si>
    <t>SM</t>
  </si>
  <si>
    <t>IOP유지조건</t>
  </si>
  <si>
    <t>$4,125.00</t>
  </si>
  <si>
    <t>Applied Physics Express (JJAP 2)</t>
  </si>
  <si>
    <t>$0.00</t>
  </si>
  <si>
    <t>Journal of General and Applied 
Microbiology</t>
  </si>
  <si>
    <t>応用微生物研究奨励会</t>
  </si>
  <si>
    <t>$237.00</t>
  </si>
  <si>
    <t>日本物理学会</t>
  </si>
  <si>
    <t>$2,500.00</t>
  </si>
  <si>
    <t>Zoological Science</t>
  </si>
  <si>
    <t>日本動物学会</t>
  </si>
  <si>
    <t>$434.00</t>
  </si>
  <si>
    <t>システム / 制御 / 情報</t>
  </si>
  <si>
    <t>システム制御情報学会</t>
  </si>
  <si>
    <t>$287.00</t>
  </si>
  <si>
    <t>International Journal of Innovatiove Computing. 
Information and Conterol (IJICIC)</t>
  </si>
  <si>
    <t>IJICIC International (東海大學)</t>
  </si>
  <si>
    <t>$1,134.00</t>
  </si>
  <si>
    <t>$913.61</t>
  </si>
  <si>
    <t>Aerosol Science and Technology</t>
  </si>
  <si>
    <t>$1,791.00</t>
  </si>
  <si>
    <t>$326.00</t>
  </si>
  <si>
    <t>Altex : Alternativen zu Tierexperimenten - Alternatives to Animal Experimentation</t>
  </si>
  <si>
    <t>Altex</t>
  </si>
  <si>
    <t>$2,207.00</t>
  </si>
  <si>
    <t>American Mathematical Monthly</t>
  </si>
  <si>
    <t>$679.80</t>
  </si>
  <si>
    <t>American Mineralogist (Include,Reviews in Mineralogy and Geochemistry,Elements)</t>
  </si>
  <si>
    <t>$1,364.75</t>
  </si>
  <si>
    <t>Mathematical Sciences Publishers</t>
  </si>
  <si>
    <t>$748.00</t>
  </si>
  <si>
    <t>Annals of Statistics</t>
  </si>
  <si>
    <t>$636.54</t>
  </si>
  <si>
    <t>$517.00</t>
  </si>
  <si>
    <t>$6,020.00</t>
  </si>
  <si>
    <t>Architects Journal</t>
  </si>
  <si>
    <t>E M A P Publishing Ltd.</t>
  </si>
  <si>
    <t>Print</t>
  </si>
  <si>
    <t>$435.00</t>
  </si>
  <si>
    <t>Botany : Canadian Journal of Botany</t>
  </si>
  <si>
    <t>$2,163.00</t>
  </si>
  <si>
    <t>Canadian Mathematical Society</t>
  </si>
  <si>
    <t>$1,511.00</t>
  </si>
  <si>
    <t>$1,249.00</t>
  </si>
  <si>
    <t>College Mathematics Journal</t>
  </si>
  <si>
    <t>$427.00</t>
  </si>
  <si>
    <t>Communications in Statistics - Simulation and Computation</t>
  </si>
  <si>
    <t>$9,654.00</t>
  </si>
  <si>
    <t>Communications in Statistics - Theory and Methods</t>
  </si>
  <si>
    <t>$18,930.00</t>
  </si>
  <si>
    <t>$1,303.98</t>
  </si>
  <si>
    <t>Fibonacci Quarterly</t>
  </si>
  <si>
    <t>$120.82</t>
  </si>
  <si>
    <t>$682.00</t>
  </si>
  <si>
    <t>$2,705.81</t>
  </si>
  <si>
    <t>$255.00</t>
  </si>
  <si>
    <t>International Journal of Aeroacoustics</t>
  </si>
  <si>
    <t>$2,081.63</t>
  </si>
  <si>
    <t>$3,028.00</t>
  </si>
  <si>
    <t>$2,885.00</t>
  </si>
  <si>
    <t>Journal of Family and Consumer Sciences</t>
  </si>
  <si>
    <t>American Association of Family and Consumer Sciences</t>
  </si>
  <si>
    <t>$482.00</t>
  </si>
  <si>
    <t>Journal of Macromolecular Science : Part A - Pure and Applied Chemistry</t>
  </si>
  <si>
    <t>$9,886.97</t>
  </si>
  <si>
    <t>American Society of Mechanical Engineering (ASME)</t>
  </si>
  <si>
    <t>$2,138.00</t>
  </si>
  <si>
    <t>$715.00</t>
  </si>
  <si>
    <t>Journal of Physics : Condensed Matter</t>
  </si>
  <si>
    <t xml:space="preserve"> IOP
인쇄유지 조건 </t>
  </si>
  <si>
    <t>$15,788.00</t>
  </si>
  <si>
    <t>Journal of Plastic Film &amp; Sheeting</t>
  </si>
  <si>
    <t>$1,898.00</t>
  </si>
  <si>
    <t>$1,448.00</t>
  </si>
  <si>
    <t>$1,242.00</t>
  </si>
  <si>
    <t>Journal of the Society for Information Display</t>
  </si>
  <si>
    <t>$463.50</t>
  </si>
  <si>
    <t>Sage Science Press</t>
  </si>
  <si>
    <t>$4,858.51</t>
  </si>
  <si>
    <t>Journal of Water Supply : Research and Technology</t>
  </si>
  <si>
    <t>IWA Publishing</t>
  </si>
  <si>
    <t>$2,139.00</t>
  </si>
  <si>
    <t>Materials Testing</t>
  </si>
  <si>
    <t>Carl Hanser Verlag Gmbh &amp; Co</t>
  </si>
  <si>
    <t>$2,032.00</t>
  </si>
  <si>
    <t>Metallurgical and Materials Transactions B</t>
  </si>
  <si>
    <t>$6,942.00</t>
  </si>
  <si>
    <t>$2,444.00</t>
  </si>
  <si>
    <t>$856.96</t>
  </si>
  <si>
    <t>134번
딸림</t>
  </si>
  <si>
    <t>Scientific American</t>
  </si>
  <si>
    <t>Scientific American, Inc</t>
  </si>
  <si>
    <t>$177.00</t>
  </si>
  <si>
    <t>Institute of Statistical Science</t>
  </si>
  <si>
    <t>$262.65</t>
  </si>
  <si>
    <t>$7,754.87</t>
  </si>
  <si>
    <t>$1,149.00</t>
  </si>
  <si>
    <t>Amer Soc Argi &amp; Biol Engineers</t>
  </si>
  <si>
    <t>$944.51</t>
  </si>
  <si>
    <r>
      <rPr>
        <sz val="9"/>
        <color theme="1"/>
        <rFont val="Calibri"/>
        <family val="2"/>
      </rPr>
      <t>Nano</t>
    </r>
    <r>
      <rPr>
        <sz val="9"/>
        <color rgb="FF000000"/>
        <rFont val="Malgun Gothic"/>
        <family val="3"/>
        <charset val="129"/>
      </rPr>
      <t>science and Nanotechnology Letters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</si>
  <si>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</si>
  <si>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r>
      <rPr>
        <sz val="9"/>
        <color theme="1"/>
        <rFont val="Calibri"/>
        <family val="2"/>
      </rPr>
      <t>2019</t>
    </r>
    <r>
      <rPr>
        <sz val="9"/>
        <color rgb="FF000000"/>
        <rFont val="Malgun Gothic"/>
        <family val="3"/>
        <charset val="129"/>
      </rPr>
      <t>-2020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</si>
  <si>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</si>
  <si>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</si>
  <si>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</si>
  <si>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</si>
  <si>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r>
      <rPr>
        <sz val="9"/>
        <color theme="1"/>
        <rFont val="Calibri"/>
        <family val="2"/>
      </rPr>
      <t>Nano</t>
    </r>
    <r>
      <rPr>
        <sz val="9"/>
        <color rgb="FF000000"/>
        <rFont val="Malgun Gothic"/>
        <family val="3"/>
        <charset val="129"/>
      </rPr>
      <t>science and Nanotechnology Letters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</si>
  <si>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</si>
  <si>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r>
      <rPr>
        <sz val="9"/>
        <color theme="1"/>
        <rFont val="Calibri"/>
        <family val="2"/>
      </rPr>
      <t>2019</t>
    </r>
    <r>
      <rPr>
        <sz val="9"/>
        <color rgb="FF000000"/>
        <rFont val="Malgun Gothic"/>
        <family val="3"/>
        <charset val="129"/>
      </rPr>
      <t>-2020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</si>
  <si>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</si>
  <si>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</si>
  <si>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r>
      <rPr>
        <b/>
        <sz val="14"/>
        <color theme="1"/>
        <rFont val="Calibri"/>
        <family val="2"/>
      </rPr>
      <t>부산대학교 외국학술지지원센터 건축</t>
    </r>
    <r>
      <rPr>
        <b/>
        <sz val="14"/>
        <color theme="1"/>
        <rFont val="Arial"/>
        <family val="2"/>
      </rPr>
      <t>∙토목공학 분야 제공 학술지 목록 (2021. 01.)</t>
    </r>
  </si>
  <si>
    <r>
      <rPr>
        <b/>
        <sz val="14"/>
        <color theme="1"/>
        <rFont val="Calibri"/>
        <family val="2"/>
      </rPr>
      <t>부산대학교 외국학술지지원센터 건축</t>
    </r>
    <r>
      <rPr>
        <b/>
        <sz val="14"/>
        <color theme="1"/>
        <rFont val="Arial"/>
        <family val="2"/>
      </rPr>
      <t>∙토목공학 분야 제공 학술지 목록 (2021. 01.)</t>
    </r>
  </si>
  <si>
    <t>1948-1949, 1955-2004, 2010-2020</t>
  </si>
  <si>
    <t>Architect</t>
  </si>
  <si>
    <t>1983-2004, 2010-2012, 2014-2020</t>
  </si>
  <si>
    <t>2004-2020</t>
  </si>
  <si>
    <t>1965-2004, 2007-2020</t>
  </si>
  <si>
    <t>1992-1994, 1996-2020</t>
  </si>
  <si>
    <t>1950-1952, 1954-1959, 1970-2020</t>
  </si>
  <si>
    <t>1997-2020</t>
  </si>
  <si>
    <t>1996-2020</t>
  </si>
  <si>
    <t>1983-2008, 2010-2020</t>
  </si>
  <si>
    <t>1971-1975, 1977-1979, 1981, 1985-1994, 1996-2020</t>
  </si>
  <si>
    <t>1971-2020</t>
  </si>
  <si>
    <t>1981-2004, 2006-2020</t>
  </si>
  <si>
    <t>1972-1978, 1980, 1982-2020</t>
  </si>
  <si>
    <t>0285-5178
(1346-9371)</t>
  </si>
  <si>
    <t>1999, 2011-2020</t>
  </si>
  <si>
    <t>1974-1980, 1982-2020</t>
  </si>
  <si>
    <t>1983-2020</t>
  </si>
  <si>
    <t>0001-1476
(0385-3195)</t>
  </si>
  <si>
    <t>Sankei Publishing Ltd.</t>
  </si>
  <si>
    <t>1982-2020</t>
  </si>
  <si>
    <t>1968-1970, 1976, 1991, 1994-2001, 2010-2020</t>
  </si>
  <si>
    <t>1946, 1948-1949, 1951-1960, 1972-2020</t>
  </si>
  <si>
    <t>1981, 1992, 1999, 2013-2020</t>
  </si>
  <si>
    <r>
      <rPr>
        <b/>
        <sz val="14"/>
        <color theme="1"/>
        <rFont val="Calibri"/>
        <family val="2"/>
      </rPr>
      <t>부산대학교 외국학술지지원센터 기계</t>
    </r>
    <r>
      <rPr>
        <b/>
        <sz val="14"/>
        <color theme="1"/>
        <rFont val="Arial"/>
        <family val="2"/>
      </rPr>
      <t>공학 분야 제공 학술지 목록 (2021. 01.)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</si>
  <si>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</si>
  <si>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1984-2020</t>
  </si>
  <si>
    <t>1964, 1969, 2010-2020</t>
  </si>
  <si>
    <t>1990-2020</t>
  </si>
  <si>
    <t>1960-1962, 1964, 1966-2020</t>
  </si>
  <si>
    <t>1975-2004, 2010-2020</t>
  </si>
  <si>
    <t>1966, 1968-2004, 2010-2020</t>
  </si>
  <si>
    <t>1997-2008, 2010-2020</t>
  </si>
  <si>
    <t>1975, 2010-2020</t>
  </si>
  <si>
    <t>1969-1987, 1990-1992, 2010-2020</t>
  </si>
  <si>
    <t>1952-1959, 1978-2020</t>
  </si>
  <si>
    <t>1996-2004, 2010-2020</t>
  </si>
  <si>
    <t>1983-2004, 2010-2020</t>
  </si>
  <si>
    <t>1989-2003, 2010-2020</t>
  </si>
  <si>
    <t>1997-2004, 2010-2020</t>
  </si>
  <si>
    <t>1999-2004, 2010-2020</t>
  </si>
  <si>
    <t>1965-2004, 2010-2020</t>
  </si>
  <si>
    <t>1965, 1968-2020</t>
  </si>
  <si>
    <t>1973-2020</t>
  </si>
  <si>
    <t>1999, 2010-2020</t>
  </si>
  <si>
    <t>1981-2001, 2003-2020</t>
  </si>
  <si>
    <t>1991-2020</t>
  </si>
  <si>
    <t>1952, 1956-1965, 1967, 1969-2020</t>
  </si>
  <si>
    <t>1986-2020</t>
  </si>
  <si>
    <r>
      <rPr>
        <b/>
        <sz val="14"/>
        <color theme="1"/>
        <rFont val="Calibri"/>
        <family val="2"/>
      </rPr>
      <t>부산대학교 외국학술지지원센터 기계</t>
    </r>
    <r>
      <rPr>
        <b/>
        <sz val="14"/>
        <color theme="1"/>
        <rFont val="Arial"/>
        <family val="2"/>
      </rPr>
      <t>공학 분야 제공 학술지 목록 (2021. 01.)</t>
    </r>
  </si>
  <si>
    <t>부산대학교 외국학술지지원센터 재료공학 분야 제공 학술지 목록 (2021. 01.)</t>
  </si>
  <si>
    <t>2001-2020</t>
  </si>
  <si>
    <t>Advaces in Applied Ceramics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</si>
  <si>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</si>
  <si>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1971-1994, 1996-2020</t>
  </si>
  <si>
    <t>1984-2003, 2005-2020</t>
  </si>
  <si>
    <t>2006-2007, 2011-2020</t>
  </si>
  <si>
    <t>2017-2020</t>
  </si>
  <si>
    <t>1984-1993, 1995-2004, 2011-2020</t>
  </si>
  <si>
    <t>1977-2005, 2008-2020</t>
  </si>
  <si>
    <t>1965-1989, 2011-2020</t>
  </si>
  <si>
    <t>1989-2020</t>
  </si>
  <si>
    <t>1988-2020</t>
  </si>
  <si>
    <t>1984-1993, 1995-2019</t>
  </si>
  <si>
    <t>1995, 1997-2020</t>
  </si>
  <si>
    <t>1991, 1993-2020</t>
  </si>
  <si>
    <t>1981-2013, 2015-2020</t>
  </si>
  <si>
    <t>1973, 1975-2020</t>
  </si>
  <si>
    <t>1950-1961, 1963, 1971, 1974-2020</t>
  </si>
  <si>
    <t>2012-2014, 2016-2020</t>
  </si>
  <si>
    <t>1992-1994, 1996-2007, 2009-2020</t>
  </si>
  <si>
    <t>1982-2004, 2010-2020</t>
  </si>
  <si>
    <t>1961, 1973-2020</t>
  </si>
  <si>
    <t>1957-1962, 1967-1968, 1981-2020</t>
  </si>
  <si>
    <t>1955-1959, 1962-1963, 1975-2020</t>
  </si>
  <si>
    <t>1978-2020</t>
  </si>
  <si>
    <t>1954, 1956-1960, 1965-1967, 1969-1971, 1973-2020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</si>
  <si>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</si>
  <si>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1990-2015, 2020</t>
  </si>
  <si>
    <t>1980, 1983-1991, 1993-2020</t>
  </si>
  <si>
    <r>
      <rPr>
        <b/>
        <sz val="14"/>
        <color theme="1"/>
        <rFont val="Calibri"/>
        <family val="2"/>
      </rPr>
      <t>부산대학교 외국학술지지원센터 조선</t>
    </r>
    <r>
      <rPr>
        <b/>
        <sz val="14"/>
        <color theme="1"/>
        <rFont val="Arial"/>
        <family val="2"/>
      </rPr>
      <t>공학 분야 제공 학술지 목록 (2021. 01.)</t>
    </r>
  </si>
  <si>
    <t>2002-2004, 2012-2020</t>
  </si>
  <si>
    <r>
      <rPr>
        <b/>
        <sz val="14"/>
        <color theme="1"/>
        <rFont val="Calibri"/>
        <family val="2"/>
      </rPr>
      <t>부산대학교 외국학술지지원센터 조선</t>
    </r>
    <r>
      <rPr>
        <b/>
        <sz val="14"/>
        <color theme="1"/>
        <rFont val="Arial"/>
        <family val="2"/>
      </rPr>
      <t>공학 분야 제공 학술지 목록 (2021. 01.)</t>
    </r>
  </si>
  <si>
    <r>
      <rPr>
        <b/>
        <sz val="14"/>
        <color theme="1"/>
        <rFont val="Calibri"/>
        <family val="2"/>
      </rPr>
      <t>부산대학교 외국학술지지원센터 항공</t>
    </r>
    <r>
      <rPr>
        <b/>
        <sz val="14"/>
        <color theme="1"/>
        <rFont val="Arial"/>
        <family val="2"/>
      </rPr>
      <t>∙우주공학 분야 제공 학술지 목록 (2021. 01.)</t>
    </r>
  </si>
  <si>
    <t>0305-0831</t>
  </si>
  <si>
    <t>1999-2020</t>
  </si>
  <si>
    <t>1991-1999, 2001-2004, 2007-2015, 2020</t>
  </si>
  <si>
    <r>
      <rPr>
        <b/>
        <sz val="14"/>
        <color theme="1"/>
        <rFont val="Calibri"/>
        <family val="2"/>
      </rPr>
      <t>부산대학교 외국학술지지원센터 항공</t>
    </r>
    <r>
      <rPr>
        <b/>
        <sz val="14"/>
        <color theme="1"/>
        <rFont val="Arial"/>
        <family val="2"/>
      </rPr>
      <t>∙우주공학 분야 제공 학술지 목록 (2021. 01.)</t>
    </r>
  </si>
  <si>
    <r>
      <rPr>
        <b/>
        <sz val="14"/>
        <color theme="1"/>
        <rFont val="Calibri"/>
        <family val="2"/>
      </rPr>
      <t>부산대학교 외국학술지지원센터 화학</t>
    </r>
    <r>
      <rPr>
        <b/>
        <sz val="14"/>
        <color theme="1"/>
        <rFont val="Arial"/>
        <family val="2"/>
      </rPr>
      <t>공학 분야 제공 학술지 목록 (2021. 01.)</t>
    </r>
  </si>
  <si>
    <t>1993-2019</t>
  </si>
  <si>
    <t>1957, 1962-1964, 1979-2020</t>
  </si>
  <si>
    <t>1956-1958, 1960-1963, 1965-1969, 1976-1980, 1982-2019</t>
  </si>
  <si>
    <t>1955-1962, 1973, 1975-2020</t>
  </si>
  <si>
    <t>1957-1959, 1975-2020</t>
  </si>
  <si>
    <t>1984-1994, 1996-2020</t>
  </si>
  <si>
    <t>1987-2020</t>
  </si>
  <si>
    <t>1988-1993, 1995-2019</t>
  </si>
  <si>
    <t>1984-1986, 1988-2019</t>
  </si>
  <si>
    <t>2574-0881
(0360-2559)</t>
  </si>
  <si>
    <r>
      <rPr>
        <sz val="9"/>
        <color theme="1"/>
        <rFont val="Calibri"/>
        <family val="2"/>
      </rPr>
      <t>2019</t>
    </r>
    <r>
      <rPr>
        <sz val="9"/>
        <color rgb="FF000000"/>
        <rFont val="Malgun Gothic"/>
        <family val="3"/>
        <charset val="129"/>
      </rPr>
      <t>-2020</t>
    </r>
  </si>
  <si>
    <t>1985-2020</t>
  </si>
  <si>
    <t>1957-1962, 1964-1969, 1980-2020</t>
  </si>
  <si>
    <t>表面科學</t>
  </si>
  <si>
    <t>Surface Science Society of Japan</t>
  </si>
  <si>
    <t>0388-5321</t>
  </si>
  <si>
    <t>1989-2004, 2010-2020</t>
  </si>
  <si>
    <t>1962-1963, 1974-1975, 1982-2020</t>
  </si>
  <si>
    <r>
      <rPr>
        <b/>
        <sz val="14"/>
        <color theme="1"/>
        <rFont val="Calibri"/>
        <family val="2"/>
      </rPr>
      <t>부산대학교 외국학술지지원센터 화학</t>
    </r>
    <r>
      <rPr>
        <b/>
        <sz val="14"/>
        <color theme="1"/>
        <rFont val="Arial"/>
        <family val="2"/>
      </rPr>
      <t>공학 분야 제공 학술지 목록 (2021. 01.)</t>
    </r>
  </si>
  <si>
    <t>1979-2020</t>
  </si>
  <si>
    <t>1923-1924, 1926-1984, 1988-2020</t>
  </si>
  <si>
    <t>1969, 1973-2020</t>
  </si>
  <si>
    <t>1960-2020</t>
  </si>
  <si>
    <t>1949-1984, 1988-2020</t>
  </si>
  <si>
    <t>1956-1958, 1960-1963, 1965-1969, 1976-1980, 1982-2020</t>
  </si>
  <si>
    <t>1963, 1965-1984, 1988-2004, 2006-2020</t>
  </si>
  <si>
    <t>1972-2001, 2003, 2005, 2007, 2009-2020</t>
  </si>
  <si>
    <t>1984-1993, 1995-2020</t>
  </si>
  <si>
    <t>1970-1971, 1981-2020</t>
  </si>
  <si>
    <t>1974-1994, 1996-2020</t>
  </si>
  <si>
    <t>1961-1962, 1981-2020</t>
  </si>
  <si>
    <t>Amer Soc Mechanical Engineers</t>
  </si>
  <si>
    <t>1988-1993, 1995-2020</t>
  </si>
  <si>
    <t>Journal of General and Applied 
 Microbiology</t>
  </si>
  <si>
    <t>1947-1963, 1965-1974, 1976-1979, 1989-2020</t>
  </si>
  <si>
    <t>1984-1986, 1988-2020</t>
  </si>
  <si>
    <t>1955-1957, 1963, 1969-1971, 1973, 1982-2020</t>
  </si>
  <si>
    <t>1956-1973, 1981-2020</t>
  </si>
  <si>
    <t>1950-2020</t>
  </si>
  <si>
    <t>1986-2004, 2006-2020</t>
  </si>
  <si>
    <t>1952, 1956-1962, 1972-2003, 2006-2020</t>
  </si>
  <si>
    <t>1963, 1977-2020</t>
  </si>
  <si>
    <t>1976, 1981-2020</t>
  </si>
  <si>
    <t>1974, 1976-2020</t>
  </si>
  <si>
    <t>1971, 1975-2020</t>
  </si>
  <si>
    <t>x</t>
  </si>
  <si>
    <t>1982-1989, 1991-2020</t>
  </si>
  <si>
    <t>1974-1999, 2001-2020</t>
  </si>
  <si>
    <t>1977-2020</t>
  </si>
  <si>
    <t>1979-1981, 1983-1984, 1988-1990, 1993, 1996-2020</t>
  </si>
  <si>
    <t>1993-2020</t>
  </si>
  <si>
    <t>1989-2016,2020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</si>
  <si>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</si>
  <si>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2016, 2019-2020</t>
  </si>
  <si>
    <t>2003-2020</t>
  </si>
  <si>
    <t>APG
 (Acta Phytotaxonomica et Geobotanica)</t>
  </si>
  <si>
    <t>International Journal of Innovatiove Computing. 
 Information and Conterol (IJICIC)</t>
  </si>
  <si>
    <t>2000-2010, 2012-2020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</si>
  <si>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</si>
  <si>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2008-2020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</si>
  <si>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</si>
  <si>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019-2021</t>
    </r>
  </si>
  <si>
    <t>2020년 부산대학교 외국학술지지원센터(FRIC) 제공 학술지 목록</t>
  </si>
  <si>
    <t>A+U │  ISSN:  0389-9160 *</t>
  </si>
  <si>
    <t>AAPG Bulletin │  ISSN:  0149-1423 *</t>
  </si>
  <si>
    <t>AATCC Review │  ISSN:  1532-8813 *</t>
  </si>
  <si>
    <t>ABU Technical Review │  ISSN:  0126-6209 *</t>
  </si>
  <si>
    <t>ACI Structural Journal │  ISSN:  0889-3241 *</t>
  </si>
  <si>
    <t>ACM Computing Surveys │  ISSN:  0360-0300 *</t>
  </si>
  <si>
    <t>Acta Phytotaxonomica et Geobotanica │  ISSN:  1346-7565 *</t>
  </si>
  <si>
    <t>Advaces in Applied Ceramics │  ISSN:  1743-6753 *</t>
  </si>
  <si>
    <t>Advanced Composite Materials │  ISSN:  0924-3046 *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</si>
  <si>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</si>
  <si>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Advanced Materials Research │  ISSN:  1022-6680 *</t>
  </si>
  <si>
    <t>Advanced science, Engineering and Medicine │  ISSN:  2164-6627 *</t>
  </si>
  <si>
    <t>Advances in Applied Mathematics and Mechanics │  ISSN:  2070-0733 *</t>
  </si>
  <si>
    <t>Advances in Cement Research │  ISSN:  0951-7197 *</t>
  </si>
  <si>
    <t>Aerosol science and Technology │  ISSN:  0278-6826 *</t>
  </si>
  <si>
    <t>Aerospace │  ISSN:  2052-451X *</t>
  </si>
  <si>
    <t>ALTEX. Alternatives to Animal Experimentation │  ISSN:  1868-596X *</t>
  </si>
  <si>
    <t>American Ceramic Society Bulletin │  ISSN:  0002-7812 *</t>
  </si>
  <si>
    <t>American Journal of Human Genetics │  ISSN:  0002-9297 *</t>
  </si>
  <si>
    <t>American Journal of Mathematics │  ISSN:  0002-9327 *</t>
  </si>
  <si>
    <t>American Journal on Intellectual and Developmental Disabilities │  ISSN:  1944-7515 *</t>
  </si>
  <si>
    <t>Annals of Mathematics │  ISSN:  0003-486X *</t>
  </si>
  <si>
    <t>Annual Review of Microbiology │  ISSN:  0066-4227 *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</si>
  <si>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</si>
  <si>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Applied Mechanics and Materials │  ISSN:  1660-9336 *</t>
  </si>
  <si>
    <t>Applied Physics Express │  ISSN:  1882-0778 *</t>
  </si>
  <si>
    <t>Applied Spectroscopy Reviews │  ISSN:  0570-4928 *</t>
  </si>
  <si>
    <t>Architect │  ISSN:  1935-7001 *</t>
  </si>
  <si>
    <t>Architectural Digest │  ISSN:  0003-8520 *</t>
  </si>
  <si>
    <t>Architectural Record │  ISSN:  0003-858X *</t>
  </si>
  <si>
    <t>Architectural science Review │  ISSN:  0003-8628 *</t>
  </si>
  <si>
    <t>Biological &amp; Pharmaceutical Bulletin │  ISSN:  0918-6158 *</t>
  </si>
  <si>
    <t>Botany │  ISSN:  1916-2790 *</t>
  </si>
  <si>
    <t>British Interplanetary Society Journal │  ISSN:  0007-084X *</t>
  </si>
  <si>
    <t>Built Environment │  ISSN:  0263-7960 *</t>
  </si>
  <si>
    <t>Bunseki Kagaku │  ISSN:  0525-1931 *</t>
  </si>
  <si>
    <t>Canadian Journal of Civil Engineering │  ISSN:  0315-1468 *</t>
  </si>
  <si>
    <t>Canadian Journal of Mathematics │  ISSN:  0008-414X *</t>
  </si>
  <si>
    <t>Canadian Metallurgical Quarterly │  ISSN:  0008-4433 *</t>
  </si>
  <si>
    <t>Car Mechanics │  ISSN:  0008-6037 *</t>
  </si>
  <si>
    <t>Cellular Polymers │  ISSN:  0262-4893 *</t>
  </si>
  <si>
    <t>Ceramics Japan │  ISSN:  0009-031X *</t>
  </si>
  <si>
    <t>Chemical &amp; Pharmaceutical Bulletin │  ISSN:  0009-2363 *</t>
  </si>
  <si>
    <t>Chemical and Engineering News │  ISSN:  0009-2347 *</t>
  </si>
  <si>
    <t>Chemical Engineering Progress │  ISSN:  0360-7275 *</t>
  </si>
  <si>
    <t>Chemical Engineering Research &amp; Design │  ISSN:  0263-8762 *</t>
  </si>
  <si>
    <t>Chemical Engineering World │  ISSN:  0009-2517 *</t>
  </si>
  <si>
    <t>Chemical Enginnering │  ISSN:  0387-1037 *</t>
  </si>
  <si>
    <t>CIRP Annals │  ISSN:  0007-8506 *</t>
  </si>
  <si>
    <t>Clothing and Textiles Research Journal │  ISSN:  0887-302X *</t>
  </si>
  <si>
    <t>Communications in Statistics │  ISSN:  0361-0926 *</t>
  </si>
  <si>
    <t>Communications in Statistics: Simulation and Computation │  ISSN:  0361-0918 *</t>
  </si>
  <si>
    <t>Communications of the ACM │  ISSN:  0001-0782 *</t>
  </si>
  <si>
    <t>Computers and Concrete │  ISSN:  1598-8198 *</t>
  </si>
  <si>
    <t>Concrete International │  ISSN:  0162-4075 *</t>
  </si>
  <si>
    <t>Concurrent Engineering │  ISSN:  1063-293X *</t>
  </si>
  <si>
    <t>Corrosion │  ISSN:  0010-9312 *</t>
  </si>
  <si>
    <t>Detail │  ISSN:  0011-9571 *</t>
  </si>
  <si>
    <t>Domus │  ISSN:  0012-5377 *</t>
  </si>
  <si>
    <t>Dynamical Systems │  ISSN:  1468-9367 *</t>
  </si>
  <si>
    <t>El Croquis │  ISSN:  0212-5633 *</t>
  </si>
  <si>
    <t>Engine Technology International │  ISSN:  1460-9509 *</t>
  </si>
  <si>
    <t>Engineering Studies │  ISSN:  1937-8629 *</t>
  </si>
  <si>
    <t>European Journal of Control │  ISSN:  0947-3580 *</t>
  </si>
  <si>
    <t>European Journal of Glass science and Technology. Part A. Glass Technology │  ISSN:  1753-3546 *</t>
  </si>
  <si>
    <t>European Journal of Glass science and Techology. Part B. Physics and Chemistry of Glasses │  ISSN:  1753-3562 *</t>
  </si>
  <si>
    <t>European Journal of Mass Spectrometry │  ISSN:  1469-0667 *</t>
  </si>
  <si>
    <t>European Journal of Physics │  ISSN:  0143-0807 *</t>
  </si>
  <si>
    <t>European Journal of Physics │  ISSN:  0014-4851 *</t>
  </si>
  <si>
    <t>Experiments in Fluids │  ISSN:  0723-4864 *</t>
  </si>
  <si>
    <t>GA Document │  ISSN:  0389-0066 *</t>
  </si>
  <si>
    <t>Gefahrstoffe - Reinhaltung der Luft │  ISSN:  0949-8036 *</t>
  </si>
  <si>
    <t>Genome Research │  ISSN:  1088-9051 *</t>
  </si>
  <si>
    <t>Geocarto International │  ISSN:  1010-6049 *</t>
  </si>
  <si>
    <t>Geophysics │  ISSN:  0016-8033 *</t>
  </si>
  <si>
    <t>Geosynthetics │  ISSN:  1931-8189 *</t>
  </si>
  <si>
    <t>Geotechnique │  ISSN:  0016-8505 *</t>
  </si>
  <si>
    <t>Heat Transfer Engineering │  ISSN:  0145-7632 *</t>
  </si>
  <si>
    <t>Heat Transfer Research │  ISSN:  1064-2285 *</t>
  </si>
  <si>
    <t>High Performance Polymers │  ISSN:  0954-0083 *</t>
  </si>
  <si>
    <t>Houston Journal of Mathematics │  ISSN:  0362-1588 *</t>
  </si>
  <si>
    <t>IET Nanobiotechnology │  ISSN:  1751-8741 *</t>
  </si>
  <si>
    <t>0740-817X
2472-5854</t>
  </si>
  <si>
    <t>IIE Transactions │  ISSN:  0740-817X
2472-5854 *</t>
  </si>
  <si>
    <t>Indiana University Mathematics Journal │  ISSN:  0022-2518 *</t>
  </si>
  <si>
    <t>Industrial &amp; Engineering Chemistry Research │  ISSN:  0888-5885 *</t>
  </si>
  <si>
    <t>Insight (Northampton) │  ISSN:  1354-2575 *</t>
  </si>
  <si>
    <t>Instrumentation science &amp; Technology │  ISSN:  1073-9149 *</t>
  </si>
  <si>
    <t>International Journal of Computational Fluid Dynamics │  ISSN:  1061-8562 *</t>
  </si>
  <si>
    <t>International Journal of Control │  ISSN:  0020-7179 *</t>
  </si>
  <si>
    <t>International Journal of Crashworthiness │  ISSN:  1358-8265 *</t>
  </si>
  <si>
    <t>International Journal of Damage Mechanics │  ISSN:  1056-7895 *</t>
  </si>
  <si>
    <t>International Journal of Engine Research │  ISSN:  1468-0874 *</t>
  </si>
  <si>
    <t>International Journal of Geographical Information science │  ISSN:  1365-8816 *</t>
  </si>
  <si>
    <t>International Journal of Innovative Computing, Information and Control │  ISSN:  1349-4198 *</t>
  </si>
  <si>
    <t>International Journal of Materials and Product Technology │  ISSN:  0268-1900 *</t>
  </si>
  <si>
    <t>International Journal of Metalcasting │  ISSN:  1939-5981 *</t>
  </si>
  <si>
    <t>International Journal of Nanotechnology │  ISSN:  1475-7435 *</t>
  </si>
  <si>
    <t>International Journal of Offshore and Polar Engineering │  ISSN:  1053-5381 *</t>
  </si>
  <si>
    <t>International Journal of Polymer Analysis and Characterization │  ISSN:  1023-666X *</t>
  </si>
  <si>
    <t>International Journal of Powder Metallurgy │  ISSN:  0888-7462 *</t>
  </si>
  <si>
    <t>International Journal of Technology Management │  ISSN:  0267-5730 *</t>
  </si>
  <si>
    <t>International Journal of Turbo and Jet Engines │  ISSN:  0334-0082 *</t>
  </si>
  <si>
    <t>International Journal of Vehicle Design │  ISSN:  0143-3369 *</t>
  </si>
  <si>
    <t>International Journal of Ventilation │  ISSN:  1473-3315 *</t>
  </si>
  <si>
    <t>International Journal of Water Resources Development │  ISSN:  0790-0627 *</t>
  </si>
  <si>
    <t>International Materials Reviews │  ISSN:  0950-6608 *</t>
  </si>
  <si>
    <t>Inverse Problems in science and Engineering │  ISSN:  1741-5977 *</t>
  </si>
  <si>
    <t>Japanese Journal of Applied Physics │  ISSN:  0021-4922 *</t>
  </si>
  <si>
    <t>JOM │  ISSN:  1047-4838 *</t>
  </si>
  <si>
    <t>Journal- Japanese Society for Artificial Intelligence │  ISSN:  0912-8085 *</t>
  </si>
  <si>
    <t>Journal of Adhesion science and Technology │  ISSN:  0169-4243 *</t>
  </si>
  <si>
    <t>Journal of Aerospace Engineering │  ISSN:  0893-1321 *</t>
  </si>
  <si>
    <t>Journal of Agricultural Meteorology │  ISSN:  0021-8588 *</t>
  </si>
  <si>
    <t>Journal of Applied Mechanics │  ISSN:  0021-8936 *</t>
  </si>
  <si>
    <t>Journal of Applied Physiology │  ISSN:  8750-7587 *</t>
  </si>
  <si>
    <t>Journal of Bioactive and Compatible Polymers │  ISSN:  0883-9115 *</t>
  </si>
  <si>
    <t>Journal of Biomaterials Applications │  ISSN:  0885-3282 *</t>
  </si>
  <si>
    <t>Journal of Biomechanical Engineering │  ISSN:  0148-0731 *</t>
  </si>
  <si>
    <t>Journal of Biomedical Nanotechnology │  ISSN:  1550-7033 *</t>
  </si>
  <si>
    <t>Journal of Bridge Engineering │  ISSN:  1084-0702 *</t>
  </si>
  <si>
    <t>Journal of Cellular Plastics │  ISSN:  0021-955X *</t>
  </si>
  <si>
    <t>Journal of Chemical Engineering of Japan │  ISSN:  0021-9592 *</t>
  </si>
  <si>
    <t>Journal of Composite Materials │  ISSN:  0021-9983 *</t>
  </si>
  <si>
    <t>Journal of Composites for Construction │  ISSN:  1090-0268 *</t>
  </si>
  <si>
    <t>Journal of Computational and Nonlinear Dynamics │  ISSN:  1555-1415 *</t>
  </si>
  <si>
    <t>Journal of Construction Engineering and Management │  ISSN:  0733-9364 *</t>
  </si>
  <si>
    <t>Journal of Energetic Materials │  ISSN:  0737-0652 *</t>
  </si>
  <si>
    <t>Journal of Energy Engineering │  ISSN:  0733-9402 *</t>
  </si>
  <si>
    <t>Journal of Energy Resources Technology │  ISSN:  0195-0738 *</t>
  </si>
  <si>
    <t>Journal of Engineering Design │  ISSN:  0954-4828 *</t>
  </si>
  <si>
    <t>Journal of Engineering for Gas Turbines and Power │  ISSN:  0742-4795 *</t>
  </si>
  <si>
    <t>Journal of Engineering Materials and Technology │  ISSN:  0094-4289 *</t>
  </si>
  <si>
    <t>Journal of Engineering Mechanics │  ISSN:  0733-9399 *</t>
  </si>
  <si>
    <t>Journal of Environmental Engineering │  ISSN:  0733-9372 *</t>
  </si>
  <si>
    <t>Journal of Family and Consumer sciences │  ISSN:  1082-1651 *</t>
  </si>
  <si>
    <t>Journal of Fluids Engineering │  ISSN:  0098-2202 *</t>
  </si>
  <si>
    <t>Journal of Geotechnical and Geoenvironmental Engineering │  ISSN:  1090-0241 *</t>
  </si>
  <si>
    <t>Journal of Heat Transfer │  ISSN:  0022-1481 *</t>
  </si>
  <si>
    <t>Journal of Hydraulic Engineering │  ISSN:  0733-9429 *</t>
  </si>
  <si>
    <t>Journal of Hydraulic Research │  ISSN:  0022-1686 *</t>
  </si>
  <si>
    <t>Journal of Hydrologic Engineering │  ISSN:  1084-0699 *</t>
  </si>
  <si>
    <t>Journal of Intelligent Material Systems and Structures │  ISSN:  1045-389X *</t>
  </si>
  <si>
    <t>Journal of Macromolecular science. Part A │  ISSN:  1060-1325 *</t>
  </si>
  <si>
    <t>Journal of Management in Engineering │  ISSN:  0742-597X *</t>
  </si>
  <si>
    <t>Journal of Manufacturing science and Engineering │  ISSN:  1087-1357 *</t>
  </si>
  <si>
    <t>Journal of Materials in Civil Engineering │  ISSN:  0899-1561 *</t>
  </si>
  <si>
    <t>Journal of Materials Research │  ISSN:  0884-2914 *</t>
  </si>
  <si>
    <t>Journal of Materials science │  ISSN:  0022-2461 *</t>
  </si>
  <si>
    <t>Journal of Mechanical Design │  ISSN:  1050-0472 *</t>
  </si>
  <si>
    <t>Journal of Mechanics of Materials and Structures │  ISSN:  1559-3959 *</t>
  </si>
  <si>
    <t>Journal of Mineralogical and Petrological sciences │  ISSN:  1345-6296 *</t>
  </si>
  <si>
    <t>Journal of Nanoscience and Nanotechnology │  ISSN:  1533-4880 *</t>
  </si>
  <si>
    <t>Journal of Natural Fibers │  ISSN:  1544-0478 *</t>
  </si>
  <si>
    <t>Journal of Offshore Mechanics and Arctic Engineering │  ISSN:  0892-7219 *</t>
  </si>
  <si>
    <t>Journal of Oleo science │  ISSN:  1345-8957 *</t>
  </si>
  <si>
    <t>Journal of Paleontology │  ISSN:  0022-3360 *</t>
  </si>
  <si>
    <t>Journal of Performance of Constructed Facilities │  ISSN:  0887-3828 *</t>
  </si>
  <si>
    <t>Journal of Physics, Condensed Matter │  ISSN:  0953-8984 *</t>
  </si>
  <si>
    <t>Journal of Plastic Film and Sheeting │  ISSN:  8756-0879 *</t>
  </si>
  <si>
    <t>Journal of Polymer Engineering │  ISSN:  0334-6447 *</t>
  </si>
  <si>
    <t>Journal of Pressure Vessel Technology │  ISSN:  0094-9930 *</t>
  </si>
  <si>
    <t>Journal of Quality Technology │  ISSN:  0022-4065 *</t>
  </si>
  <si>
    <t>Journal of Rheology │  ISSN:  0148-6055 *</t>
  </si>
  <si>
    <t>Journal of Sandwich Structures &amp; Materials │  ISSN:  1099-6362 *</t>
  </si>
  <si>
    <t>Journal of Ship Production and Design │  ISSN:  2158-2866 *</t>
  </si>
  <si>
    <t>Journal of Ship Research │  ISSN:  0022-4502 *</t>
  </si>
  <si>
    <t>Journal of Solar Energy Engineering │  ISSN:  0199-6231 *</t>
  </si>
  <si>
    <t>Journal of Structural Engineering │  ISSN:  0733-9445 *</t>
  </si>
  <si>
    <t>Journal of Textile Engineering │  ISSN:  1346-8235 *</t>
  </si>
  <si>
    <t>Journal of the American Leather Chemists Association │  ISSN:  0002-9726 *</t>
  </si>
  <si>
    <t>Journal of the American Statistical Association │  ISSN:  0162-1459 *</t>
  </si>
  <si>
    <t>Journal of the American Water Works Association │  ISSN:  0003-150X *</t>
  </si>
  <si>
    <t>Journal of the Association for Computing Machinery │  ISSN:  0004-5411 *</t>
  </si>
  <si>
    <t>Journal of the Physical Society of Japan │  ISSN:  0031-9015 *</t>
  </si>
  <si>
    <t>Journal of Toxicology and Environmental Health. Part B: Critical Reviews │  ISSN:  1093-7404 *</t>
  </si>
  <si>
    <t>Journal of Transportation Engineering │  ISSN:  0733-947X *</t>
  </si>
  <si>
    <t>Journal of Tribology │  ISSN:  0742-4787 *</t>
  </si>
  <si>
    <t>Journal of Turbomachinery │  ISSN:  0889-504X *</t>
  </si>
  <si>
    <t>Journal of Urban Design │  ISSN:  1357-4809 *</t>
  </si>
  <si>
    <t>Journal of Urban Planning and Development │  ISSN:  0733-9488 *</t>
  </si>
  <si>
    <t>Journal of Vacuum science &amp; Technology. A │  ISSN:  0734-2101 *</t>
  </si>
  <si>
    <t>Journal of Vacuum science &amp; Technology. B │  ISSN:  2166-2746 *</t>
  </si>
  <si>
    <t>Journal of Vibration and Acoustics │  ISSN:  1048-9002 *</t>
  </si>
  <si>
    <t>Journal of Vibration and Control │  ISSN:  1077-5463 *</t>
  </si>
  <si>
    <t>Journal of Water Resources Planning and Management │  ISSN:  0733-9496 *</t>
  </si>
  <si>
    <t>Journal of Water Supply │  ISSN:  0003-7214 *</t>
  </si>
  <si>
    <t>Journal of Waterway, Port, Coastal, and Ocean Engineering │  ISSN:  0733-950X *</t>
  </si>
  <si>
    <t>Journal of Wood Chemistry and Technology │  ISSN:  0277-3813 *</t>
  </si>
  <si>
    <t>Journal of X-Ray science and Technology │  ISSN:  0895-3996 *</t>
  </si>
  <si>
    <t>Journal- Society for Information Display │  ISSN:  1071-0922 *</t>
  </si>
  <si>
    <t>JSSC │  ISSN:  0389-9020 *</t>
  </si>
  <si>
    <t>Korean Journal of Chemical Engineering │  ISSN:  0256-1115 *</t>
  </si>
  <si>
    <t>Lasers in Engineering │  ISSN:  0898-1507 *</t>
  </si>
  <si>
    <t>Machine Design │  ISSN:  0024-9114 *</t>
  </si>
  <si>
    <t>Machining science and Technology │  ISSN:  1091-0344 *</t>
  </si>
  <si>
    <t>Magazine of Concrete Research │  ISSN:  0024-9831 *</t>
  </si>
  <si>
    <t>Marine Technology │  ISSN:  2153-4721 *</t>
  </si>
  <si>
    <t>Materialpruefung │  ISSN:  0025-5300 *</t>
  </si>
  <si>
    <t>Materials and Manufacturing Processes │  ISSN:  1042-6914 *</t>
  </si>
  <si>
    <t>Materials at High Temperatures │  ISSN:  0960-3409 *</t>
  </si>
  <si>
    <t>Materials Evaluation │  ISSN:  0025-5327 *</t>
  </si>
  <si>
    <t>Materials science and Technology │  ISSN:  0267-0836 *</t>
  </si>
  <si>
    <t>Materials science Forum │  ISSN:  0255-5476 *</t>
  </si>
  <si>
    <t>Materials Technology │  ISSN:  1066-7857 *</t>
  </si>
  <si>
    <t>Materials Transactions │  ISSN:  1345-9678 *</t>
  </si>
  <si>
    <t>Mathematics Magazine │  ISSN:  0025-570X *</t>
  </si>
  <si>
    <t>Measurement and Control │  ISSN:  0020-2940 *</t>
  </si>
  <si>
    <t>Mechanics Based Design of Structures and Machines │  ISSN:  1539-7734 *</t>
  </si>
  <si>
    <t>Mechanics of Advanced Materials and Structures │  ISSN:  1537-6494 *</t>
  </si>
  <si>
    <t>Melliand International │  ISSN:  0947-9163 *</t>
  </si>
  <si>
    <t>Melliand Textilberichte │  ISSN:  0341-0781 *</t>
  </si>
  <si>
    <t>Metallurgical and Materials Transactions. B, Process Metallurgy and Materials Processing science │  ISSN:  1073-5615 *</t>
  </si>
  <si>
    <t>Microscopy and Microanalysis │  ISSN:  1431-9276 *</t>
  </si>
  <si>
    <t>Mineral Processing and Extractive Metallurgy Review │  ISSN:  0882-7508 *</t>
  </si>
  <si>
    <t>Minerals and Metallurgical Processing
(Mining, Metallurgy &amp; Exploration) │  ISSN:  2524-3462
(0747-9182) *</t>
  </si>
  <si>
    <t>Mode et Mode │  ISSN:   *</t>
  </si>
  <si>
    <t>Modern Casting │  ISSN:  0026-7562 *</t>
  </si>
  <si>
    <t>MRS Bulletin- Materials Research Society │  ISSN:  0883-7694 *</t>
  </si>
  <si>
    <r>
      <rPr>
        <sz val="9"/>
        <color theme="1"/>
        <rFont val="Calibri"/>
        <family val="2"/>
      </rPr>
      <t>Nano</t>
    </r>
    <r>
      <rPr>
        <sz val="9"/>
        <color rgb="FF000000"/>
        <rFont val="Malgun Gothic"/>
        <family val="3"/>
        <charset val="129"/>
      </rPr>
      <t>science and Nanotechnology Letters</t>
    </r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</si>
  <si>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</si>
  <si>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Nanoscience and Nanotechnology Letters │  ISSN:  1941-4900 *</t>
  </si>
  <si>
    <t>Navigation │  ISSN:  0919-9985 *</t>
  </si>
  <si>
    <t>Nippon Kinzoku Gakkaishi │  ISSN:  0021-4876 *</t>
  </si>
  <si>
    <t>Nondestructive Testing and Evaluation │  ISSN:  1058-9759 *</t>
  </si>
  <si>
    <t>Numerical Heat Transfer Part A │  ISSN:  1040-7782 *</t>
  </si>
  <si>
    <t>Numerical Heat Transfer Part B │  ISSN:  1040-7790 *</t>
  </si>
  <si>
    <t>Organic Preparations and Procedures International │  ISSN:  0030-4948 *</t>
  </si>
  <si>
    <t>Phase Transitions │  ISSN:  0141-1594 *</t>
  </si>
  <si>
    <t>Physical Geography │  ISSN:  0272-3646 *</t>
  </si>
  <si>
    <t>Plastics, Rubber and Composites │  ISSN:  1465-8011 *</t>
  </si>
  <si>
    <t>Polymer bulletin │  ISSN:  0170-0839 *</t>
  </si>
  <si>
    <t>Polymer Reviews │  ISSN:  1558-3724 *</t>
  </si>
  <si>
    <t>Polymers and Polymer Composites │  ISSN:  0967-3911 *</t>
  </si>
  <si>
    <t>Powder Injection Moulding International │  ISSN:  1753-1497 *</t>
  </si>
  <si>
    <t>Proceedings of the Institution of Civil Engineers - Municipal Engineer │  ISSN:  0965-0903 *</t>
  </si>
  <si>
    <t>Proceedings of the Institution of Civil Engineers - Water Management │  ISSN:  1741-7589 *</t>
  </si>
  <si>
    <t>Proceedings of the Institution of Civil Engineers Civil Engineering │  ISSN:  0965-089X *</t>
  </si>
  <si>
    <t>Proceedings of the Institution of Civil Engineers Structures and Buildings │  ISSN:  0965-0911 *</t>
  </si>
  <si>
    <t>Proceedings of the Institution of Civil Engineers Transport │  ISSN:  0965-092X *</t>
  </si>
  <si>
    <t>Proceedings of the Institution of Mechanical Engineers Part B │  ISSN:  0954-4054 *</t>
  </si>
  <si>
    <t>Proceedings of the Institution of Mechanical Engineers Part C │  ISSN:  0954-4062 *</t>
  </si>
  <si>
    <t>Proceedings of the Institution of Mechanical Engineers Part D │  ISSN:  0954-4070 *</t>
  </si>
  <si>
    <t>Proceedings of the Institution of Mechanical Engineers Part F │  ISSN:  0954-4097 *</t>
  </si>
  <si>
    <t>Proceedings of the Institution of Mechanical Engineers Part G │  ISSN:  0954-4100 *</t>
  </si>
  <si>
    <t>Proceedings of the Institution of Mechanical Engineers Part H │  ISSN:  0954-4119 *</t>
  </si>
  <si>
    <t>Proceedings of the Institution of Mechanical Engineers Part I │  ISSN:  0959-6518 *</t>
  </si>
  <si>
    <t>Proceedings of the Institution of Mechanical Engineers Part K. Journal of Multi-Body Dynamics │  ISSN:  1464-4193 *</t>
  </si>
  <si>
    <t>Proceedings of the Institution of Mechanical Engineers, Part M: Journal of Engineering for the Maritime Environment │  ISSN:  1475-0902 *</t>
  </si>
  <si>
    <t>Proceedings of the Institution of Mechanical Engineers, Part P: Journal of Sports Engineering and Technology │  ISSN:  1754-3371 *</t>
  </si>
  <si>
    <t>Production Planning &amp; /control │  ISSN:  0953-7287 *</t>
  </si>
  <si>
    <t>Progress in Computational Fluid Dynamics, An International Journal │  ISSN:  1468-4349 *</t>
  </si>
  <si>
    <t>Progress in Rubber, Plastics and Recycling Technology │  ISSN:  1477-7606 *</t>
  </si>
  <si>
    <t>Quarterly Journal of Engineering Geology and Hydrogeology │  ISSN:  1470-9236 *</t>
  </si>
  <si>
    <t>Racecar Engineering │  ISSN:  0961-1096 *</t>
  </si>
  <si>
    <t>Recent Patents on Nanotechnology │  ISSN:  1872-2105 *</t>
  </si>
  <si>
    <t>Research Disclosure │  ISSN:  0374-4353 *</t>
  </si>
  <si>
    <t>Research in Nondestructive Evaluation │  ISSN:  0934-9847 *</t>
  </si>
  <si>
    <t>Resource Geology │  ISSN:  0918-2454 *</t>
  </si>
  <si>
    <t>Reviews in Mineralogy and Geochemistry │  ISSN:  1529-6466 *</t>
  </si>
  <si>
    <t>Rheologica Acta: An International Journal of Rheology │  ISSN:  0035-4511 *</t>
  </si>
  <si>
    <t>Road Materials and Pavement Design │  ISSN:  1468-0629 *</t>
  </si>
  <si>
    <t>Rotor &amp; Wing │  ISSN:  1066-8098 *</t>
  </si>
  <si>
    <r>
      <rPr>
        <sz val="9"/>
        <color theme="1"/>
        <rFont val="Calibri"/>
        <family val="2"/>
      </rPr>
      <t>2019</t>
    </r>
    <r>
      <rPr>
        <sz val="9"/>
        <color rgb="FF000000"/>
        <rFont val="Malgun Gothic"/>
        <family val="3"/>
        <charset val="129"/>
      </rPr>
      <t>-2020</t>
    </r>
  </si>
  <si>
    <t>Science and Technology of Energetic Materials (+ Explosion) (Fer:火藥學會誌) │  ISSN:  1347-9466 *</t>
  </si>
  <si>
    <t>science Of Advanced Materials │  ISSN:  1947-2935 *</t>
  </si>
  <si>
    <t>scientific American │  ISSN:  0036-8733 *</t>
  </si>
  <si>
    <t>Sea Technology │  ISSN:  0093-3651 *</t>
  </si>
  <si>
    <t>Seaways │  ISSN:  0144-1019 *</t>
  </si>
  <si>
    <t>Sensor Letters │  ISSN:  1546-198X *</t>
  </si>
  <si>
    <t>Sensors and Materials │  ISSN:  0914-4935 *</t>
  </si>
  <si>
    <t>Separation science and Technology │  ISSN:  0149-6395 *</t>
  </si>
  <si>
    <t>Ships and Offshore Structures │  ISSN:  1744-5302 *</t>
  </si>
  <si>
    <t>SID International Symposium. Digest of Technical Papers │  ISSN:  0097-966X *</t>
  </si>
  <si>
    <t>Smart Structures and Systems : an international journal of Mechatronics, Sensors, Monitoring, Control, Diagnosis, &amp; Life Cycle Eng │  ISSN:  1738-1584 *</t>
  </si>
  <si>
    <t>Soft Materials │  ISSN:  1539-445X *</t>
  </si>
  <si>
    <t>Soil &amp; Sediment Contamination │  ISSN:  1532-0383 *</t>
  </si>
  <si>
    <t>Soils and Foundations │  ISSN:  0038-0806 *</t>
  </si>
  <si>
    <t>SOKEIZAI │  ISSN:  0910-1985 *</t>
  </si>
  <si>
    <t>Statistica Sinica │  ISSN:  1017-0405 *</t>
  </si>
  <si>
    <t>Steel &amp; Composite Structures: an international journal │  ISSN:  1229-9367 *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</si>
  <si>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</si>
  <si>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Structural and multidisciplinary optimization │  ISSN:  1615-147X *</t>
  </si>
  <si>
    <t>Structural Engineering and Mechanics │  ISSN:  1225-4568 *</t>
  </si>
  <si>
    <t>Structural Engineering International │  ISSN:  1016-8664 *</t>
  </si>
  <si>
    <t>Structural Health Monitoring │  ISSN:  1475-9217 *</t>
  </si>
  <si>
    <t>Structure &amp; Infrastructure Engineering │  ISSN:  1573-2479 *</t>
  </si>
  <si>
    <t>Studies in Conservation │  ISSN:  0039-3630 *</t>
  </si>
  <si>
    <t>Surface Engineering │  ISSN:  0267-0844 *</t>
  </si>
  <si>
    <t>Surface Review and Letters │  ISSN:  0218-625X *</t>
  </si>
  <si>
    <t>Taikabutsu │  ISSN:  0039-8993 *</t>
  </si>
  <si>
    <t>Technical Textiles International │  ISSN:  0964-5993 *</t>
  </si>
  <si>
    <t>Technisches Messen - TM │  ISSN:  0171-8096 *</t>
  </si>
  <si>
    <t>Technology and Culture │  ISSN:  0040-165X *</t>
  </si>
  <si>
    <t>Technometrics │  ISSN:  0040-1706 *</t>
  </si>
  <si>
    <t>Textile Research Journal │  ISSN:  0040-5175 *</t>
  </si>
  <si>
    <t>The American Mathematical Monthly │  ISSN:  0002-9890 *</t>
  </si>
  <si>
    <t>The American Mineralogist │  ISSN:  0003-004X *</t>
  </si>
  <si>
    <t>The Annals of Statistics │  ISSN:  0090-5364 *</t>
  </si>
  <si>
    <t>The Architects' Journal │  ISSN:  0003-8466 *</t>
  </si>
  <si>
    <t>The Architectural Review │  ISSN:  0003-861X *</t>
  </si>
  <si>
    <t>The College Mathematics Journal │  ISSN:  0746-8342 *</t>
  </si>
  <si>
    <t>The Fibonacci Quarterly │  ISSN:  0015-0517 *</t>
  </si>
  <si>
    <t>The International Journal of Aeroacoustics │  ISSN:  1475-472X *</t>
  </si>
  <si>
    <t>The International Journal of Cast Metals Research │  ISSN:  1364-0461 *</t>
  </si>
  <si>
    <t>The International Journal of Pavement Engineering │  ISSN:  1029-8436 *</t>
  </si>
  <si>
    <t>The Journal of Adhesion │  ISSN:  0021-8464 *</t>
  </si>
  <si>
    <t>The Journal of Elastomers and Plastics │  ISSN:  0095-2443 *</t>
  </si>
  <si>
    <t>The Journal of General and Applied Microbiology │  ISSN:  0022-1260 *</t>
  </si>
  <si>
    <t>The Journal of Navigation │  ISSN:  0373-4633 *</t>
  </si>
  <si>
    <t>The Journal of Strain Analysis for Engineering Design │  ISSN:  0309-3247 *</t>
  </si>
  <si>
    <t>The Journal of the Textile Institute │  ISSN:  0040-5000 *</t>
  </si>
  <si>
    <t>Topos │  ISSN:  0942-752X *</t>
  </si>
  <si>
    <t>Transactions of the ASABE │  ISSN:  2151-0032 *</t>
  </si>
  <si>
    <t>Transactions of the Institute of Metal Finishing │  ISSN:  0020-2967 *</t>
  </si>
  <si>
    <t>Transactions of the Royal Institution of Naval Architects Part A. │  ISSN:  1479-8751 *</t>
  </si>
  <si>
    <t>Transmission Digest │  ISSN:  0277-8300 *</t>
  </si>
  <si>
    <t>Tribology Transactions │  ISSN:  1040-2004 *</t>
  </si>
  <si>
    <t>Tuijin Jishu │  ISSN:  1001-4055 *</t>
  </si>
  <si>
    <t>Vehicle System Dynamics │  ISSN:  0042-3114 *</t>
  </si>
  <si>
    <t>Wallpaper │  ISSN:  1364-4475 *</t>
  </si>
  <si>
    <t>Water International │  ISSN:  0250-8060 *</t>
  </si>
  <si>
    <t>Welding Journal │  ISSN:  0043-2296 *</t>
  </si>
  <si>
    <t>What Car? │  ISSN:  0307-2991 *</t>
  </si>
  <si>
    <t>Wind &amp; Structures │  ISSN:  1226-6116 *</t>
  </si>
  <si>
    <t>Zoological science │  ISSN:  0289-0003 *</t>
  </si>
  <si>
    <t>オレオサイエンス │  ISSN:  1345-8949 *</t>
  </si>
  <si>
    <t>コンクリ－ト工學 │  ISSN:  0387-1061 *</t>
  </si>
  <si>
    <t>システムと制御·情報 │  ISSN:  0916-1600 *</t>
  </si>
  <si>
    <t>セメント.コンクリ-ト │  ISSN:  0371-0718 *</t>
  </si>
  <si>
    <t>タ-ボ機械 │  ISSN:  0385-8839 *</t>
  </si>
  <si>
    <t>フル－ドパワ－システム │  ISSN:  1346-7719 *</t>
  </si>
  <si>
    <t>プレストレスト コンクリ-ト │  ISSN:  0387-1983 *</t>
  </si>
  <si>
    <t>マリン エンジニア │  ISSN:  0287-203X *</t>
  </si>
  <si>
    <t>ラバ-インダストリ (The Rubber Industries) │  ISSN:   *</t>
  </si>
  <si>
    <t>加工技術 │  ISSN:  0386-6041 *</t>
  </si>
  <si>
    <t>建設機械 │  ISSN:  0385-9878 *</t>
  </si>
  <si>
    <t>建築と社會 │  ISSN:  0912-8182 *</t>
  </si>
  <si>
    <t>建築と積算 │  ISSN:  0389-9721 *</t>
  </si>
  <si>
    <t>建築技術 │  ISSN:  0022-9911 *</t>
  </si>
  <si>
    <t>建築設備 │  ISSN:  0285-5178
(1346-9371) *</t>
  </si>
  <si>
    <t>建築設備と配管工事 │  ISSN:  0385-9851 *</t>
  </si>
  <si>
    <t>建築雜誌 │  ISSN:  0003-8555 *</t>
  </si>
  <si>
    <t>輕金屬 │  ISSN:  0451-5994 *</t>
  </si>
  <si>
    <t>計測と制御 │  ISSN:  0453-4662 *</t>
  </si>
  <si>
    <t>高分子 │  ISSN:  0454-1138 *</t>
  </si>
  <si>
    <t>空気調和 衛生工学会論文集 │  ISSN:  0385-275X *</t>
  </si>
  <si>
    <t>工業材料 │  ISSN:  0452-2834 *</t>
  </si>
  <si>
    <t>橋梁と基礎 │  ISSN:  0287-170X *</t>
  </si>
  <si>
    <t>近代建築 │  ISSN:  0023-1479 *</t>
  </si>
  <si>
    <t>金屬 │  ISSN:  0368-6337 *</t>
  </si>
  <si>
    <t>機械 と工具 │  ISSN:  0387-1053 *</t>
  </si>
  <si>
    <t>機械の硏究 │  ISSN:  0368-5713 *</t>
  </si>
  <si>
    <t>機械技術 │  ISSN:  0451-9396 *</t>
  </si>
  <si>
    <t>機械設計 │  ISSN:  0387-1045 *</t>
  </si>
  <si>
    <t>機能材料 │  ISSN:  0286-4835 *</t>
  </si>
  <si>
    <t>基礎工, 第1卷 │  ISSN:  0285-5356 *</t>
  </si>
  <si>
    <t>冷凍 │  ISSN:  0034-3714 *</t>
  </si>
  <si>
    <t>都市計劃 │  ISSN:  0495-9280 *</t>
  </si>
  <si>
    <t>膜 │  ISSN:  0385-1036 *</t>
  </si>
  <si>
    <t>保健の科學 │  ISSN:  0018-3342 *</t>
  </si>
  <si>
    <t>非破壞檢査 │  ISSN:  0367-5866 *</t>
  </si>
  <si>
    <t>寫眞測量とリモ-トセンシング │  ISSN:  0285-5844 *</t>
  </si>
  <si>
    <t>商店建築 │  ISSN:  0001-1476
(0385-3195) *</t>
  </si>
  <si>
    <t>纖維機械學會誌 │  ISSN:  0371-0580 *</t>
  </si>
  <si>
    <t>纖維製品消費科學 │  ISSN:  0037-2072 *</t>
  </si>
  <si>
    <t>纖維學會誌 │  ISSN:  0037-9875 *</t>
  </si>
  <si>
    <t>塑性と加工 │  ISSN:  0038-1586 *</t>
  </si>
  <si>
    <t>水道協會雜誌 │  ISSN:  0371-0785 *</t>
  </si>
  <si>
    <t>食品と科學 │  ISSN:  0037-4105 *</t>
  </si>
  <si>
    <t>食品衛生硏究 │  ISSN:  0559-8974 *</t>
  </si>
  <si>
    <t>新しい住まいの設計 │  ISSN:  4000-2000 *</t>
  </si>
  <si>
    <t>新建築 │  ISSN:  1342-5447 *</t>
  </si>
  <si>
    <t>岩石鑛物科學 │  ISSN:  1345-630X *</t>
  </si>
  <si>
    <t>藥局 │  ISSN:  0044-0035 *</t>
  </si>
  <si>
    <t>藥事 │  ISSN:  0016-5980 *</t>
  </si>
  <si>
    <t>藥學雜誌 │  ISSN:  0031-6903 *</t>
  </si>
  <si>
    <r>
      <rPr>
        <sz val="9"/>
        <color theme="1"/>
        <rFont val="Calibri"/>
        <family val="2"/>
      </rPr>
      <t>2</t>
    </r>
    <r>
      <rPr>
        <sz val="9"/>
        <color rgb="FF000000"/>
        <rFont val="Malgun Gothic"/>
        <family val="3"/>
        <charset val="129"/>
      </rPr>
      <t>019-2020</t>
    </r>
  </si>
  <si>
    <t>熱處理 │  ISSN:  0288-0490 *</t>
  </si>
  <si>
    <t>營養學雜誌 │  ISSN:  0021-5147 *</t>
  </si>
  <si>
    <t>溶接學會誌 │  ISSN:  0021-4787 *</t>
  </si>
  <si>
    <t>遺傳 │  ISSN:  0387-0022 *</t>
  </si>
  <si>
    <t>人類學學報 │  ISSN:  1000-3193 *</t>
  </si>
  <si>
    <t>日經ものづくり │  ISSN:  1349-2772 *</t>
  </si>
  <si>
    <t>日本 航空宇宙學會 論文集 │  ISSN:  1344-6460 *</t>
  </si>
  <si>
    <t>日本ロボツト學會誌 │  ISSN:  0289-1824 *</t>
  </si>
  <si>
    <t>日本家政學會誌 │  ISSN:  0913-5227 *</t>
  </si>
  <si>
    <t>日本建築學會計劃系論文集 │  ISSN:  1340-4210 *</t>
  </si>
  <si>
    <t>日本建築學會構造系論文集 │  ISSN:  1340-4202 *</t>
  </si>
  <si>
    <t>日本建築學會環境系論文集 │  ISSN:  1348-0685 *</t>
  </si>
  <si>
    <t>日本公衆衛生雜誌 │  ISSN:  0546-1766 *</t>
  </si>
  <si>
    <t>日本菌學會會報 │  ISSN:  0029-0289 *</t>
  </si>
  <si>
    <t>日本金屬學會會報 │  ISSN:  1340-2625 *</t>
  </si>
  <si>
    <t>日本機械学会誌 │  ISSN:  0021-4728 *</t>
  </si>
  <si>
    <t>日本複合材料學會誌 │  ISSN:  0385-2563 *</t>
  </si>
  <si>
    <t>日本生態學會誌 │  ISSN:  0021-5007 *</t>
  </si>
  <si>
    <t>日本船舶海洋工學會論文集 │  ISSN:  1880-3717 *</t>
  </si>
  <si>
    <t>日本水産学会誌 │  ISSN:  0021-5392 *</t>
  </si>
  <si>
    <t>日本數學敎育學會誌 : 數學敎育 │  ISSN:  0021-471X *</t>
  </si>
  <si>
    <t>日本榮養 食糧學會誌 │  ISSN:  0287-3516 *</t>
  </si>
  <si>
    <t>日本材料强度學會誌 │  ISSN:  0286-4010 *</t>
  </si>
  <si>
    <t>日本航空宇宙學會誌 │  ISSN:  0021-4663 *</t>
  </si>
  <si>
    <t>日本海事協會會誌 │  ISSN:  0287-0274 *</t>
  </si>
  <si>
    <t>自動車技術 │  ISSN:  0385-7298 *</t>
  </si>
  <si>
    <t>電氣學會誌 │  ISSN:  1340-5551 *</t>
  </si>
  <si>
    <t>電設技術 │  ISSN:  1344-1450 *</t>
  </si>
  <si>
    <t>電子情報通信學會誌 │  ISSN:  0913-5693 *</t>
  </si>
  <si>
    <t>精密工學會誌 │  ISSN:  0912-0289 *</t>
  </si>
  <si>
    <t>第四紀硏究 │  ISSN:  0418-2642 *</t>
  </si>
  <si>
    <t>鑄造工學 │  ISSN:  1342-0429 *</t>
  </si>
  <si>
    <t>住宅建築 │  ISSN:  0389-6358 *</t>
  </si>
  <si>
    <t>地盤工學會誌 │  ISSN:  1882-7276 *</t>
  </si>
  <si>
    <t>天氣 │  ISSN:  0546-0921 *</t>
  </si>
  <si>
    <t>太陽エネルギ― │  ISSN:  0388-9564 *</t>
  </si>
  <si>
    <t>土木技術 │  ISSN:  0285-5046 *</t>
  </si>
  <si>
    <t>土木技術資料 │  ISSN:  0386-5886 *</t>
  </si>
  <si>
    <t>土木學會誌 │  ISSN:  0021-468X *</t>
  </si>
  <si>
    <t>特殊鋼 │  ISSN:  0495-7644 *</t>
  </si>
  <si>
    <t>表面科學 │  ISSN:  0388-5321 *</t>
  </si>
  <si>
    <t>表面技術 │  ISSN:  0915-1869 *</t>
  </si>
  <si>
    <t>下水道 │  ISSN:  0387-6926 *</t>
  </si>
  <si>
    <t>航空技術(Avigagtion Engineering) │  ISSN:  0023-284X *</t>
  </si>
  <si>
    <t>航空情報 │  ISSN:  0450-6669 *</t>
  </si>
  <si>
    <t>解剖學雜誌 │  ISSN:  0022-7722 *</t>
  </si>
  <si>
    <t>海洋水産エンジニアリング │  ISSN:  1346-9800 *</t>
  </si>
  <si>
    <t>現代化學 │  ISSN:  0386-961X *</t>
  </si>
  <si>
    <t>火山 │  ISSN:  0453-4360 *</t>
  </si>
  <si>
    <t>化學工學 │  ISSN:  0375-9253 *</t>
  </si>
  <si>
    <t>化學工學論文集 │  ISSN:  0386-216X *</t>
  </si>
  <si>
    <t>化學裝置 │  ISSN:  0368-4849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</si>
</sst>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6">
    <font>
      <sz val="11"/>
      <color theme="1"/>
      <name val="Arial"/>
    </font>
    <font>
      <sz val="14"/>
      <color rgb="FF000000"/>
      <name val="Malgun Gothic"/>
      <family val="3"/>
      <charset val="129"/>
    </font>
    <font>
      <sz val="9"/>
      <color theme="1"/>
      <name val="Malgun Gothic"/>
      <family val="3"/>
      <charset val="129"/>
    </font>
    <font>
      <b/>
      <sz val="14"/>
      <color rgb="FF000000"/>
      <name val="Malgun Gothic"/>
      <family val="3"/>
      <charset val="129"/>
    </font>
    <font>
      <b/>
      <sz val="14"/>
      <color theme="1"/>
      <name val="Malgun Gothic"/>
      <family val="3"/>
      <charset val="129"/>
    </font>
    <font>
      <sz val="11"/>
      <color theme="1"/>
      <name val="Calibri"/>
      <family val="2"/>
    </font>
    <font>
      <sz val="11"/>
      <color theme="1"/>
      <name val="Malgun Gothic"/>
      <family val="3"/>
      <charset val="129"/>
    </font>
    <font>
      <b/>
      <sz val="10"/>
      <color theme="1"/>
      <name val="Malgun Gothic"/>
      <family val="3"/>
      <charset val="129"/>
    </font>
    <font>
      <b/>
      <sz val="10"/>
      <color rgb="FF000000"/>
      <name val="Malgun Gothic"/>
      <family val="3"/>
      <charset val="129"/>
    </font>
    <font>
      <sz val="9"/>
      <color theme="1"/>
      <name val="Calibri"/>
      <family val="2"/>
    </font>
    <font>
      <u/>
      <sz val="9"/>
      <color rgb="FF0000FF"/>
      <name val="Malgun Gothic"/>
      <family val="3"/>
      <charset val="129"/>
    </font>
    <font>
      <sz val="11"/>
      <name val="&quot;Malgun Gothic&quot;"/>
    </font>
    <font>
      <sz val="11"/>
      <color rgb="FF000000"/>
      <name val="&quot;Malgun Gothic&quot;"/>
    </font>
    <font>
      <u/>
      <sz val="9"/>
      <color rgb="FF000000"/>
      <name val="Malgun Gothic"/>
      <family val="3"/>
      <charset val="129"/>
    </font>
    <font>
      <sz val="11"/>
      <name val="Calibri"/>
      <family val="2"/>
    </font>
    <font>
      <sz val="11"/>
      <color rgb="FF000000"/>
      <name val="Arial"/>
      <family val="2"/>
    </font>
    <font>
      <u/>
      <sz val="9"/>
      <color rgb="FF0563C1"/>
      <name val="Malgun Gothic"/>
      <family val="3"/>
      <charset val="129"/>
    </font>
    <font>
      <u/>
      <sz val="11"/>
      <color rgb="FF0078E6"/>
      <name val="&quot;Malgun Gothic&quot;"/>
    </font>
    <font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9"/>
      <color rgb="FF222222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sz val="9"/>
      <name val="Malgun Gothic"/>
      <family val="3"/>
      <charset val="129"/>
    </font>
    <font>
      <sz val="9"/>
      <color rgb="FF000000"/>
      <name val="Arial"/>
      <family val="2"/>
    </font>
    <font>
      <sz val="9"/>
      <color rgb="FF444444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&quot;Malgun Gothic&quot;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5"/>
      <color theme="1"/>
      <name val="Calibri"/>
      <family val="2"/>
    </font>
    <font>
      <b/>
      <sz val="10"/>
      <color theme="0"/>
      <name val="Malgun Gothic"/>
      <family val="3"/>
      <charset val="129"/>
    </font>
    <font>
      <b/>
      <sz val="10"/>
      <color theme="1"/>
      <name val="Calibri"/>
      <family val="2"/>
    </font>
    <font>
      <u/>
      <sz val="9"/>
      <color rgb="FF0000FF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u/>
      <sz val="9"/>
      <color rgb="FF000000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b/>
      <sz val="11"/>
      <color rgb="FFFF0000"/>
      <name val="Calibri"/>
      <family val="2"/>
    </font>
    <font>
      <u/>
      <sz val="11"/>
      <color rgb="FF0563C1"/>
      <name val="Malgun Gothic"/>
      <family val="3"/>
      <charset val="129"/>
    </font>
    <font>
      <u/>
      <sz val="11"/>
      <color rgb="FF000000"/>
      <name val="Malgun Gothic"/>
      <family val="3"/>
      <charset val="129"/>
    </font>
    <font>
      <b/>
      <sz val="11"/>
      <color theme="1"/>
      <name val="Calibri"/>
      <family val="2"/>
    </font>
    <font>
      <u/>
      <sz val="9"/>
      <color rgb="FF0000FF"/>
      <name val="Malgun Gothic"/>
      <family val="3"/>
      <charset val="129"/>
    </font>
    <font>
      <u/>
      <sz val="11"/>
      <color rgb="FF0563C1"/>
      <name val="Malgun Gothic"/>
      <family val="3"/>
      <charset val="129"/>
    </font>
    <font>
      <u/>
      <sz val="11"/>
      <color rgb="FF000000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sz val="9"/>
      <color rgb="FFFFFFFF"/>
      <name val="Calibri"/>
      <family val="2"/>
    </font>
    <font>
      <u/>
      <sz val="9"/>
      <color theme="1"/>
      <name val="Malgun Gothic"/>
      <family val="3"/>
      <charset val="129"/>
    </font>
    <font>
      <sz val="9"/>
      <color rgb="FF000000"/>
      <name val="Malgun Gothic"/>
      <family val="3"/>
      <charset val="129"/>
    </font>
    <font>
      <u/>
      <sz val="9"/>
      <color rgb="FF000000"/>
      <name val="Malgun Gothic"/>
      <family val="3"/>
      <charset val="129"/>
    </font>
    <font>
      <u/>
      <sz val="9"/>
      <color rgb="FF0563C1"/>
      <name val="Malgun Gothic"/>
      <family val="3"/>
      <charset val="129"/>
    </font>
    <font>
      <u/>
      <sz val="9"/>
      <color rgb="FF0000FF"/>
      <name val="Malgun Gothic"/>
      <family val="3"/>
      <charset val="129"/>
    </font>
    <font>
      <sz val="11"/>
      <color rgb="FFFF0000"/>
      <name val="Calibri"/>
      <family val="2"/>
    </font>
    <font>
      <u/>
      <sz val="9"/>
      <color rgb="FF0000FF"/>
      <name val="Malgun Gothic"/>
      <family val="3"/>
      <charset val="129"/>
    </font>
    <font>
      <u/>
      <sz val="9"/>
      <color rgb="FF000000"/>
      <name val="Malgun Gothic"/>
      <family val="3"/>
      <charset val="129"/>
    </font>
    <font>
      <u/>
      <sz val="9"/>
      <color theme="1"/>
      <name val="Arial"/>
      <family val="2"/>
    </font>
    <font>
      <sz val="11"/>
      <color theme="1"/>
      <name val="&quot;맑은 고딕&quot;"/>
      <family val="3"/>
      <charset val="129"/>
    </font>
    <font>
      <sz val="11"/>
      <color rgb="FF000000"/>
      <name val="Arial"/>
      <family val="2"/>
    </font>
    <font>
      <u/>
      <sz val="9"/>
      <color rgb="FF0000FF"/>
      <name val="Malgun Gothic"/>
      <family val="3"/>
      <charset val="129"/>
    </font>
    <font>
      <sz val="11"/>
      <color rgb="FF000000"/>
      <name val="&quot;맑은 고딕&quot;"/>
      <family val="3"/>
      <charset val="129"/>
    </font>
    <font>
      <u/>
      <sz val="9"/>
      <color rgb="FF0000FF"/>
      <name val="Malgun Gothic"/>
      <family val="3"/>
      <charset val="129"/>
    </font>
    <font>
      <sz val="11"/>
      <color rgb="FF000000"/>
      <name val="돋움"/>
      <family val="3"/>
      <charset val="129"/>
    </font>
    <font>
      <b/>
      <sz val="14"/>
      <color theme="1"/>
      <name val="Arial"/>
      <family val="2"/>
    </font>
    <font>
      <sz val="8"/>
      <name val="돋움"/>
      <family val="3"/>
      <charset val="129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E599"/>
        <bgColor rgb="FFFFE599"/>
      </patternFill>
    </fill>
    <fill>
      <patternFill patternType="solid">
        <fgColor rgb="FFFFE598"/>
        <bgColor rgb="FFFFE598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5F9FD"/>
        <bgColor rgb="FFF5F9FD"/>
      </patternFill>
    </fill>
    <fill>
      <patternFill patternType="solid">
        <fgColor rgb="FFFFC000"/>
        <bgColor rgb="FFFFC000"/>
      </patternFill>
    </fill>
    <fill>
      <patternFill patternType="solid">
        <fgColor rgb="FF008000"/>
        <bgColor rgb="FF008000"/>
      </patternFill>
    </fill>
    <fill>
      <patternFill patternType="solid">
        <fgColor rgb="FFC55A11"/>
        <bgColor rgb="FFC55A11"/>
      </patternFill>
    </fill>
    <fill>
      <patternFill patternType="solid">
        <fgColor rgb="FF7030A0"/>
        <bgColor rgb="FF7030A0"/>
      </patternFill>
    </fill>
    <fill>
      <patternFill patternType="solid">
        <fgColor rgb="FF2E75B5"/>
        <bgColor rgb="FF2E75B5"/>
      </patternFill>
    </fill>
    <fill>
      <patternFill patternType="solid">
        <fgColor rgb="FF1F3864"/>
        <bgColor rgb="FF1F3864"/>
      </patternFill>
    </fill>
    <fill>
      <patternFill patternType="solid">
        <fgColor theme="7"/>
        <bgColor theme="7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4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vertical="center"/>
    </xf>
    <xf numFmtId="0" fontId="11" fillId="7" borderId="7" xfId="0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/>
    </xf>
    <xf numFmtId="0" fontId="11" fillId="0" borderId="7" xfId="0" applyFont="1" applyBorder="1" applyAlignment="1">
      <alignment horizontal="center"/>
    </xf>
    <xf numFmtId="0" fontId="12" fillId="7" borderId="7" xfId="0" applyFont="1" applyFill="1" applyBorder="1" applyAlignment="1">
      <alignment vertical="center"/>
    </xf>
    <xf numFmtId="0" fontId="11" fillId="7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1" fontId="18" fillId="0" borderId="7" xfId="0" applyNumberFormat="1" applyFont="1" applyBorder="1" applyAlignment="1">
      <alignment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 vertical="center" wrapText="1"/>
    </xf>
    <xf numFmtId="0" fontId="9" fillId="7" borderId="7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1" fillId="0" borderId="7" xfId="0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22" fillId="2" borderId="17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9" fillId="7" borderId="7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7" fillId="0" borderId="7" xfId="0" applyFont="1" applyBorder="1" applyAlignment="1">
      <alignment vertical="center"/>
    </xf>
    <xf numFmtId="0" fontId="9" fillId="2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28" fillId="0" borderId="22" xfId="0" applyFont="1" applyBorder="1" applyAlignment="1">
      <alignment vertical="center"/>
    </xf>
    <xf numFmtId="0" fontId="28" fillId="0" borderId="2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29" fillId="9" borderId="0" xfId="0" applyFont="1" applyFill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9" fillId="0" borderId="7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5" fillId="0" borderId="7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0" fillId="2" borderId="25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4" fillId="1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vertical="center"/>
    </xf>
    <xf numFmtId="0" fontId="9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9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0" fillId="2" borderId="25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34" fillId="11" borderId="2" xfId="0" applyFont="1" applyFill="1" applyBorder="1" applyAlignment="1">
      <alignment horizontal="center" vertical="center" wrapText="1"/>
    </xf>
    <xf numFmtId="0" fontId="34" fillId="11" borderId="3" xfId="0" applyFont="1" applyFill="1" applyBorder="1" applyAlignment="1">
      <alignment horizontal="center" vertical="center" wrapText="1"/>
    </xf>
    <xf numFmtId="0" fontId="34" fillId="11" borderId="5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8" fillId="2" borderId="0" xfId="0" applyFont="1" applyFill="1" applyAlignment="1">
      <alignment horizontal="center" vertical="center"/>
    </xf>
    <xf numFmtId="0" fontId="49" fillId="0" borderId="7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34" fillId="12" borderId="2" xfId="0" applyFont="1" applyFill="1" applyBorder="1" applyAlignment="1">
      <alignment horizontal="center" vertical="center" wrapText="1"/>
    </xf>
    <xf numFmtId="0" fontId="34" fillId="12" borderId="3" xfId="0" applyFont="1" applyFill="1" applyBorder="1" applyAlignment="1">
      <alignment horizontal="center" vertical="center" wrapText="1"/>
    </xf>
    <xf numFmtId="0" fontId="34" fillId="12" borderId="5" xfId="0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left" vertical="center"/>
    </xf>
    <xf numFmtId="0" fontId="51" fillId="0" borderId="7" xfId="0" applyFont="1" applyBorder="1" applyAlignment="1">
      <alignment vertical="center"/>
    </xf>
    <xf numFmtId="0" fontId="5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0" fillId="7" borderId="7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/>
    </xf>
    <xf numFmtId="0" fontId="53" fillId="0" borderId="22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4" fillId="2" borderId="25" xfId="0" applyFont="1" applyFill="1" applyBorder="1" applyAlignment="1">
      <alignment horizontal="center" vertical="center"/>
    </xf>
    <xf numFmtId="0" fontId="54" fillId="2" borderId="25" xfId="0" applyFont="1" applyFill="1" applyBorder="1" applyAlignment="1">
      <alignment vertical="center"/>
    </xf>
    <xf numFmtId="0" fontId="34" fillId="13" borderId="2" xfId="0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34" fillId="13" borderId="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5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4" fillId="14" borderId="2" xfId="0" applyFont="1" applyFill="1" applyBorder="1" applyAlignment="1">
      <alignment horizontal="center" vertical="center" wrapText="1"/>
    </xf>
    <xf numFmtId="0" fontId="34" fillId="14" borderId="3" xfId="0" applyFont="1" applyFill="1" applyBorder="1" applyAlignment="1">
      <alignment horizontal="center" vertical="center" wrapText="1"/>
    </xf>
    <xf numFmtId="0" fontId="34" fillId="14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5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7" xfId="0" applyFont="1" applyBorder="1" applyAlignment="1">
      <alignment vertical="center"/>
    </xf>
    <xf numFmtId="0" fontId="58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59" fillId="0" borderId="14" xfId="0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28" fillId="0" borderId="14" xfId="0" applyFont="1" applyBorder="1" applyAlignment="1">
      <alignment vertical="center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3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  <xf numFmtId="0" fontId="60" fillId="2" borderId="9" xfId="0" applyFont="1" applyFill="1" applyBorder="1" applyAlignment="1">
      <alignment vertical="center"/>
    </xf>
    <xf numFmtId="0" fontId="58" fillId="7" borderId="32" xfId="0" applyFont="1" applyFill="1" applyBorder="1" applyAlignment="1">
      <alignment horizontal="left" vertical="center"/>
    </xf>
    <xf numFmtId="0" fontId="58" fillId="7" borderId="32" xfId="0" applyFont="1" applyFill="1" applyBorder="1" applyAlignment="1">
      <alignment vertical="center"/>
    </xf>
    <xf numFmtId="0" fontId="58" fillId="7" borderId="32" xfId="0" applyFont="1" applyFill="1" applyBorder="1" applyAlignment="1">
      <alignment horizontal="center" vertical="center"/>
    </xf>
    <xf numFmtId="0" fontId="61" fillId="0" borderId="32" xfId="0" applyFont="1" applyBorder="1" applyAlignment="1">
      <alignment horizontal="left" vertical="center"/>
    </xf>
    <xf numFmtId="0" fontId="61" fillId="0" borderId="3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7" borderId="9" xfId="0" applyFont="1" applyFill="1" applyBorder="1" applyAlignment="1">
      <alignment horizontal="center" vertical="center"/>
    </xf>
    <xf numFmtId="0" fontId="61" fillId="7" borderId="3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9" fillId="0" borderId="14" xfId="0" applyFont="1" applyBorder="1" applyAlignment="1">
      <alignment horizontal="left" vertical="center"/>
    </xf>
    <xf numFmtId="0" fontId="59" fillId="0" borderId="3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62" fillId="0" borderId="17" xfId="0" applyFont="1" applyBorder="1" applyAlignment="1">
      <alignment vertical="center"/>
    </xf>
    <xf numFmtId="0" fontId="58" fillId="0" borderId="32" xfId="0" applyFont="1" applyBorder="1" applyAlignment="1">
      <alignment horizontal="center" vertical="center"/>
    </xf>
    <xf numFmtId="0" fontId="59" fillId="0" borderId="7" xfId="0" applyFont="1" applyBorder="1" applyAlignment="1">
      <alignment horizontal="left" vertical="center"/>
    </xf>
    <xf numFmtId="0" fontId="59" fillId="0" borderId="9" xfId="0" applyFont="1" applyBorder="1" applyAlignment="1">
      <alignment horizontal="left" vertical="center"/>
    </xf>
    <xf numFmtId="0" fontId="59" fillId="0" borderId="9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1" fillId="0" borderId="14" xfId="0" applyFont="1" applyBorder="1" applyAlignment="1">
      <alignment horizontal="left" vertical="center"/>
    </xf>
    <xf numFmtId="0" fontId="15" fillId="0" borderId="32" xfId="0" applyFont="1" applyBorder="1" applyAlignment="1">
      <alignment horizontal="left"/>
    </xf>
    <xf numFmtId="0" fontId="58" fillId="0" borderId="14" xfId="0" applyFont="1" applyBorder="1" applyAlignment="1">
      <alignment horizontal="left" vertical="center"/>
    </xf>
    <xf numFmtId="0" fontId="58" fillId="7" borderId="14" xfId="0" applyFont="1" applyFill="1" applyBorder="1" applyAlignment="1">
      <alignment horizontal="left" vertical="center"/>
    </xf>
    <xf numFmtId="0" fontId="58" fillId="0" borderId="14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5663" TargetMode="External"/><Relationship Id="rId671" Type="http://schemas.openxmlformats.org/officeDocument/2006/relationships/hyperlink" Target="http://www.riss.kr/link?id=S405698" TargetMode="External"/><Relationship Id="rId769" Type="http://schemas.openxmlformats.org/officeDocument/2006/relationships/hyperlink" Target="http://www.riss.kr/link?id=S11621370" TargetMode="External"/><Relationship Id="rId976" Type="http://schemas.openxmlformats.org/officeDocument/2006/relationships/hyperlink" Target="http://www.riss.kr/link?id=S19811" TargetMode="External"/><Relationship Id="rId21" Type="http://schemas.openxmlformats.org/officeDocument/2006/relationships/hyperlink" Target="http://www.riss.kr/link?id=S143755" TargetMode="External"/><Relationship Id="rId324" Type="http://schemas.openxmlformats.org/officeDocument/2006/relationships/hyperlink" Target="http://www.riss.kr/link?id=S16084" TargetMode="External"/><Relationship Id="rId531" Type="http://schemas.openxmlformats.org/officeDocument/2006/relationships/hyperlink" Target="http://www.riss.kr/link?id=S97869" TargetMode="External"/><Relationship Id="rId629" Type="http://schemas.openxmlformats.org/officeDocument/2006/relationships/hyperlink" Target="http://www.riss.kr/link?id=S404213" TargetMode="External"/><Relationship Id="rId170" Type="http://schemas.openxmlformats.org/officeDocument/2006/relationships/hyperlink" Target="http://www.riss.kr/link?id=S17074" TargetMode="External"/><Relationship Id="rId836" Type="http://schemas.openxmlformats.org/officeDocument/2006/relationships/hyperlink" Target="http://www.riss.kr/link?id=S111037" TargetMode="External"/><Relationship Id="rId268" Type="http://schemas.openxmlformats.org/officeDocument/2006/relationships/hyperlink" Target="http://www.riss.kr/link?id=S11644049" TargetMode="External"/><Relationship Id="rId475" Type="http://schemas.openxmlformats.org/officeDocument/2006/relationships/hyperlink" Target="http://www.riss.kr/link?id=S24599" TargetMode="External"/><Relationship Id="rId682" Type="http://schemas.openxmlformats.org/officeDocument/2006/relationships/hyperlink" Target="http://www.riss.kr/link?id=S115388" TargetMode="External"/><Relationship Id="rId903" Type="http://schemas.openxmlformats.org/officeDocument/2006/relationships/hyperlink" Target="http://www.riss.kr/link?id=S114746" TargetMode="External"/><Relationship Id="rId32" Type="http://schemas.openxmlformats.org/officeDocument/2006/relationships/hyperlink" Target="http://www.riss.kr/link?id=S16316" TargetMode="External"/><Relationship Id="rId128" Type="http://schemas.openxmlformats.org/officeDocument/2006/relationships/hyperlink" Target="http://www.riss.kr/link?id=S15648" TargetMode="External"/><Relationship Id="rId335" Type="http://schemas.openxmlformats.org/officeDocument/2006/relationships/hyperlink" Target="http://www.riss.kr/link?id=S402922" TargetMode="External"/><Relationship Id="rId542" Type="http://schemas.openxmlformats.org/officeDocument/2006/relationships/hyperlink" Target="http://www.riss.kr/link?id=S31025348" TargetMode="External"/><Relationship Id="rId181" Type="http://schemas.openxmlformats.org/officeDocument/2006/relationships/hyperlink" Target="http://www.riss.kr/link?id=S16713" TargetMode="External"/><Relationship Id="rId402" Type="http://schemas.openxmlformats.org/officeDocument/2006/relationships/hyperlink" Target="http://www.riss.kr/link?id=S31000238" TargetMode="External"/><Relationship Id="rId847" Type="http://schemas.openxmlformats.org/officeDocument/2006/relationships/hyperlink" Target="http://www.riss.kr/link?id=S417589" TargetMode="External"/><Relationship Id="rId279" Type="http://schemas.openxmlformats.org/officeDocument/2006/relationships/hyperlink" Target="http://www.riss.kr/link?id=S31027196" TargetMode="External"/><Relationship Id="rId486" Type="http://schemas.openxmlformats.org/officeDocument/2006/relationships/hyperlink" Target="http://www.riss.kr/link?id=S28375" TargetMode="External"/><Relationship Id="rId693" Type="http://schemas.openxmlformats.org/officeDocument/2006/relationships/hyperlink" Target="http://www.riss.kr/link?id=S405210" TargetMode="External"/><Relationship Id="rId707" Type="http://schemas.openxmlformats.org/officeDocument/2006/relationships/hyperlink" Target="http://www.riss.kr/link?id=S415882" TargetMode="External"/><Relationship Id="rId914" Type="http://schemas.openxmlformats.org/officeDocument/2006/relationships/hyperlink" Target="http://www.riss.kr/link?id=S61475" TargetMode="External"/><Relationship Id="rId43" Type="http://schemas.openxmlformats.org/officeDocument/2006/relationships/hyperlink" Target="http://www.riss.kr/link?id=S83265" TargetMode="External"/><Relationship Id="rId139" Type="http://schemas.openxmlformats.org/officeDocument/2006/relationships/hyperlink" Target="http://www.riss.kr/link?id=S24641" TargetMode="External"/><Relationship Id="rId346" Type="http://schemas.openxmlformats.org/officeDocument/2006/relationships/hyperlink" Target="http://www.riss.kr/link?id=S20010946" TargetMode="External"/><Relationship Id="rId553" Type="http://schemas.openxmlformats.org/officeDocument/2006/relationships/hyperlink" Target="http://www.riss.kr/link?id=S16616" TargetMode="External"/><Relationship Id="rId760" Type="http://schemas.openxmlformats.org/officeDocument/2006/relationships/hyperlink" Target="http://www.riss.kr/link?id=S6141" TargetMode="External"/><Relationship Id="rId192" Type="http://schemas.openxmlformats.org/officeDocument/2006/relationships/hyperlink" Target="http://www.riss.kr/link?id=S13454" TargetMode="External"/><Relationship Id="rId206" Type="http://schemas.openxmlformats.org/officeDocument/2006/relationships/hyperlink" Target="http://www.riss.kr/link?id=S20411" TargetMode="External"/><Relationship Id="rId413" Type="http://schemas.openxmlformats.org/officeDocument/2006/relationships/hyperlink" Target="http://www.riss.kr/link?id=S15019" TargetMode="External"/><Relationship Id="rId858" Type="http://schemas.openxmlformats.org/officeDocument/2006/relationships/hyperlink" Target="http://www.riss.kr/link?id=S35840" TargetMode="External"/><Relationship Id="rId497" Type="http://schemas.openxmlformats.org/officeDocument/2006/relationships/hyperlink" Target="http://www.riss.kr/link?id=S16890" TargetMode="External"/><Relationship Id="rId620" Type="http://schemas.openxmlformats.org/officeDocument/2006/relationships/hyperlink" Target="http://www.riss.kr/link?id=S20010759" TargetMode="External"/><Relationship Id="rId718" Type="http://schemas.openxmlformats.org/officeDocument/2006/relationships/hyperlink" Target="http://www.riss.kr/link?id=S48354" TargetMode="External"/><Relationship Id="rId925" Type="http://schemas.openxmlformats.org/officeDocument/2006/relationships/hyperlink" Target="http://www.riss.kr/link?id=S91440" TargetMode="External"/><Relationship Id="rId357" Type="http://schemas.openxmlformats.org/officeDocument/2006/relationships/hyperlink" Target="http://www.riss.kr/link?id=S415749" TargetMode="External"/><Relationship Id="rId54" Type="http://schemas.openxmlformats.org/officeDocument/2006/relationships/hyperlink" Target="http://www.riss.kr/link?id=S6788" TargetMode="External"/><Relationship Id="rId217" Type="http://schemas.openxmlformats.org/officeDocument/2006/relationships/hyperlink" Target="http://www.riss.kr/link?id=S412775" TargetMode="External"/><Relationship Id="rId564" Type="http://schemas.openxmlformats.org/officeDocument/2006/relationships/hyperlink" Target="http://www.riss.kr/link?id=S20010431" TargetMode="External"/><Relationship Id="rId771" Type="http://schemas.openxmlformats.org/officeDocument/2006/relationships/hyperlink" Target="http://www.riss.kr/link?id=S115748" TargetMode="External"/><Relationship Id="rId869" Type="http://schemas.openxmlformats.org/officeDocument/2006/relationships/hyperlink" Target="http://www.riss.kr/link?id=S49427" TargetMode="External"/><Relationship Id="rId424" Type="http://schemas.openxmlformats.org/officeDocument/2006/relationships/hyperlink" Target="http://www.riss.kr/link?id=S20557" TargetMode="External"/><Relationship Id="rId631" Type="http://schemas.openxmlformats.org/officeDocument/2006/relationships/hyperlink" Target="http://www.riss.kr/link?id=S410682" TargetMode="External"/><Relationship Id="rId729" Type="http://schemas.openxmlformats.org/officeDocument/2006/relationships/hyperlink" Target="http://www.riss.kr/link?id=S405999" TargetMode="External"/><Relationship Id="rId270" Type="http://schemas.openxmlformats.org/officeDocument/2006/relationships/hyperlink" Target="http://www.riss.kr/link?id=S402120" TargetMode="External"/><Relationship Id="rId936" Type="http://schemas.openxmlformats.org/officeDocument/2006/relationships/hyperlink" Target="http://www.riss.kr/link?id=S20066775" TargetMode="External"/><Relationship Id="rId65" Type="http://schemas.openxmlformats.org/officeDocument/2006/relationships/hyperlink" Target="http://www.riss.kr/link?id=S29072" TargetMode="External"/><Relationship Id="rId130" Type="http://schemas.openxmlformats.org/officeDocument/2006/relationships/hyperlink" Target="http://www.riss.kr/link?id=S400897" TargetMode="External"/><Relationship Id="rId368" Type="http://schemas.openxmlformats.org/officeDocument/2006/relationships/hyperlink" Target="http://www.riss.kr/link?id=S96424" TargetMode="External"/><Relationship Id="rId575" Type="http://schemas.openxmlformats.org/officeDocument/2006/relationships/hyperlink" Target="http://www.riss.kr/link?id=S28226" TargetMode="External"/><Relationship Id="rId782" Type="http://schemas.openxmlformats.org/officeDocument/2006/relationships/hyperlink" Target="http://www.riss.kr/link?id=S11581308" TargetMode="External"/><Relationship Id="rId228" Type="http://schemas.openxmlformats.org/officeDocument/2006/relationships/hyperlink" Target="http://www.riss.kr/link?id=S16196" TargetMode="External"/><Relationship Id="rId435" Type="http://schemas.openxmlformats.org/officeDocument/2006/relationships/hyperlink" Target="http://www.riss.kr/link?id=S16058" TargetMode="External"/><Relationship Id="rId642" Type="http://schemas.openxmlformats.org/officeDocument/2006/relationships/hyperlink" Target="http://www.riss.kr/link?id=S16998" TargetMode="External"/><Relationship Id="rId281" Type="http://schemas.openxmlformats.org/officeDocument/2006/relationships/hyperlink" Target="http://www.riss.kr/link?id=S31031955" TargetMode="External"/><Relationship Id="rId502" Type="http://schemas.openxmlformats.org/officeDocument/2006/relationships/hyperlink" Target="http://www.riss.kr/link?id=S416408" TargetMode="External"/><Relationship Id="rId947" Type="http://schemas.openxmlformats.org/officeDocument/2006/relationships/hyperlink" Target="http://www.riss.kr/link?id=S63540" TargetMode="External"/><Relationship Id="rId76" Type="http://schemas.openxmlformats.org/officeDocument/2006/relationships/hyperlink" Target="http://www.riss.kr/link?id=S13034" TargetMode="External"/><Relationship Id="rId141" Type="http://schemas.openxmlformats.org/officeDocument/2006/relationships/hyperlink" Target="http://www.riss.kr/link?id=S13442" TargetMode="External"/><Relationship Id="rId379" Type="http://schemas.openxmlformats.org/officeDocument/2006/relationships/hyperlink" Target="http://www.riss.kr/link?id=S16065" TargetMode="External"/><Relationship Id="rId586" Type="http://schemas.openxmlformats.org/officeDocument/2006/relationships/hyperlink" Target="http://www.riss.kr/link?id=S411588" TargetMode="External"/><Relationship Id="rId793" Type="http://schemas.openxmlformats.org/officeDocument/2006/relationships/hyperlink" Target="http://www.riss.kr/link?id=S48720" TargetMode="External"/><Relationship Id="rId807" Type="http://schemas.openxmlformats.org/officeDocument/2006/relationships/hyperlink" Target="http://www.riss.kr/link?id=S68575" TargetMode="External"/><Relationship Id="rId7" Type="http://schemas.openxmlformats.org/officeDocument/2006/relationships/hyperlink" Target="http://www.riss.kr/link?id=S11597808" TargetMode="External"/><Relationship Id="rId239" Type="http://schemas.openxmlformats.org/officeDocument/2006/relationships/hyperlink" Target="http://www.riss.kr/link?id=S16688" TargetMode="External"/><Relationship Id="rId446" Type="http://schemas.openxmlformats.org/officeDocument/2006/relationships/hyperlink" Target="http://www.riss.kr/link?id=S6854" TargetMode="External"/><Relationship Id="rId653" Type="http://schemas.openxmlformats.org/officeDocument/2006/relationships/hyperlink" Target="http://www.riss.kr/link?id=S143758" TargetMode="External"/><Relationship Id="rId292" Type="http://schemas.openxmlformats.org/officeDocument/2006/relationships/hyperlink" Target="http://www.riss.kr/link?id=S21281" TargetMode="External"/><Relationship Id="rId306" Type="http://schemas.openxmlformats.org/officeDocument/2006/relationships/hyperlink" Target="http://www.riss.kr/link?id=S416811" TargetMode="External"/><Relationship Id="rId860" Type="http://schemas.openxmlformats.org/officeDocument/2006/relationships/hyperlink" Target="http://www.riss.kr/link?id=S93106" TargetMode="External"/><Relationship Id="rId958" Type="http://schemas.openxmlformats.org/officeDocument/2006/relationships/hyperlink" Target="http://www.riss.kr/link?id=S104203" TargetMode="External"/><Relationship Id="rId87" Type="http://schemas.openxmlformats.org/officeDocument/2006/relationships/hyperlink" Target="http://www.riss.kr/link?id=S11582253" TargetMode="External"/><Relationship Id="rId513" Type="http://schemas.openxmlformats.org/officeDocument/2006/relationships/hyperlink" Target="http://www.riss.kr/link?id=S17464" TargetMode="External"/><Relationship Id="rId597" Type="http://schemas.openxmlformats.org/officeDocument/2006/relationships/hyperlink" Target="http://www.riss.kr/link?id=S13527" TargetMode="External"/><Relationship Id="rId720" Type="http://schemas.openxmlformats.org/officeDocument/2006/relationships/hyperlink" Target="http://www.riss.kr/link?id=S17558" TargetMode="External"/><Relationship Id="rId818" Type="http://schemas.openxmlformats.org/officeDocument/2006/relationships/hyperlink" Target="http://www.riss.kr/link?id=S60981" TargetMode="External"/><Relationship Id="rId152" Type="http://schemas.openxmlformats.org/officeDocument/2006/relationships/hyperlink" Target="http://www.riss.kr/link?id=S31014477" TargetMode="External"/><Relationship Id="rId457" Type="http://schemas.openxmlformats.org/officeDocument/2006/relationships/hyperlink" Target="http://www.riss.kr/link?id=S410763" TargetMode="External"/><Relationship Id="rId664" Type="http://schemas.openxmlformats.org/officeDocument/2006/relationships/hyperlink" Target="http://www.riss.kr/link?id=S18795" TargetMode="External"/><Relationship Id="rId871" Type="http://schemas.openxmlformats.org/officeDocument/2006/relationships/hyperlink" Target="http://www.riss.kr/link?id=S31000872" TargetMode="External"/><Relationship Id="rId969" Type="http://schemas.openxmlformats.org/officeDocument/2006/relationships/hyperlink" Target="http://www.riss.kr/link?id=S24367" TargetMode="External"/><Relationship Id="rId14" Type="http://schemas.openxmlformats.org/officeDocument/2006/relationships/hyperlink" Target="http://www.riss.kr/link?id=S418336" TargetMode="External"/><Relationship Id="rId317" Type="http://schemas.openxmlformats.org/officeDocument/2006/relationships/hyperlink" Target="http://www.riss.kr/link?id=S28130" TargetMode="External"/><Relationship Id="rId524" Type="http://schemas.openxmlformats.org/officeDocument/2006/relationships/hyperlink" Target="http://www.riss.kr/link?id=S15584" TargetMode="External"/><Relationship Id="rId731" Type="http://schemas.openxmlformats.org/officeDocument/2006/relationships/hyperlink" Target="http://www.riss.kr/link?id=S86061" TargetMode="External"/><Relationship Id="rId98" Type="http://schemas.openxmlformats.org/officeDocument/2006/relationships/hyperlink" Target="http://www.riss.kr/link?id=S405354" TargetMode="External"/><Relationship Id="rId163" Type="http://schemas.openxmlformats.org/officeDocument/2006/relationships/hyperlink" Target="http://www.riss.kr/link?id=S11575588" TargetMode="External"/><Relationship Id="rId370" Type="http://schemas.openxmlformats.org/officeDocument/2006/relationships/hyperlink" Target="http://www.riss.kr/link?id=S16068" TargetMode="External"/><Relationship Id="rId829" Type="http://schemas.openxmlformats.org/officeDocument/2006/relationships/hyperlink" Target="http://www.riss.kr/link?id=S19817" TargetMode="External"/><Relationship Id="rId230" Type="http://schemas.openxmlformats.org/officeDocument/2006/relationships/hyperlink" Target="http://www.riss.kr/link?id=S15628" TargetMode="External"/><Relationship Id="rId468" Type="http://schemas.openxmlformats.org/officeDocument/2006/relationships/hyperlink" Target="http://www.riss.kr/link?id=S20402" TargetMode="External"/><Relationship Id="rId675" Type="http://schemas.openxmlformats.org/officeDocument/2006/relationships/hyperlink" Target="http://www.riss.kr/link?id=S417596" TargetMode="External"/><Relationship Id="rId882" Type="http://schemas.openxmlformats.org/officeDocument/2006/relationships/hyperlink" Target="http://www.riss.kr/link?id=S36930" TargetMode="External"/><Relationship Id="rId25" Type="http://schemas.openxmlformats.org/officeDocument/2006/relationships/hyperlink" Target="http://www.riss.kr/link?id=S11644176" TargetMode="External"/><Relationship Id="rId328" Type="http://schemas.openxmlformats.org/officeDocument/2006/relationships/hyperlink" Target="http://www.riss.kr/link?id=S24546" TargetMode="External"/><Relationship Id="rId535" Type="http://schemas.openxmlformats.org/officeDocument/2006/relationships/hyperlink" Target="http://www.riss.kr/link?id=S48092" TargetMode="External"/><Relationship Id="rId742" Type="http://schemas.openxmlformats.org/officeDocument/2006/relationships/hyperlink" Target="http://www.riss.kr/link?id=S15537" TargetMode="External"/><Relationship Id="rId174" Type="http://schemas.openxmlformats.org/officeDocument/2006/relationships/hyperlink" Target="http://www.riss.kr/link?id=S11575509" TargetMode="External"/><Relationship Id="rId381" Type="http://schemas.openxmlformats.org/officeDocument/2006/relationships/hyperlink" Target="http://www.riss.kr/link?id=S13020" TargetMode="External"/><Relationship Id="rId602" Type="http://schemas.openxmlformats.org/officeDocument/2006/relationships/hyperlink" Target="http://www.riss.kr/link?id=S30006165" TargetMode="External"/><Relationship Id="rId241" Type="http://schemas.openxmlformats.org/officeDocument/2006/relationships/hyperlink" Target="http://www.riss.kr/link?id=S115378" TargetMode="External"/><Relationship Id="rId479" Type="http://schemas.openxmlformats.org/officeDocument/2006/relationships/hyperlink" Target="http://www.riss.kr/link?id=S115899" TargetMode="External"/><Relationship Id="rId686" Type="http://schemas.openxmlformats.org/officeDocument/2006/relationships/hyperlink" Target="http://www.riss.kr/link?id=S85659" TargetMode="External"/><Relationship Id="rId893" Type="http://schemas.openxmlformats.org/officeDocument/2006/relationships/hyperlink" Target="http://www.riss.kr/link?id=S416936" TargetMode="External"/><Relationship Id="rId907" Type="http://schemas.openxmlformats.org/officeDocument/2006/relationships/hyperlink" Target="http://www.riss.kr/link?id=S61535" TargetMode="External"/><Relationship Id="rId36" Type="http://schemas.openxmlformats.org/officeDocument/2006/relationships/hyperlink" Target="http://www.riss.kr/link?id=S31002771" TargetMode="External"/><Relationship Id="rId339" Type="http://schemas.openxmlformats.org/officeDocument/2006/relationships/hyperlink" Target="http://www.riss.kr/link?id=S21308" TargetMode="External"/><Relationship Id="rId546" Type="http://schemas.openxmlformats.org/officeDocument/2006/relationships/hyperlink" Target="http://www.riss.kr/link?id=S417089" TargetMode="External"/><Relationship Id="rId753" Type="http://schemas.openxmlformats.org/officeDocument/2006/relationships/hyperlink" Target="http://www.riss.kr/link?id=S411651" TargetMode="External"/><Relationship Id="rId101" Type="http://schemas.openxmlformats.org/officeDocument/2006/relationships/hyperlink" Target="http://www.riss.kr/link?id=S16573" TargetMode="External"/><Relationship Id="rId185" Type="http://schemas.openxmlformats.org/officeDocument/2006/relationships/hyperlink" Target="http://www.riss.kr/link?id=S405708" TargetMode="External"/><Relationship Id="rId406" Type="http://schemas.openxmlformats.org/officeDocument/2006/relationships/hyperlink" Target="http://www.riss.kr/link?id=S17285" TargetMode="External"/><Relationship Id="rId960" Type="http://schemas.openxmlformats.org/officeDocument/2006/relationships/hyperlink" Target="http://www.riss.kr/link?id=S79477" TargetMode="External"/><Relationship Id="rId392" Type="http://schemas.openxmlformats.org/officeDocument/2006/relationships/hyperlink" Target="http://www.riss.kr/link?id=S28117" TargetMode="External"/><Relationship Id="rId613" Type="http://schemas.openxmlformats.org/officeDocument/2006/relationships/hyperlink" Target="http://www.riss.kr/link?id=S31026610" TargetMode="External"/><Relationship Id="rId697" Type="http://schemas.openxmlformats.org/officeDocument/2006/relationships/hyperlink" Target="http://www.riss.kr/link?id=S11645053" TargetMode="External"/><Relationship Id="rId820" Type="http://schemas.openxmlformats.org/officeDocument/2006/relationships/hyperlink" Target="http://www.riss.kr/link?id=S27654" TargetMode="External"/><Relationship Id="rId918" Type="http://schemas.openxmlformats.org/officeDocument/2006/relationships/hyperlink" Target="http://www.riss.kr/link?id=S49446" TargetMode="External"/><Relationship Id="rId252" Type="http://schemas.openxmlformats.org/officeDocument/2006/relationships/hyperlink" Target="http://www.riss.kr/link?id=S17525" TargetMode="External"/><Relationship Id="rId47" Type="http://schemas.openxmlformats.org/officeDocument/2006/relationships/hyperlink" Target="http://www.riss.kr/link?id=S16589" TargetMode="External"/><Relationship Id="rId112" Type="http://schemas.openxmlformats.org/officeDocument/2006/relationships/hyperlink" Target="http://www.riss.kr/link?id=S17150" TargetMode="External"/><Relationship Id="rId557" Type="http://schemas.openxmlformats.org/officeDocument/2006/relationships/hyperlink" Target="http://www.riss.kr/link?id=S414260" TargetMode="External"/><Relationship Id="rId764" Type="http://schemas.openxmlformats.org/officeDocument/2006/relationships/hyperlink" Target="http://www.riss.kr/link?id=S21137" TargetMode="External"/><Relationship Id="rId971" Type="http://schemas.openxmlformats.org/officeDocument/2006/relationships/hyperlink" Target="http://www.riss.kr/link?id=S20069318" TargetMode="External"/><Relationship Id="rId196" Type="http://schemas.openxmlformats.org/officeDocument/2006/relationships/hyperlink" Target="http://www.riss.kr/link?id=S14891" TargetMode="External"/><Relationship Id="rId417" Type="http://schemas.openxmlformats.org/officeDocument/2006/relationships/hyperlink" Target="http://www.riss.kr/link?id=S85287" TargetMode="External"/><Relationship Id="rId624" Type="http://schemas.openxmlformats.org/officeDocument/2006/relationships/hyperlink" Target="http://www.riss.kr/link?id=S12821" TargetMode="External"/><Relationship Id="rId831" Type="http://schemas.openxmlformats.org/officeDocument/2006/relationships/hyperlink" Target="http://www.riss.kr/link?id=S48399" TargetMode="External"/><Relationship Id="rId263" Type="http://schemas.openxmlformats.org/officeDocument/2006/relationships/hyperlink" Target="http://www.riss.kr/link?id=S30006261" TargetMode="External"/><Relationship Id="rId470" Type="http://schemas.openxmlformats.org/officeDocument/2006/relationships/hyperlink" Target="http://www.riss.kr/link?id=S28149" TargetMode="External"/><Relationship Id="rId929" Type="http://schemas.openxmlformats.org/officeDocument/2006/relationships/hyperlink" Target="http://www.riss.kr/link?id=S60986" TargetMode="External"/><Relationship Id="rId58" Type="http://schemas.openxmlformats.org/officeDocument/2006/relationships/hyperlink" Target="http://www.riss.kr/link?id=S16306" TargetMode="External"/><Relationship Id="rId123" Type="http://schemas.openxmlformats.org/officeDocument/2006/relationships/hyperlink" Target="http://www.riss.kr/link?id=S416801" TargetMode="External"/><Relationship Id="rId330" Type="http://schemas.openxmlformats.org/officeDocument/2006/relationships/hyperlink" Target="http://www.riss.kr/link?id=S61261" TargetMode="External"/><Relationship Id="rId568" Type="http://schemas.openxmlformats.org/officeDocument/2006/relationships/hyperlink" Target="http://www.riss.kr/link?id=S403127" TargetMode="External"/><Relationship Id="rId775" Type="http://schemas.openxmlformats.org/officeDocument/2006/relationships/hyperlink" Target="http://www.riss.kr/link?id=S24498" TargetMode="External"/><Relationship Id="rId428" Type="http://schemas.openxmlformats.org/officeDocument/2006/relationships/hyperlink" Target="http://www.riss.kr/link?id=S403288" TargetMode="External"/><Relationship Id="rId635" Type="http://schemas.openxmlformats.org/officeDocument/2006/relationships/hyperlink" Target="http://www.riss.kr/link?id=S31002774" TargetMode="External"/><Relationship Id="rId842" Type="http://schemas.openxmlformats.org/officeDocument/2006/relationships/hyperlink" Target="http://www.riss.kr/link?id=S60896" TargetMode="External"/><Relationship Id="rId274" Type="http://schemas.openxmlformats.org/officeDocument/2006/relationships/hyperlink" Target="http://www.riss.kr/link?id=S14551" TargetMode="External"/><Relationship Id="rId481" Type="http://schemas.openxmlformats.org/officeDocument/2006/relationships/hyperlink" Target="http://www.riss.kr/link?id=S18154" TargetMode="External"/><Relationship Id="rId702" Type="http://schemas.openxmlformats.org/officeDocument/2006/relationships/hyperlink" Target="http://www.riss.kr/link?id=S11574145" TargetMode="External"/><Relationship Id="rId69" Type="http://schemas.openxmlformats.org/officeDocument/2006/relationships/hyperlink" Target="http://www.riss.kr/link?id=S407021" TargetMode="External"/><Relationship Id="rId134" Type="http://schemas.openxmlformats.org/officeDocument/2006/relationships/hyperlink" Target="http://www.riss.kr/link?id=S16729" TargetMode="External"/><Relationship Id="rId579" Type="http://schemas.openxmlformats.org/officeDocument/2006/relationships/hyperlink" Target="http://www.riss.kr/link?id=S5799" TargetMode="External"/><Relationship Id="rId786" Type="http://schemas.openxmlformats.org/officeDocument/2006/relationships/hyperlink" Target="http://www.riss.kr/link?id=S20095138" TargetMode="External"/><Relationship Id="rId341" Type="http://schemas.openxmlformats.org/officeDocument/2006/relationships/hyperlink" Target="http://www.riss.kr/link?id=S15021" TargetMode="External"/><Relationship Id="rId439" Type="http://schemas.openxmlformats.org/officeDocument/2006/relationships/hyperlink" Target="http://www.riss.kr/link?id=S48296" TargetMode="External"/><Relationship Id="rId646" Type="http://schemas.openxmlformats.org/officeDocument/2006/relationships/hyperlink" Target="http://www.riss.kr/link?id=S408997" TargetMode="External"/><Relationship Id="rId201" Type="http://schemas.openxmlformats.org/officeDocument/2006/relationships/hyperlink" Target="http://www.riss.kr/link?id=S405428" TargetMode="External"/><Relationship Id="rId285" Type="http://schemas.openxmlformats.org/officeDocument/2006/relationships/hyperlink" Target="http://www.riss.kr/link?id=S31019599" TargetMode="External"/><Relationship Id="rId506" Type="http://schemas.openxmlformats.org/officeDocument/2006/relationships/hyperlink" Target="http://www.riss.kr/link?id=S22129" TargetMode="External"/><Relationship Id="rId853" Type="http://schemas.openxmlformats.org/officeDocument/2006/relationships/hyperlink" Target="http://www.riss.kr/link?id=S78202" TargetMode="External"/><Relationship Id="rId492" Type="http://schemas.openxmlformats.org/officeDocument/2006/relationships/hyperlink" Target="http://www.riss.kr/link?id=S50057" TargetMode="External"/><Relationship Id="rId713" Type="http://schemas.openxmlformats.org/officeDocument/2006/relationships/hyperlink" Target="http://www.riss.kr/link?id=S17168" TargetMode="External"/><Relationship Id="rId797" Type="http://schemas.openxmlformats.org/officeDocument/2006/relationships/hyperlink" Target="http://www.riss.kr/link?id=S108985" TargetMode="External"/><Relationship Id="rId920" Type="http://schemas.openxmlformats.org/officeDocument/2006/relationships/hyperlink" Target="http://www.riss.kr/link?id=S38258" TargetMode="External"/><Relationship Id="rId145" Type="http://schemas.openxmlformats.org/officeDocument/2006/relationships/hyperlink" Target="http://www.riss.kr/link?id=S17067" TargetMode="External"/><Relationship Id="rId352" Type="http://schemas.openxmlformats.org/officeDocument/2006/relationships/hyperlink" Target="http://www.riss.kr/link?id=S404893" TargetMode="External"/><Relationship Id="rId212" Type="http://schemas.openxmlformats.org/officeDocument/2006/relationships/hyperlink" Target="http://www.riss.kr/link?id=S15630" TargetMode="External"/><Relationship Id="rId657" Type="http://schemas.openxmlformats.org/officeDocument/2006/relationships/hyperlink" Target="http://www.riss.kr/link?id=S103626" TargetMode="External"/><Relationship Id="rId864" Type="http://schemas.openxmlformats.org/officeDocument/2006/relationships/hyperlink" Target="http://www.riss.kr/link?id=S36958" TargetMode="External"/><Relationship Id="rId296" Type="http://schemas.openxmlformats.org/officeDocument/2006/relationships/hyperlink" Target="http://www.riss.kr/link?id=S410059" TargetMode="External"/><Relationship Id="rId517" Type="http://schemas.openxmlformats.org/officeDocument/2006/relationships/hyperlink" Target="http://www.riss.kr/link?id=S20010548" TargetMode="External"/><Relationship Id="rId724" Type="http://schemas.openxmlformats.org/officeDocument/2006/relationships/hyperlink" Target="http://www.riss.kr/link?id=S17539" TargetMode="External"/><Relationship Id="rId931" Type="http://schemas.openxmlformats.org/officeDocument/2006/relationships/hyperlink" Target="http://www.riss.kr/link?id=S416813" TargetMode="External"/><Relationship Id="rId60" Type="http://schemas.openxmlformats.org/officeDocument/2006/relationships/hyperlink" Target="http://www.riss.kr/link?id=S45403" TargetMode="External"/><Relationship Id="rId156" Type="http://schemas.openxmlformats.org/officeDocument/2006/relationships/hyperlink" Target="http://www.riss.kr/link?id=S19535" TargetMode="External"/><Relationship Id="rId363" Type="http://schemas.openxmlformats.org/officeDocument/2006/relationships/hyperlink" Target="http://www.riss.kr/link?id=S13168" TargetMode="External"/><Relationship Id="rId570" Type="http://schemas.openxmlformats.org/officeDocument/2006/relationships/hyperlink" Target="http://www.riss.kr/link?id=S24337" TargetMode="External"/><Relationship Id="rId223" Type="http://schemas.openxmlformats.org/officeDocument/2006/relationships/hyperlink" Target="http://www.riss.kr/link?id=S11575031" TargetMode="External"/><Relationship Id="rId430" Type="http://schemas.openxmlformats.org/officeDocument/2006/relationships/hyperlink" Target="http://www.riss.kr/link?id=S90000827" TargetMode="External"/><Relationship Id="rId668" Type="http://schemas.openxmlformats.org/officeDocument/2006/relationships/hyperlink" Target="http://www.riss.kr/link?id=S20067228" TargetMode="External"/><Relationship Id="rId875" Type="http://schemas.openxmlformats.org/officeDocument/2006/relationships/hyperlink" Target="http://www.riss.kr/link?id=S104199" TargetMode="External"/><Relationship Id="rId18" Type="http://schemas.openxmlformats.org/officeDocument/2006/relationships/hyperlink" Target="http://www.riss.kr/link?id=S90500" TargetMode="External"/><Relationship Id="rId528" Type="http://schemas.openxmlformats.org/officeDocument/2006/relationships/hyperlink" Target="http://www.riss.kr/link?id=S405098" TargetMode="External"/><Relationship Id="rId735" Type="http://schemas.openxmlformats.org/officeDocument/2006/relationships/hyperlink" Target="http://www.riss.kr/link?id=S16656" TargetMode="External"/><Relationship Id="rId942" Type="http://schemas.openxmlformats.org/officeDocument/2006/relationships/hyperlink" Target="http://www.riss.kr/link?id=S27656" TargetMode="External"/><Relationship Id="rId167" Type="http://schemas.openxmlformats.org/officeDocument/2006/relationships/hyperlink" Target="http://www.riss.kr/link?id=S57882" TargetMode="External"/><Relationship Id="rId374" Type="http://schemas.openxmlformats.org/officeDocument/2006/relationships/hyperlink" Target="http://www.riss.kr/link?id=S20212" TargetMode="External"/><Relationship Id="rId581" Type="http://schemas.openxmlformats.org/officeDocument/2006/relationships/hyperlink" Target="http://www.riss.kr/link?id=S13269" TargetMode="External"/><Relationship Id="rId71" Type="http://schemas.openxmlformats.org/officeDocument/2006/relationships/hyperlink" Target="http://www.riss.kr/link?id=S23637" TargetMode="External"/><Relationship Id="rId234" Type="http://schemas.openxmlformats.org/officeDocument/2006/relationships/hyperlink" Target="http://www.riss.kr/link?id=S11574028" TargetMode="External"/><Relationship Id="rId679" Type="http://schemas.openxmlformats.org/officeDocument/2006/relationships/hyperlink" Target="http://www.riss.kr/link?id=S402361" TargetMode="External"/><Relationship Id="rId802" Type="http://schemas.openxmlformats.org/officeDocument/2006/relationships/hyperlink" Target="http://www.riss.kr/link?id=S87980" TargetMode="External"/><Relationship Id="rId886" Type="http://schemas.openxmlformats.org/officeDocument/2006/relationships/hyperlink" Target="http://www.riss.kr/link?id=S80194" TargetMode="External"/><Relationship Id="rId2" Type="http://schemas.openxmlformats.org/officeDocument/2006/relationships/hyperlink" Target="http://www.riss.kr/link?id=S16981" TargetMode="External"/><Relationship Id="rId29" Type="http://schemas.openxmlformats.org/officeDocument/2006/relationships/hyperlink" Target="http://www.riss.kr/link?id=S16319" TargetMode="External"/><Relationship Id="rId441" Type="http://schemas.openxmlformats.org/officeDocument/2006/relationships/hyperlink" Target="http://www.riss.kr/link?id=S16049" TargetMode="External"/><Relationship Id="rId539" Type="http://schemas.openxmlformats.org/officeDocument/2006/relationships/hyperlink" Target="http://www.riss.kr/link?id=S49062" TargetMode="External"/><Relationship Id="rId746" Type="http://schemas.openxmlformats.org/officeDocument/2006/relationships/hyperlink" Target="http://www.riss.kr/link?id=S12296" TargetMode="External"/><Relationship Id="rId178" Type="http://schemas.openxmlformats.org/officeDocument/2006/relationships/hyperlink" Target="http://www.riss.kr/link?id=S14879" TargetMode="External"/><Relationship Id="rId301" Type="http://schemas.openxmlformats.org/officeDocument/2006/relationships/hyperlink" Target="http://www.riss.kr/link?id=S28236" TargetMode="External"/><Relationship Id="rId953" Type="http://schemas.openxmlformats.org/officeDocument/2006/relationships/hyperlink" Target="http://www.riss.kr/link?id=S104124" TargetMode="External"/><Relationship Id="rId82" Type="http://schemas.openxmlformats.org/officeDocument/2006/relationships/hyperlink" Target="http://www.riss.kr/link?id=S112893" TargetMode="External"/><Relationship Id="rId385" Type="http://schemas.openxmlformats.org/officeDocument/2006/relationships/hyperlink" Target="http://www.riss.kr/link?id=S103340" TargetMode="External"/><Relationship Id="rId592" Type="http://schemas.openxmlformats.org/officeDocument/2006/relationships/hyperlink" Target="http://www.riss.kr/link?id=S5090" TargetMode="External"/><Relationship Id="rId606" Type="http://schemas.openxmlformats.org/officeDocument/2006/relationships/hyperlink" Target="http://www.riss.kr/link?id=S31000857" TargetMode="External"/><Relationship Id="rId813" Type="http://schemas.openxmlformats.org/officeDocument/2006/relationships/hyperlink" Target="http://www.riss.kr/link?id=S41124" TargetMode="External"/><Relationship Id="rId245" Type="http://schemas.openxmlformats.org/officeDocument/2006/relationships/hyperlink" Target="http://www.riss.kr/link?id=S31016059" TargetMode="External"/><Relationship Id="rId452" Type="http://schemas.openxmlformats.org/officeDocument/2006/relationships/hyperlink" Target="http://www.riss.kr/link?id=S14875" TargetMode="External"/><Relationship Id="rId897" Type="http://schemas.openxmlformats.org/officeDocument/2006/relationships/hyperlink" Target="http://www.riss.kr/link?id=S60895" TargetMode="External"/><Relationship Id="rId105" Type="http://schemas.openxmlformats.org/officeDocument/2006/relationships/hyperlink" Target="http://www.riss.kr/link?id=S24636" TargetMode="External"/><Relationship Id="rId312" Type="http://schemas.openxmlformats.org/officeDocument/2006/relationships/hyperlink" Target="http://www.riss.kr/link?id=S11584132" TargetMode="External"/><Relationship Id="rId757" Type="http://schemas.openxmlformats.org/officeDocument/2006/relationships/hyperlink" Target="http://www.riss.kr/link?id=S97926" TargetMode="External"/><Relationship Id="rId964" Type="http://schemas.openxmlformats.org/officeDocument/2006/relationships/hyperlink" Target="http://www.riss.kr/link?id=S104177" TargetMode="External"/><Relationship Id="rId93" Type="http://schemas.openxmlformats.org/officeDocument/2006/relationships/hyperlink" Target="http://www.riss.kr/link?id=S60409" TargetMode="External"/><Relationship Id="rId189" Type="http://schemas.openxmlformats.org/officeDocument/2006/relationships/hyperlink" Target="http://www.riss.kr/link?id=S13463" TargetMode="External"/><Relationship Id="rId396" Type="http://schemas.openxmlformats.org/officeDocument/2006/relationships/hyperlink" Target="http://www.riss.kr/link?id=S20013675" TargetMode="External"/><Relationship Id="rId617" Type="http://schemas.openxmlformats.org/officeDocument/2006/relationships/hyperlink" Target="http://www.riss.kr/link?id=S21812" TargetMode="External"/><Relationship Id="rId824" Type="http://schemas.openxmlformats.org/officeDocument/2006/relationships/hyperlink" Target="http://www.riss.kr/link?id=S48402" TargetMode="External"/><Relationship Id="rId256" Type="http://schemas.openxmlformats.org/officeDocument/2006/relationships/hyperlink" Target="http://www.riss.kr/link?id=S411436" TargetMode="External"/><Relationship Id="rId463" Type="http://schemas.openxmlformats.org/officeDocument/2006/relationships/hyperlink" Target="http://www.riss.kr/link?id=S15596" TargetMode="External"/><Relationship Id="rId670" Type="http://schemas.openxmlformats.org/officeDocument/2006/relationships/hyperlink" Target="http://www.riss.kr/link?id=S20012913" TargetMode="External"/><Relationship Id="rId116" Type="http://schemas.openxmlformats.org/officeDocument/2006/relationships/hyperlink" Target="http://www.riss.kr/link?id=S16735" TargetMode="External"/><Relationship Id="rId323" Type="http://schemas.openxmlformats.org/officeDocument/2006/relationships/hyperlink" Target="http://www.riss.kr/link?id=S24433" TargetMode="External"/><Relationship Id="rId530" Type="http://schemas.openxmlformats.org/officeDocument/2006/relationships/hyperlink" Target="http://www.riss.kr/link?id=S414541" TargetMode="External"/><Relationship Id="rId768" Type="http://schemas.openxmlformats.org/officeDocument/2006/relationships/hyperlink" Target="http://www.riss.kr/link?id=S15780" TargetMode="External"/><Relationship Id="rId975" Type="http://schemas.openxmlformats.org/officeDocument/2006/relationships/hyperlink" Target="http://www.riss.kr/link?id=S60985" TargetMode="External"/><Relationship Id="rId20" Type="http://schemas.openxmlformats.org/officeDocument/2006/relationships/hyperlink" Target="http://www.riss.kr/link?id=S90021094" TargetMode="External"/><Relationship Id="rId628" Type="http://schemas.openxmlformats.org/officeDocument/2006/relationships/hyperlink" Target="http://www.riss.kr/link?id=S402100" TargetMode="External"/><Relationship Id="rId835" Type="http://schemas.openxmlformats.org/officeDocument/2006/relationships/hyperlink" Target="http://www.riss.kr/link?id=S45160" TargetMode="External"/><Relationship Id="rId267" Type="http://schemas.openxmlformats.org/officeDocument/2006/relationships/hyperlink" Target="http://www.riss.kr/link?id=S64816" TargetMode="External"/><Relationship Id="rId474" Type="http://schemas.openxmlformats.org/officeDocument/2006/relationships/hyperlink" Target="http://www.riss.kr/link?id=S16027" TargetMode="External"/><Relationship Id="rId127" Type="http://schemas.openxmlformats.org/officeDocument/2006/relationships/hyperlink" Target="http://www.riss.kr/link?id=S5004" TargetMode="External"/><Relationship Id="rId681" Type="http://schemas.openxmlformats.org/officeDocument/2006/relationships/hyperlink" Target="http://www.riss.kr/link?id=S15236" TargetMode="External"/><Relationship Id="rId779" Type="http://schemas.openxmlformats.org/officeDocument/2006/relationships/hyperlink" Target="http://www.riss.kr/link?id=S115392" TargetMode="External"/><Relationship Id="rId902" Type="http://schemas.openxmlformats.org/officeDocument/2006/relationships/hyperlink" Target="http://www.riss.kr/link?id=S19819" TargetMode="External"/><Relationship Id="rId31" Type="http://schemas.openxmlformats.org/officeDocument/2006/relationships/hyperlink" Target="http://www.riss.kr/link?id=S29073" TargetMode="External"/><Relationship Id="rId334" Type="http://schemas.openxmlformats.org/officeDocument/2006/relationships/hyperlink" Target="http://www.riss.kr/link?id=S30007669" TargetMode="External"/><Relationship Id="rId541" Type="http://schemas.openxmlformats.org/officeDocument/2006/relationships/hyperlink" Target="http://www.riss.kr/link?id=S90009813" TargetMode="External"/><Relationship Id="rId639" Type="http://schemas.openxmlformats.org/officeDocument/2006/relationships/hyperlink" Target="http://www.riss.kr/link?id=S91311" TargetMode="External"/><Relationship Id="rId180" Type="http://schemas.openxmlformats.org/officeDocument/2006/relationships/hyperlink" Target="http://www.riss.kr/link?id=S15001" TargetMode="External"/><Relationship Id="rId278" Type="http://schemas.openxmlformats.org/officeDocument/2006/relationships/hyperlink" Target="http://www.riss.kr/link?id=S410183" TargetMode="External"/><Relationship Id="rId401" Type="http://schemas.openxmlformats.org/officeDocument/2006/relationships/hyperlink" Target="http://www.riss.kr/link?id=S403985" TargetMode="External"/><Relationship Id="rId846" Type="http://schemas.openxmlformats.org/officeDocument/2006/relationships/hyperlink" Target="http://www.riss.kr/link?id=S416895" TargetMode="External"/><Relationship Id="rId485" Type="http://schemas.openxmlformats.org/officeDocument/2006/relationships/hyperlink" Target="http://www.riss.kr/link?id=S16895" TargetMode="External"/><Relationship Id="rId692" Type="http://schemas.openxmlformats.org/officeDocument/2006/relationships/hyperlink" Target="http://www.riss.kr/link?id=S407287" TargetMode="External"/><Relationship Id="rId706" Type="http://schemas.openxmlformats.org/officeDocument/2006/relationships/hyperlink" Target="http://www.riss.kr/link?id=S15907" TargetMode="External"/><Relationship Id="rId913" Type="http://schemas.openxmlformats.org/officeDocument/2006/relationships/hyperlink" Target="http://www.riss.kr/link?id=S417133" TargetMode="External"/><Relationship Id="rId42" Type="http://schemas.openxmlformats.org/officeDocument/2006/relationships/hyperlink" Target="http://www.riss.kr/link?id=S11587025" TargetMode="External"/><Relationship Id="rId138" Type="http://schemas.openxmlformats.org/officeDocument/2006/relationships/hyperlink" Target="http://www.riss.kr/link?id=S416689" TargetMode="External"/><Relationship Id="rId345" Type="http://schemas.openxmlformats.org/officeDocument/2006/relationships/hyperlink" Target="http://www.riss.kr/link?id=S12876" TargetMode="External"/><Relationship Id="rId552" Type="http://schemas.openxmlformats.org/officeDocument/2006/relationships/hyperlink" Target="http://www.riss.kr/link?id=S410619" TargetMode="External"/><Relationship Id="rId191" Type="http://schemas.openxmlformats.org/officeDocument/2006/relationships/hyperlink" Target="http://www.riss.kr/link?id=S16220" TargetMode="External"/><Relationship Id="rId205" Type="http://schemas.openxmlformats.org/officeDocument/2006/relationships/hyperlink" Target="http://www.riss.kr/link?id=S14978" TargetMode="External"/><Relationship Id="rId412" Type="http://schemas.openxmlformats.org/officeDocument/2006/relationships/hyperlink" Target="http://www.riss.kr/link?id=S13468" TargetMode="External"/><Relationship Id="rId857" Type="http://schemas.openxmlformats.org/officeDocument/2006/relationships/hyperlink" Target="http://www.riss.kr/link?id=S115750" TargetMode="External"/><Relationship Id="rId289" Type="http://schemas.openxmlformats.org/officeDocument/2006/relationships/hyperlink" Target="http://www.riss.kr/link?id=S60845" TargetMode="External"/><Relationship Id="rId496" Type="http://schemas.openxmlformats.org/officeDocument/2006/relationships/hyperlink" Target="http://www.riss.kr/link?id=S16019" TargetMode="External"/><Relationship Id="rId717" Type="http://schemas.openxmlformats.org/officeDocument/2006/relationships/hyperlink" Target="http://www.riss.kr/link?id=S22287" TargetMode="External"/><Relationship Id="rId924" Type="http://schemas.openxmlformats.org/officeDocument/2006/relationships/hyperlink" Target="http://www.riss.kr/link?id=S417126" TargetMode="External"/><Relationship Id="rId53" Type="http://schemas.openxmlformats.org/officeDocument/2006/relationships/hyperlink" Target="http://www.riss.kr/link?id=S11640488" TargetMode="External"/><Relationship Id="rId149" Type="http://schemas.openxmlformats.org/officeDocument/2006/relationships/hyperlink" Target="http://www.riss.kr/link?id=S17549" TargetMode="External"/><Relationship Id="rId356" Type="http://schemas.openxmlformats.org/officeDocument/2006/relationships/hyperlink" Target="http://www.riss.kr/link?id=S14353" TargetMode="External"/><Relationship Id="rId563" Type="http://schemas.openxmlformats.org/officeDocument/2006/relationships/hyperlink" Target="http://www.riss.kr/link?id=S20345" TargetMode="External"/><Relationship Id="rId770" Type="http://schemas.openxmlformats.org/officeDocument/2006/relationships/hyperlink" Target="http://www.riss.kr/link?id=S416102" TargetMode="External"/><Relationship Id="rId216" Type="http://schemas.openxmlformats.org/officeDocument/2006/relationships/hyperlink" Target="http://www.riss.kr/link?id=S36561" TargetMode="External"/><Relationship Id="rId423" Type="http://schemas.openxmlformats.org/officeDocument/2006/relationships/hyperlink" Target="http://www.riss.kr/link?id=S16063" TargetMode="External"/><Relationship Id="rId868" Type="http://schemas.openxmlformats.org/officeDocument/2006/relationships/hyperlink" Target="http://www.riss.kr/link?id=S6194" TargetMode="External"/><Relationship Id="rId630" Type="http://schemas.openxmlformats.org/officeDocument/2006/relationships/hyperlink" Target="http://www.riss.kr/link?id=S31015676" TargetMode="External"/><Relationship Id="rId728" Type="http://schemas.openxmlformats.org/officeDocument/2006/relationships/hyperlink" Target="http://www.riss.kr/link?id=S415890" TargetMode="External"/><Relationship Id="rId935" Type="http://schemas.openxmlformats.org/officeDocument/2006/relationships/hyperlink" Target="http://www.riss.kr/link?id=S35910" TargetMode="External"/><Relationship Id="rId64" Type="http://schemas.openxmlformats.org/officeDocument/2006/relationships/hyperlink" Target="http://www.riss.kr/link?id=S29226" TargetMode="External"/><Relationship Id="rId367" Type="http://schemas.openxmlformats.org/officeDocument/2006/relationships/hyperlink" Target="http://www.riss.kr/link?id=S416697" TargetMode="External"/><Relationship Id="rId574" Type="http://schemas.openxmlformats.org/officeDocument/2006/relationships/hyperlink" Target="http://www.riss.kr/link?id=S12901" TargetMode="External"/><Relationship Id="rId227" Type="http://schemas.openxmlformats.org/officeDocument/2006/relationships/hyperlink" Target="http://www.riss.kr/link?id=S48034" TargetMode="External"/><Relationship Id="rId781" Type="http://schemas.openxmlformats.org/officeDocument/2006/relationships/hyperlink" Target="http://www.riss.kr/link?id=S24586" TargetMode="External"/><Relationship Id="rId879" Type="http://schemas.openxmlformats.org/officeDocument/2006/relationships/hyperlink" Target="http://www.riss.kr/link?id=S20084641" TargetMode="External"/><Relationship Id="rId434" Type="http://schemas.openxmlformats.org/officeDocument/2006/relationships/hyperlink" Target="http://www.riss.kr/link?id=S12745" TargetMode="External"/><Relationship Id="rId641" Type="http://schemas.openxmlformats.org/officeDocument/2006/relationships/hyperlink" Target="http://www.riss.kr/link?id=S15519" TargetMode="External"/><Relationship Id="rId739" Type="http://schemas.openxmlformats.org/officeDocument/2006/relationships/hyperlink" Target="http://www.riss.kr/link?id=S15785" TargetMode="External"/><Relationship Id="rId280" Type="http://schemas.openxmlformats.org/officeDocument/2006/relationships/hyperlink" Target="http://www.riss.kr/link?id=S31010133" TargetMode="External"/><Relationship Id="rId501" Type="http://schemas.openxmlformats.org/officeDocument/2006/relationships/hyperlink" Target="http://www.riss.kr/link?id=S71144" TargetMode="External"/><Relationship Id="rId946" Type="http://schemas.openxmlformats.org/officeDocument/2006/relationships/hyperlink" Target="http://www.riss.kr/link?id=S116014" TargetMode="External"/><Relationship Id="rId75" Type="http://schemas.openxmlformats.org/officeDocument/2006/relationships/hyperlink" Target="http://www.riss.kr/link?id=S410895" TargetMode="External"/><Relationship Id="rId140" Type="http://schemas.openxmlformats.org/officeDocument/2006/relationships/hyperlink" Target="http://www.riss.kr/link?id=S16969" TargetMode="External"/><Relationship Id="rId378" Type="http://schemas.openxmlformats.org/officeDocument/2006/relationships/hyperlink" Target="http://www.riss.kr/link?id=S61275" TargetMode="External"/><Relationship Id="rId585" Type="http://schemas.openxmlformats.org/officeDocument/2006/relationships/hyperlink" Target="http://www.riss.kr/link?id=S17042" TargetMode="External"/><Relationship Id="rId792" Type="http://schemas.openxmlformats.org/officeDocument/2006/relationships/hyperlink" Target="http://www.riss.kr/link?id=S20190" TargetMode="External"/><Relationship Id="rId806" Type="http://schemas.openxmlformats.org/officeDocument/2006/relationships/hyperlink" Target="http://www.riss.kr/link?id=S64125" TargetMode="External"/><Relationship Id="rId6" Type="http://schemas.openxmlformats.org/officeDocument/2006/relationships/hyperlink" Target="http://www.riss.kr/link?id=S11597824" TargetMode="External"/><Relationship Id="rId238" Type="http://schemas.openxmlformats.org/officeDocument/2006/relationships/hyperlink" Target="http://www.riss.kr/link?id=S21270" TargetMode="External"/><Relationship Id="rId445" Type="http://schemas.openxmlformats.org/officeDocument/2006/relationships/hyperlink" Target="http://www.riss.kr/link?id=S10522" TargetMode="External"/><Relationship Id="rId652" Type="http://schemas.openxmlformats.org/officeDocument/2006/relationships/hyperlink" Target="http://www.riss.kr/link?id=S11574962" TargetMode="External"/><Relationship Id="rId291" Type="http://schemas.openxmlformats.org/officeDocument/2006/relationships/hyperlink" Target="http://www.riss.kr/link?id=S16091" TargetMode="External"/><Relationship Id="rId305" Type="http://schemas.openxmlformats.org/officeDocument/2006/relationships/hyperlink" Target="http://www.riss.kr/link?id=S45402" TargetMode="External"/><Relationship Id="rId512" Type="http://schemas.openxmlformats.org/officeDocument/2006/relationships/hyperlink" Target="http://www.riss.kr/link?id=S418638" TargetMode="External"/><Relationship Id="rId957" Type="http://schemas.openxmlformats.org/officeDocument/2006/relationships/hyperlink" Target="http://www.riss.kr/link?id=S104127" TargetMode="External"/><Relationship Id="rId86" Type="http://schemas.openxmlformats.org/officeDocument/2006/relationships/hyperlink" Target="http://www.riss.kr/link?id=S20703" TargetMode="External"/><Relationship Id="rId151" Type="http://schemas.openxmlformats.org/officeDocument/2006/relationships/hyperlink" Target="http://www.riss.kr/link?id=S418984" TargetMode="External"/><Relationship Id="rId389" Type="http://schemas.openxmlformats.org/officeDocument/2006/relationships/hyperlink" Target="http://www.riss.kr/link?id=S90023890" TargetMode="External"/><Relationship Id="rId596" Type="http://schemas.openxmlformats.org/officeDocument/2006/relationships/hyperlink" Target="http://www.riss.kr/link?id=S103490" TargetMode="External"/><Relationship Id="rId817" Type="http://schemas.openxmlformats.org/officeDocument/2006/relationships/hyperlink" Target="http://www.riss.kr/link?id=S36945" TargetMode="External"/><Relationship Id="rId249" Type="http://schemas.openxmlformats.org/officeDocument/2006/relationships/hyperlink" Target="http://www.riss.kr/link?id=S103354" TargetMode="External"/><Relationship Id="rId456" Type="http://schemas.openxmlformats.org/officeDocument/2006/relationships/hyperlink" Target="http://www.riss.kr/link?id=S58111" TargetMode="External"/><Relationship Id="rId663" Type="http://schemas.openxmlformats.org/officeDocument/2006/relationships/hyperlink" Target="http://www.riss.kr/link?id=S11575494" TargetMode="External"/><Relationship Id="rId870" Type="http://schemas.openxmlformats.org/officeDocument/2006/relationships/hyperlink" Target="http://www.riss.kr/link?id=S85462" TargetMode="External"/><Relationship Id="rId13" Type="http://schemas.openxmlformats.org/officeDocument/2006/relationships/hyperlink" Target="http://www.riss.kr/link?id=S30006959" TargetMode="External"/><Relationship Id="rId109" Type="http://schemas.openxmlformats.org/officeDocument/2006/relationships/hyperlink" Target="http://www.riss.kr/link?id=S417040" TargetMode="External"/><Relationship Id="rId316" Type="http://schemas.openxmlformats.org/officeDocument/2006/relationships/hyperlink" Target="http://www.riss.kr/link?id=S417119" TargetMode="External"/><Relationship Id="rId523" Type="http://schemas.openxmlformats.org/officeDocument/2006/relationships/hyperlink" Target="http://www.riss.kr/link?id=S115382" TargetMode="External"/><Relationship Id="rId968" Type="http://schemas.openxmlformats.org/officeDocument/2006/relationships/hyperlink" Target="http://www.riss.kr/link?id=S60888" TargetMode="External"/><Relationship Id="rId97" Type="http://schemas.openxmlformats.org/officeDocument/2006/relationships/hyperlink" Target="http://www.riss.kr/link?id=S13000" TargetMode="External"/><Relationship Id="rId730" Type="http://schemas.openxmlformats.org/officeDocument/2006/relationships/hyperlink" Target="http://www.riss.kr/link?id=S20015069" TargetMode="External"/><Relationship Id="rId828" Type="http://schemas.openxmlformats.org/officeDocument/2006/relationships/hyperlink" Target="http://www.riss.kr/link?id=S20068215" TargetMode="External"/><Relationship Id="rId162" Type="http://schemas.openxmlformats.org/officeDocument/2006/relationships/hyperlink" Target="http://www.riss.kr/link?id=S410926" TargetMode="External"/><Relationship Id="rId467" Type="http://schemas.openxmlformats.org/officeDocument/2006/relationships/hyperlink" Target="http://www.riss.kr/link?id=S17257" TargetMode="External"/><Relationship Id="rId674" Type="http://schemas.openxmlformats.org/officeDocument/2006/relationships/hyperlink" Target="http://www.riss.kr/link?id=S415705" TargetMode="External"/><Relationship Id="rId881" Type="http://schemas.openxmlformats.org/officeDocument/2006/relationships/hyperlink" Target="http://www.riss.kr/link?id=S60960" TargetMode="External"/><Relationship Id="rId979" Type="http://schemas.openxmlformats.org/officeDocument/2006/relationships/hyperlink" Target="http://www.riss.kr/link?id=S40112" TargetMode="External"/><Relationship Id="rId24" Type="http://schemas.openxmlformats.org/officeDocument/2006/relationships/hyperlink" Target="http://www.riss.kr/link?id=S143756" TargetMode="External"/><Relationship Id="rId327" Type="http://schemas.openxmlformats.org/officeDocument/2006/relationships/hyperlink" Target="http://www.riss.kr/link?id=S14962" TargetMode="External"/><Relationship Id="rId534" Type="http://schemas.openxmlformats.org/officeDocument/2006/relationships/hyperlink" Target="http://www.riss.kr/link?id=S85996" TargetMode="External"/><Relationship Id="rId741" Type="http://schemas.openxmlformats.org/officeDocument/2006/relationships/hyperlink" Target="http://www.riss.kr/link?id=S12402" TargetMode="External"/><Relationship Id="rId839" Type="http://schemas.openxmlformats.org/officeDocument/2006/relationships/hyperlink" Target="http://www.riss.kr/link?id=S25096" TargetMode="External"/><Relationship Id="rId173" Type="http://schemas.openxmlformats.org/officeDocument/2006/relationships/hyperlink" Target="http://www.riss.kr/link?id=S115376" TargetMode="External"/><Relationship Id="rId380" Type="http://schemas.openxmlformats.org/officeDocument/2006/relationships/hyperlink" Target="http://www.riss.kr/link?id=S103752" TargetMode="External"/><Relationship Id="rId601" Type="http://schemas.openxmlformats.org/officeDocument/2006/relationships/hyperlink" Target="http://www.riss.kr/link?id=S15959" TargetMode="External"/><Relationship Id="rId240" Type="http://schemas.openxmlformats.org/officeDocument/2006/relationships/hyperlink" Target="http://www.riss.kr/link?id=S16189" TargetMode="External"/><Relationship Id="rId478" Type="http://schemas.openxmlformats.org/officeDocument/2006/relationships/hyperlink" Target="http://www.riss.kr/link?id=S43758" TargetMode="External"/><Relationship Id="rId685" Type="http://schemas.openxmlformats.org/officeDocument/2006/relationships/hyperlink" Target="http://www.riss.kr/link?id=S11640555" TargetMode="External"/><Relationship Id="rId892" Type="http://schemas.openxmlformats.org/officeDocument/2006/relationships/hyperlink" Target="http://www.riss.kr/link?id=S70667" TargetMode="External"/><Relationship Id="rId906" Type="http://schemas.openxmlformats.org/officeDocument/2006/relationships/hyperlink" Target="http://www.riss.kr/link?id=S411233" TargetMode="External"/><Relationship Id="rId35" Type="http://schemas.openxmlformats.org/officeDocument/2006/relationships/hyperlink" Target="http://www.riss.kr/link?id=S13692" TargetMode="External"/><Relationship Id="rId100" Type="http://schemas.openxmlformats.org/officeDocument/2006/relationships/hyperlink" Target="http://www.riss.kr/link?id=S12338" TargetMode="External"/><Relationship Id="rId338" Type="http://schemas.openxmlformats.org/officeDocument/2006/relationships/hyperlink" Target="http://www.riss.kr/link?id=S38215" TargetMode="External"/><Relationship Id="rId545" Type="http://schemas.openxmlformats.org/officeDocument/2006/relationships/hyperlink" Target="http://www.riss.kr/link?id=S31001902" TargetMode="External"/><Relationship Id="rId752" Type="http://schemas.openxmlformats.org/officeDocument/2006/relationships/hyperlink" Target="http://www.riss.kr/link?id=S21690" TargetMode="External"/><Relationship Id="rId184" Type="http://schemas.openxmlformats.org/officeDocument/2006/relationships/hyperlink" Target="http://www.riss.kr/link?id=S7094" TargetMode="External"/><Relationship Id="rId391" Type="http://schemas.openxmlformats.org/officeDocument/2006/relationships/hyperlink" Target="http://www.riss.kr/link?id=S21147" TargetMode="External"/><Relationship Id="rId405" Type="http://schemas.openxmlformats.org/officeDocument/2006/relationships/hyperlink" Target="http://www.riss.kr/link?id=S31027708" TargetMode="External"/><Relationship Id="rId612" Type="http://schemas.openxmlformats.org/officeDocument/2006/relationships/hyperlink" Target="http://www.riss.kr/link?id=S20010735" TargetMode="External"/><Relationship Id="rId251" Type="http://schemas.openxmlformats.org/officeDocument/2006/relationships/hyperlink" Target="http://www.riss.kr/link?id=S11574570" TargetMode="External"/><Relationship Id="rId489" Type="http://schemas.openxmlformats.org/officeDocument/2006/relationships/hyperlink" Target="http://www.riss.kr/link?id=S403110" TargetMode="External"/><Relationship Id="rId696" Type="http://schemas.openxmlformats.org/officeDocument/2006/relationships/hyperlink" Target="http://www.riss.kr/link?id=S20011380" TargetMode="External"/><Relationship Id="rId917" Type="http://schemas.openxmlformats.org/officeDocument/2006/relationships/hyperlink" Target="http://www.riss.kr/link?id=S37341" TargetMode="External"/><Relationship Id="rId46" Type="http://schemas.openxmlformats.org/officeDocument/2006/relationships/hyperlink" Target="http://www.riss.kr/link?id=S20012637" TargetMode="External"/><Relationship Id="rId349" Type="http://schemas.openxmlformats.org/officeDocument/2006/relationships/hyperlink" Target="http://www.riss.kr/link?id=S60908" TargetMode="External"/><Relationship Id="rId556" Type="http://schemas.openxmlformats.org/officeDocument/2006/relationships/hyperlink" Target="http://www.riss.kr/link?id=S115386" TargetMode="External"/><Relationship Id="rId763" Type="http://schemas.openxmlformats.org/officeDocument/2006/relationships/hyperlink" Target="http://www.riss.kr/link?id=S104898" TargetMode="External"/><Relationship Id="rId111" Type="http://schemas.openxmlformats.org/officeDocument/2006/relationships/hyperlink" Target="http://www.riss.kr/link?id=S16973" TargetMode="External"/><Relationship Id="rId195" Type="http://schemas.openxmlformats.org/officeDocument/2006/relationships/hyperlink" Target="http://www.riss.kr/link?id=S23513" TargetMode="External"/><Relationship Id="rId209" Type="http://schemas.openxmlformats.org/officeDocument/2006/relationships/hyperlink" Target="http://www.riss.kr/link?id=S104991" TargetMode="External"/><Relationship Id="rId416" Type="http://schemas.openxmlformats.org/officeDocument/2006/relationships/hyperlink" Target="http://www.riss.kr/link?id=S16389" TargetMode="External"/><Relationship Id="rId970" Type="http://schemas.openxmlformats.org/officeDocument/2006/relationships/hyperlink" Target="http://www.riss.kr/link?id=S63728" TargetMode="External"/><Relationship Id="rId623" Type="http://schemas.openxmlformats.org/officeDocument/2006/relationships/hyperlink" Target="http://www.riss.kr/link?id=S17357" TargetMode="External"/><Relationship Id="rId830" Type="http://schemas.openxmlformats.org/officeDocument/2006/relationships/hyperlink" Target="http://www.riss.kr/link?id=S67352" TargetMode="External"/><Relationship Id="rId928" Type="http://schemas.openxmlformats.org/officeDocument/2006/relationships/hyperlink" Target="http://www.riss.kr/link?id=S63124" TargetMode="External"/><Relationship Id="rId57" Type="http://schemas.openxmlformats.org/officeDocument/2006/relationships/hyperlink" Target="http://www.riss.kr/link?id=S31000997" TargetMode="External"/><Relationship Id="rId262" Type="http://schemas.openxmlformats.org/officeDocument/2006/relationships/hyperlink" Target="http://www.riss.kr/link?id=S15737" TargetMode="External"/><Relationship Id="rId567" Type="http://schemas.openxmlformats.org/officeDocument/2006/relationships/hyperlink" Target="http://www.riss.kr/link?id=S404171" TargetMode="External"/><Relationship Id="rId122" Type="http://schemas.openxmlformats.org/officeDocument/2006/relationships/hyperlink" Target="http://www.riss.kr/link?id=S410933" TargetMode="External"/><Relationship Id="rId774" Type="http://schemas.openxmlformats.org/officeDocument/2006/relationships/hyperlink" Target="http://www.riss.kr/link?id=S413415" TargetMode="External"/><Relationship Id="rId981" Type="http://schemas.openxmlformats.org/officeDocument/2006/relationships/comments" Target="../comments1.xml"/><Relationship Id="rId427" Type="http://schemas.openxmlformats.org/officeDocument/2006/relationships/hyperlink" Target="http://www.riss.kr/link?id=S17267" TargetMode="External"/><Relationship Id="rId634" Type="http://schemas.openxmlformats.org/officeDocument/2006/relationships/hyperlink" Target="http://www.riss.kr/link?id=S403964" TargetMode="External"/><Relationship Id="rId841" Type="http://schemas.openxmlformats.org/officeDocument/2006/relationships/hyperlink" Target="http://www.riss.kr/link?id=S19748" TargetMode="External"/><Relationship Id="rId273" Type="http://schemas.openxmlformats.org/officeDocument/2006/relationships/hyperlink" Target="http://www.riss.kr/link?id=S16097" TargetMode="External"/><Relationship Id="rId480" Type="http://schemas.openxmlformats.org/officeDocument/2006/relationships/hyperlink" Target="http://www.riss.kr/link?id=S31013729" TargetMode="External"/><Relationship Id="rId701" Type="http://schemas.openxmlformats.org/officeDocument/2006/relationships/hyperlink" Target="http://www.riss.kr/link?id=S407398" TargetMode="External"/><Relationship Id="rId939" Type="http://schemas.openxmlformats.org/officeDocument/2006/relationships/hyperlink" Target="http://www.riss.kr/link?id=S43977" TargetMode="External"/><Relationship Id="rId68" Type="http://schemas.openxmlformats.org/officeDocument/2006/relationships/hyperlink" Target="http://www.riss.kr/link?id=S17573" TargetMode="External"/><Relationship Id="rId133" Type="http://schemas.openxmlformats.org/officeDocument/2006/relationships/hyperlink" Target="http://www.riss.kr/link?id=S17133" TargetMode="External"/><Relationship Id="rId340" Type="http://schemas.openxmlformats.org/officeDocument/2006/relationships/hyperlink" Target="http://www.riss.kr/link?id=S15023" TargetMode="External"/><Relationship Id="rId578" Type="http://schemas.openxmlformats.org/officeDocument/2006/relationships/hyperlink" Target="http://www.riss.kr/link?id=S16546" TargetMode="External"/><Relationship Id="rId785" Type="http://schemas.openxmlformats.org/officeDocument/2006/relationships/hyperlink" Target="http://www.riss.kr/link?id=S60910" TargetMode="External"/><Relationship Id="rId200" Type="http://schemas.openxmlformats.org/officeDocument/2006/relationships/hyperlink" Target="http://www.riss.kr/link?id=S31014183" TargetMode="External"/><Relationship Id="rId438" Type="http://schemas.openxmlformats.org/officeDocument/2006/relationships/hyperlink" Target="http://www.riss.kr/link?id=S16056" TargetMode="External"/><Relationship Id="rId645" Type="http://schemas.openxmlformats.org/officeDocument/2006/relationships/hyperlink" Target="http://www.riss.kr/link?id=S15933" TargetMode="External"/><Relationship Id="rId852" Type="http://schemas.openxmlformats.org/officeDocument/2006/relationships/hyperlink" Target="http://www.riss.kr/link?id=S87108" TargetMode="External"/><Relationship Id="rId284" Type="http://schemas.openxmlformats.org/officeDocument/2006/relationships/hyperlink" Target="http://www.riss.kr/link?id=S20374" TargetMode="External"/><Relationship Id="rId491" Type="http://schemas.openxmlformats.org/officeDocument/2006/relationships/hyperlink" Target="http://www.riss.kr/link?id=S87400" TargetMode="External"/><Relationship Id="rId505" Type="http://schemas.openxmlformats.org/officeDocument/2006/relationships/hyperlink" Target="http://www.riss.kr/link?id=S15590" TargetMode="External"/><Relationship Id="rId712" Type="http://schemas.openxmlformats.org/officeDocument/2006/relationships/hyperlink" Target="http://www.riss.kr/link?id=S42967" TargetMode="External"/><Relationship Id="rId79" Type="http://schemas.openxmlformats.org/officeDocument/2006/relationships/hyperlink" Target="http://www.riss.kr/link?id=S16996" TargetMode="External"/><Relationship Id="rId144" Type="http://schemas.openxmlformats.org/officeDocument/2006/relationships/hyperlink" Target="http://www.riss.kr/link?id=S418044" TargetMode="External"/><Relationship Id="rId589" Type="http://schemas.openxmlformats.org/officeDocument/2006/relationships/hyperlink" Target="http://www.riss.kr/link?id=S60691" TargetMode="External"/><Relationship Id="rId796" Type="http://schemas.openxmlformats.org/officeDocument/2006/relationships/hyperlink" Target="http://www.riss.kr/link?id=S144775" TargetMode="External"/><Relationship Id="rId351" Type="http://schemas.openxmlformats.org/officeDocument/2006/relationships/hyperlink" Target="http://www.riss.kr/link?id=S80605" TargetMode="External"/><Relationship Id="rId449" Type="http://schemas.openxmlformats.org/officeDocument/2006/relationships/hyperlink" Target="http://www.riss.kr/link?id=S14916" TargetMode="External"/><Relationship Id="rId656" Type="http://schemas.openxmlformats.org/officeDocument/2006/relationships/hyperlink" Target="http://www.riss.kr/link?id=S410797" TargetMode="External"/><Relationship Id="rId863" Type="http://schemas.openxmlformats.org/officeDocument/2006/relationships/hyperlink" Target="http://www.riss.kr/link?id=S115754" TargetMode="External"/><Relationship Id="rId211" Type="http://schemas.openxmlformats.org/officeDocument/2006/relationships/hyperlink" Target="http://www.riss.kr/link?id=S416807" TargetMode="External"/><Relationship Id="rId295" Type="http://schemas.openxmlformats.org/officeDocument/2006/relationships/hyperlink" Target="http://www.riss.kr/link?id=S407942" TargetMode="External"/><Relationship Id="rId309" Type="http://schemas.openxmlformats.org/officeDocument/2006/relationships/hyperlink" Target="http://www.riss.kr/link?id=S38346" TargetMode="External"/><Relationship Id="rId516" Type="http://schemas.openxmlformats.org/officeDocument/2006/relationships/hyperlink" Target="http://www.riss.kr/link?id=S16015" TargetMode="External"/><Relationship Id="rId723" Type="http://schemas.openxmlformats.org/officeDocument/2006/relationships/hyperlink" Target="http://www.riss.kr/link?id=S30007494" TargetMode="External"/><Relationship Id="rId930" Type="http://schemas.openxmlformats.org/officeDocument/2006/relationships/hyperlink" Target="http://www.riss.kr/link?id=S20069376" TargetMode="External"/><Relationship Id="rId155" Type="http://schemas.openxmlformats.org/officeDocument/2006/relationships/hyperlink" Target="http://www.riss.kr/link?id=S405626" TargetMode="External"/><Relationship Id="rId362" Type="http://schemas.openxmlformats.org/officeDocument/2006/relationships/hyperlink" Target="http://www.riss.kr/link?id=S16072" TargetMode="External"/><Relationship Id="rId222" Type="http://schemas.openxmlformats.org/officeDocument/2006/relationships/hyperlink" Target="http://www.riss.kr/link?id=S23469" TargetMode="External"/><Relationship Id="rId667" Type="http://schemas.openxmlformats.org/officeDocument/2006/relationships/hyperlink" Target="http://www.riss.kr/link?id=S409282" TargetMode="External"/><Relationship Id="rId874" Type="http://schemas.openxmlformats.org/officeDocument/2006/relationships/hyperlink" Target="http://www.riss.kr/link?id=S60898" TargetMode="External"/><Relationship Id="rId17" Type="http://schemas.openxmlformats.org/officeDocument/2006/relationships/hyperlink" Target="http://www.riss.kr/link?id=S20035778" TargetMode="External"/><Relationship Id="rId527" Type="http://schemas.openxmlformats.org/officeDocument/2006/relationships/hyperlink" Target="http://www.riss.kr/link?id=S16627" TargetMode="External"/><Relationship Id="rId734" Type="http://schemas.openxmlformats.org/officeDocument/2006/relationships/hyperlink" Target="http://www.riss.kr/link?id=S411666" TargetMode="External"/><Relationship Id="rId941" Type="http://schemas.openxmlformats.org/officeDocument/2006/relationships/hyperlink" Target="http://www.riss.kr/link?id=S40249" TargetMode="External"/><Relationship Id="rId70" Type="http://schemas.openxmlformats.org/officeDocument/2006/relationships/hyperlink" Target="http://www.riss.kr/link?id=S104401" TargetMode="External"/><Relationship Id="rId166" Type="http://schemas.openxmlformats.org/officeDocument/2006/relationships/hyperlink" Target="http://www.riss.kr/link?id=S16252" TargetMode="External"/><Relationship Id="rId373" Type="http://schemas.openxmlformats.org/officeDocument/2006/relationships/hyperlink" Target="http://www.riss.kr/link?id=S16067" TargetMode="External"/><Relationship Id="rId580" Type="http://schemas.openxmlformats.org/officeDocument/2006/relationships/hyperlink" Target="http://www.riss.kr/link?id=S16542" TargetMode="External"/><Relationship Id="rId801" Type="http://schemas.openxmlformats.org/officeDocument/2006/relationships/hyperlink" Target="http://www.riss.kr/link?id=S63516" TargetMode="External"/><Relationship Id="rId1" Type="http://schemas.openxmlformats.org/officeDocument/2006/relationships/hyperlink" Target="http://www.riss.kr/link?id=S19593" TargetMode="External"/><Relationship Id="rId233" Type="http://schemas.openxmlformats.org/officeDocument/2006/relationships/hyperlink" Target="http://www.riss.kr/link?id=S11926" TargetMode="External"/><Relationship Id="rId440" Type="http://schemas.openxmlformats.org/officeDocument/2006/relationships/hyperlink" Target="http://www.riss.kr/link?id=S23468" TargetMode="External"/><Relationship Id="rId678" Type="http://schemas.openxmlformats.org/officeDocument/2006/relationships/hyperlink" Target="http://www.riss.kr/link?id=S402996" TargetMode="External"/><Relationship Id="rId885" Type="http://schemas.openxmlformats.org/officeDocument/2006/relationships/hyperlink" Target="http://www.riss.kr/link?id=S80312" TargetMode="External"/><Relationship Id="rId28" Type="http://schemas.openxmlformats.org/officeDocument/2006/relationships/hyperlink" Target="http://www.riss.kr/link?id=S414099" TargetMode="External"/><Relationship Id="rId300" Type="http://schemas.openxmlformats.org/officeDocument/2006/relationships/hyperlink" Target="http://www.riss.kr/link?id=S413557" TargetMode="External"/><Relationship Id="rId538" Type="http://schemas.openxmlformats.org/officeDocument/2006/relationships/hyperlink" Target="http://www.riss.kr/link?id=S16558" TargetMode="External"/><Relationship Id="rId745" Type="http://schemas.openxmlformats.org/officeDocument/2006/relationships/hyperlink" Target="http://www.riss.kr/link?id=S15576" TargetMode="External"/><Relationship Id="rId952" Type="http://schemas.openxmlformats.org/officeDocument/2006/relationships/hyperlink" Target="http://www.riss.kr/link?id=S104123" TargetMode="External"/><Relationship Id="rId81" Type="http://schemas.openxmlformats.org/officeDocument/2006/relationships/hyperlink" Target="http://www.riss.kr/link?id=S115372" TargetMode="External"/><Relationship Id="rId177" Type="http://schemas.openxmlformats.org/officeDocument/2006/relationships/hyperlink" Target="http://www.riss.kr/link?id=S16432" TargetMode="External"/><Relationship Id="rId384" Type="http://schemas.openxmlformats.org/officeDocument/2006/relationships/hyperlink" Target="http://www.riss.kr/link?id=S12868" TargetMode="External"/><Relationship Id="rId591" Type="http://schemas.openxmlformats.org/officeDocument/2006/relationships/hyperlink" Target="http://www.riss.kr/link?id=S31023689" TargetMode="External"/><Relationship Id="rId605" Type="http://schemas.openxmlformats.org/officeDocument/2006/relationships/hyperlink" Target="http://www.riss.kr/link?id=S20890" TargetMode="External"/><Relationship Id="rId812" Type="http://schemas.openxmlformats.org/officeDocument/2006/relationships/hyperlink" Target="http://www.riss.kr/link?id=S417041" TargetMode="External"/><Relationship Id="rId244" Type="http://schemas.openxmlformats.org/officeDocument/2006/relationships/hyperlink" Target="http://www.riss.kr/link?id=S20867" TargetMode="External"/><Relationship Id="rId689" Type="http://schemas.openxmlformats.org/officeDocument/2006/relationships/hyperlink" Target="http://www.riss.kr/link?id=S20014915" TargetMode="External"/><Relationship Id="rId896" Type="http://schemas.openxmlformats.org/officeDocument/2006/relationships/hyperlink" Target="http://www.riss.kr/link?id=S44714" TargetMode="External"/><Relationship Id="rId39" Type="http://schemas.openxmlformats.org/officeDocument/2006/relationships/hyperlink" Target="http://www.riss.kr/link?id=S13541" TargetMode="External"/><Relationship Id="rId451" Type="http://schemas.openxmlformats.org/officeDocument/2006/relationships/hyperlink" Target="http://www.riss.kr/link?id=S416806" TargetMode="External"/><Relationship Id="rId549" Type="http://schemas.openxmlformats.org/officeDocument/2006/relationships/hyperlink" Target="http://www.riss.kr/link?id=S108179" TargetMode="External"/><Relationship Id="rId756" Type="http://schemas.openxmlformats.org/officeDocument/2006/relationships/hyperlink" Target="http://www.riss.kr/link?id=S28534" TargetMode="External"/><Relationship Id="rId104" Type="http://schemas.openxmlformats.org/officeDocument/2006/relationships/hyperlink" Target="http://www.riss.kr/link?id=S31024384" TargetMode="External"/><Relationship Id="rId188" Type="http://schemas.openxmlformats.org/officeDocument/2006/relationships/hyperlink" Target="http://www.riss.kr/link?id=S60526" TargetMode="External"/><Relationship Id="rId311" Type="http://schemas.openxmlformats.org/officeDocument/2006/relationships/hyperlink" Target="http://www.riss.kr/link?id=S31025232" TargetMode="External"/><Relationship Id="rId395" Type="http://schemas.openxmlformats.org/officeDocument/2006/relationships/hyperlink" Target="http://www.riss.kr/link?id=S13555" TargetMode="External"/><Relationship Id="rId409" Type="http://schemas.openxmlformats.org/officeDocument/2006/relationships/hyperlink" Target="http://www.riss.kr/link?id=S14024" TargetMode="External"/><Relationship Id="rId963" Type="http://schemas.openxmlformats.org/officeDocument/2006/relationships/hyperlink" Target="http://www.riss.kr/link?id=S104181" TargetMode="External"/><Relationship Id="rId92" Type="http://schemas.openxmlformats.org/officeDocument/2006/relationships/hyperlink" Target="http://www.riss.kr/link?id=S16751" TargetMode="External"/><Relationship Id="rId616" Type="http://schemas.openxmlformats.org/officeDocument/2006/relationships/hyperlink" Target="http://www.riss.kr/link?id=S28961" TargetMode="External"/><Relationship Id="rId823" Type="http://schemas.openxmlformats.org/officeDocument/2006/relationships/hyperlink" Target="http://www.riss.kr/link?id=S20070027" TargetMode="External"/><Relationship Id="rId255" Type="http://schemas.openxmlformats.org/officeDocument/2006/relationships/hyperlink" Target="http://www.riss.kr/link?id=S408115" TargetMode="External"/><Relationship Id="rId462" Type="http://schemas.openxmlformats.org/officeDocument/2006/relationships/hyperlink" Target="http://www.riss.kr/link?id=S21696" TargetMode="External"/><Relationship Id="rId115" Type="http://schemas.openxmlformats.org/officeDocument/2006/relationships/hyperlink" Target="http://www.riss.kr/link?id=S417317" TargetMode="External"/><Relationship Id="rId322" Type="http://schemas.openxmlformats.org/officeDocument/2006/relationships/hyperlink" Target="http://www.riss.kr/link?id=S31031409" TargetMode="External"/><Relationship Id="rId767" Type="http://schemas.openxmlformats.org/officeDocument/2006/relationships/hyperlink" Target="http://www.riss.kr/link?id=S12927" TargetMode="External"/><Relationship Id="rId974" Type="http://schemas.openxmlformats.org/officeDocument/2006/relationships/hyperlink" Target="http://www.riss.kr/link?id=S58112" TargetMode="External"/><Relationship Id="rId199" Type="http://schemas.openxmlformats.org/officeDocument/2006/relationships/hyperlink" Target="http://www.riss.kr/link?id=S31011779" TargetMode="External"/><Relationship Id="rId627" Type="http://schemas.openxmlformats.org/officeDocument/2006/relationships/hyperlink" Target="http://www.riss.kr/link?id=S416464" TargetMode="External"/><Relationship Id="rId834" Type="http://schemas.openxmlformats.org/officeDocument/2006/relationships/hyperlink" Target="http://www.riss.kr/link?id=S45128" TargetMode="External"/><Relationship Id="rId19" Type="http://schemas.openxmlformats.org/officeDocument/2006/relationships/hyperlink" Target="http://www.riss.kr/link?id=S115371" TargetMode="External"/><Relationship Id="rId224" Type="http://schemas.openxmlformats.org/officeDocument/2006/relationships/hyperlink" Target="http://www.riss.kr/link?id=S16941" TargetMode="External"/><Relationship Id="rId266" Type="http://schemas.openxmlformats.org/officeDocument/2006/relationships/hyperlink" Target="http://www.riss.kr/link?id=S42441" TargetMode="External"/><Relationship Id="rId431" Type="http://schemas.openxmlformats.org/officeDocument/2006/relationships/hyperlink" Target="http://www.riss.kr/link?id=S49464" TargetMode="External"/><Relationship Id="rId473" Type="http://schemas.openxmlformats.org/officeDocument/2006/relationships/hyperlink" Target="http://www.riss.kr/link?id=S68611" TargetMode="External"/><Relationship Id="rId529" Type="http://schemas.openxmlformats.org/officeDocument/2006/relationships/hyperlink" Target="http://www.riss.kr/link?id=S59777" TargetMode="External"/><Relationship Id="rId680" Type="http://schemas.openxmlformats.org/officeDocument/2006/relationships/hyperlink" Target="http://www.riss.kr/link?id=S403200" TargetMode="External"/><Relationship Id="rId736" Type="http://schemas.openxmlformats.org/officeDocument/2006/relationships/hyperlink" Target="http://www.riss.kr/link?id=S43048" TargetMode="External"/><Relationship Id="rId901" Type="http://schemas.openxmlformats.org/officeDocument/2006/relationships/hyperlink" Target="http://www.riss.kr/link?id=S63727" TargetMode="External"/><Relationship Id="rId30" Type="http://schemas.openxmlformats.org/officeDocument/2006/relationships/hyperlink" Target="http://www.riss.kr/link?id=S60413" TargetMode="External"/><Relationship Id="rId126" Type="http://schemas.openxmlformats.org/officeDocument/2006/relationships/hyperlink" Target="http://www.riss.kr/link?id=S17146" TargetMode="External"/><Relationship Id="rId168" Type="http://schemas.openxmlformats.org/officeDocument/2006/relationships/hyperlink" Target="http://www.riss.kr/link?id=S412559" TargetMode="External"/><Relationship Id="rId333" Type="http://schemas.openxmlformats.org/officeDocument/2006/relationships/hyperlink" Target="http://www.riss.kr/link?id=S16404" TargetMode="External"/><Relationship Id="rId540" Type="http://schemas.openxmlformats.org/officeDocument/2006/relationships/hyperlink" Target="http://www.riss.kr/link?id=S31027366" TargetMode="External"/><Relationship Id="rId778" Type="http://schemas.openxmlformats.org/officeDocument/2006/relationships/hyperlink" Target="http://www.riss.kr/link?id=S15504" TargetMode="External"/><Relationship Id="rId943" Type="http://schemas.openxmlformats.org/officeDocument/2006/relationships/hyperlink" Target="http://www.riss.kr/link?id=S144142" TargetMode="External"/><Relationship Id="rId72" Type="http://schemas.openxmlformats.org/officeDocument/2006/relationships/hyperlink" Target="http://www.riss.kr/link?id=S28902" TargetMode="External"/><Relationship Id="rId375" Type="http://schemas.openxmlformats.org/officeDocument/2006/relationships/hyperlink" Target="http://www.riss.kr/link?id=S405339" TargetMode="External"/><Relationship Id="rId582" Type="http://schemas.openxmlformats.org/officeDocument/2006/relationships/hyperlink" Target="http://www.riss.kr/link?id=S23595" TargetMode="External"/><Relationship Id="rId638" Type="http://schemas.openxmlformats.org/officeDocument/2006/relationships/hyperlink" Target="http://www.riss.kr/link?id=S31023273" TargetMode="External"/><Relationship Id="rId803" Type="http://schemas.openxmlformats.org/officeDocument/2006/relationships/hyperlink" Target="http://www.riss.kr/link?id=S80195" TargetMode="External"/><Relationship Id="rId845" Type="http://schemas.openxmlformats.org/officeDocument/2006/relationships/hyperlink" Target="http://www.riss.kr/link?id=S19616" TargetMode="External"/><Relationship Id="rId3" Type="http://schemas.openxmlformats.org/officeDocument/2006/relationships/hyperlink" Target="http://www.riss.kr/link?id=S405713" TargetMode="External"/><Relationship Id="rId235" Type="http://schemas.openxmlformats.org/officeDocument/2006/relationships/hyperlink" Target="http://www.riss.kr/link?id=S403172" TargetMode="External"/><Relationship Id="rId277" Type="http://schemas.openxmlformats.org/officeDocument/2006/relationships/hyperlink" Target="http://www.riss.kr/link?id=S104848" TargetMode="External"/><Relationship Id="rId400" Type="http://schemas.openxmlformats.org/officeDocument/2006/relationships/hyperlink" Target="http://www.riss.kr/link?id=S20010539" TargetMode="External"/><Relationship Id="rId442" Type="http://schemas.openxmlformats.org/officeDocument/2006/relationships/hyperlink" Target="http://www.riss.kr/link?id=S15539" TargetMode="External"/><Relationship Id="rId484" Type="http://schemas.openxmlformats.org/officeDocument/2006/relationships/hyperlink" Target="http://www.riss.kr/link?id=S105345" TargetMode="External"/><Relationship Id="rId705" Type="http://schemas.openxmlformats.org/officeDocument/2006/relationships/hyperlink" Target="http://www.riss.kr/link?id=S16489" TargetMode="External"/><Relationship Id="rId887" Type="http://schemas.openxmlformats.org/officeDocument/2006/relationships/hyperlink" Target="http://www.riss.kr/link?id=S35765" TargetMode="External"/><Relationship Id="rId137" Type="http://schemas.openxmlformats.org/officeDocument/2006/relationships/hyperlink" Target="http://www.riss.kr/link?id=S414978" TargetMode="External"/><Relationship Id="rId302" Type="http://schemas.openxmlformats.org/officeDocument/2006/relationships/hyperlink" Target="http://www.riss.kr/link?id=S16089" TargetMode="External"/><Relationship Id="rId344" Type="http://schemas.openxmlformats.org/officeDocument/2006/relationships/hyperlink" Target="http://www.riss.kr/link?id=S115994" TargetMode="External"/><Relationship Id="rId691" Type="http://schemas.openxmlformats.org/officeDocument/2006/relationships/hyperlink" Target="http://www.riss.kr/link?id=S31002302" TargetMode="External"/><Relationship Id="rId747" Type="http://schemas.openxmlformats.org/officeDocument/2006/relationships/hyperlink" Target="http://www.riss.kr/link?id=S15953" TargetMode="External"/><Relationship Id="rId789" Type="http://schemas.openxmlformats.org/officeDocument/2006/relationships/hyperlink" Target="http://www.riss.kr/link?id=S63539" TargetMode="External"/><Relationship Id="rId912" Type="http://schemas.openxmlformats.org/officeDocument/2006/relationships/hyperlink" Target="http://www.riss.kr/link?id=S43699" TargetMode="External"/><Relationship Id="rId954" Type="http://schemas.openxmlformats.org/officeDocument/2006/relationships/hyperlink" Target="http://www.riss.kr/link?id=S104125" TargetMode="External"/><Relationship Id="rId41" Type="http://schemas.openxmlformats.org/officeDocument/2006/relationships/hyperlink" Target="http://www.riss.kr/link?id=S17586" TargetMode="External"/><Relationship Id="rId83" Type="http://schemas.openxmlformats.org/officeDocument/2006/relationships/hyperlink" Target="http://www.riss.kr/link?id=S115393" TargetMode="External"/><Relationship Id="rId179" Type="http://schemas.openxmlformats.org/officeDocument/2006/relationships/hyperlink" Target="http://www.riss.kr/link?id=S405425" TargetMode="External"/><Relationship Id="rId386" Type="http://schemas.openxmlformats.org/officeDocument/2006/relationships/hyperlink" Target="http://www.riss.kr/link?id=S16910" TargetMode="External"/><Relationship Id="rId551" Type="http://schemas.openxmlformats.org/officeDocument/2006/relationships/hyperlink" Target="http://www.riss.kr/link?id=S402182" TargetMode="External"/><Relationship Id="rId593" Type="http://schemas.openxmlformats.org/officeDocument/2006/relationships/hyperlink" Target="http://www.riss.kr/link?id=S410425" TargetMode="External"/><Relationship Id="rId607" Type="http://schemas.openxmlformats.org/officeDocument/2006/relationships/hyperlink" Target="http://www.riss.kr/link?id=S45501" TargetMode="External"/><Relationship Id="rId649" Type="http://schemas.openxmlformats.org/officeDocument/2006/relationships/hyperlink" Target="http://www.riss.kr/link?id=S6601" TargetMode="External"/><Relationship Id="rId814" Type="http://schemas.openxmlformats.org/officeDocument/2006/relationships/hyperlink" Target="http://www.riss.kr/link?id=S411199" TargetMode="External"/><Relationship Id="rId856" Type="http://schemas.openxmlformats.org/officeDocument/2006/relationships/hyperlink" Target="http://www.riss.kr/link?id=S19595" TargetMode="External"/><Relationship Id="rId190" Type="http://schemas.openxmlformats.org/officeDocument/2006/relationships/hyperlink" Target="http://www.riss.kr/link?id=S115377" TargetMode="External"/><Relationship Id="rId204" Type="http://schemas.openxmlformats.org/officeDocument/2006/relationships/hyperlink" Target="http://www.riss.kr/link?id=S16206" TargetMode="External"/><Relationship Id="rId246" Type="http://schemas.openxmlformats.org/officeDocument/2006/relationships/hyperlink" Target="http://www.riss.kr/link?id=S115381" TargetMode="External"/><Relationship Id="rId288" Type="http://schemas.openxmlformats.org/officeDocument/2006/relationships/hyperlink" Target="http://www.riss.kr/link?id=S90001056" TargetMode="External"/><Relationship Id="rId411" Type="http://schemas.openxmlformats.org/officeDocument/2006/relationships/hyperlink" Target="http://www.riss.kr/link?id=S405207" TargetMode="External"/><Relationship Id="rId453" Type="http://schemas.openxmlformats.org/officeDocument/2006/relationships/hyperlink" Target="http://www.riss.kr/link?id=S16897" TargetMode="External"/><Relationship Id="rId509" Type="http://schemas.openxmlformats.org/officeDocument/2006/relationships/hyperlink" Target="http://www.riss.kr/link?id=S402867" TargetMode="External"/><Relationship Id="rId660" Type="http://schemas.openxmlformats.org/officeDocument/2006/relationships/hyperlink" Target="http://www.riss.kr/link?id=S13240" TargetMode="External"/><Relationship Id="rId898" Type="http://schemas.openxmlformats.org/officeDocument/2006/relationships/hyperlink" Target="http://www.riss.kr/link?id=S36924" TargetMode="External"/><Relationship Id="rId106" Type="http://schemas.openxmlformats.org/officeDocument/2006/relationships/hyperlink" Target="http://www.riss.kr/link?id=S16980" TargetMode="External"/><Relationship Id="rId313" Type="http://schemas.openxmlformats.org/officeDocument/2006/relationships/hyperlink" Target="http://www.riss.kr/link?id=S416809" TargetMode="External"/><Relationship Id="rId495" Type="http://schemas.openxmlformats.org/officeDocument/2006/relationships/hyperlink" Target="http://www.riss.kr/link?id=S413153" TargetMode="External"/><Relationship Id="rId716" Type="http://schemas.openxmlformats.org/officeDocument/2006/relationships/hyperlink" Target="http://www.riss.kr/link?id=S11603111" TargetMode="External"/><Relationship Id="rId758" Type="http://schemas.openxmlformats.org/officeDocument/2006/relationships/hyperlink" Target="http://www.riss.kr/link?id=S407845" TargetMode="External"/><Relationship Id="rId923" Type="http://schemas.openxmlformats.org/officeDocument/2006/relationships/hyperlink" Target="http://www.riss.kr/link?id=S49444" TargetMode="External"/><Relationship Id="rId965" Type="http://schemas.openxmlformats.org/officeDocument/2006/relationships/hyperlink" Target="http://www.riss.kr/link?id=S11643948" TargetMode="External"/><Relationship Id="rId10" Type="http://schemas.openxmlformats.org/officeDocument/2006/relationships/hyperlink" Target="http://www.riss.kr/link?id=S18823" TargetMode="External"/><Relationship Id="rId52" Type="http://schemas.openxmlformats.org/officeDocument/2006/relationships/hyperlink" Target="http://www.riss.kr/link?id=S17339" TargetMode="External"/><Relationship Id="rId94" Type="http://schemas.openxmlformats.org/officeDocument/2006/relationships/hyperlink" Target="http://www.riss.kr/link?id=S31020998" TargetMode="External"/><Relationship Id="rId148" Type="http://schemas.openxmlformats.org/officeDocument/2006/relationships/hyperlink" Target="http://www.riss.kr/link?id=S17324" TargetMode="External"/><Relationship Id="rId355" Type="http://schemas.openxmlformats.org/officeDocument/2006/relationships/hyperlink" Target="http://www.riss.kr/link?id=S16079" TargetMode="External"/><Relationship Id="rId397" Type="http://schemas.openxmlformats.org/officeDocument/2006/relationships/hyperlink" Target="http://www.riss.kr/link?id=S12949" TargetMode="External"/><Relationship Id="rId520" Type="http://schemas.openxmlformats.org/officeDocument/2006/relationships/hyperlink" Target="http://www.riss.kr/link?id=S409757" TargetMode="External"/><Relationship Id="rId562" Type="http://schemas.openxmlformats.org/officeDocument/2006/relationships/hyperlink" Target="http://www.riss.kr/link?id=S15711" TargetMode="External"/><Relationship Id="rId618" Type="http://schemas.openxmlformats.org/officeDocument/2006/relationships/hyperlink" Target="http://www.riss.kr/link?id=S39035" TargetMode="External"/><Relationship Id="rId825" Type="http://schemas.openxmlformats.org/officeDocument/2006/relationships/hyperlink" Target="http://www.riss.kr/link?id=S19734" TargetMode="External"/><Relationship Id="rId215" Type="http://schemas.openxmlformats.org/officeDocument/2006/relationships/hyperlink" Target="http://www.riss.kr/link?id=S20010150" TargetMode="External"/><Relationship Id="rId257" Type="http://schemas.openxmlformats.org/officeDocument/2006/relationships/hyperlink" Target="http://www.riss.kr/link?id=S115379" TargetMode="External"/><Relationship Id="rId422" Type="http://schemas.openxmlformats.org/officeDocument/2006/relationships/hyperlink" Target="http://www.riss.kr/link?id=S403109" TargetMode="External"/><Relationship Id="rId464" Type="http://schemas.openxmlformats.org/officeDocument/2006/relationships/hyperlink" Target="http://www.riss.kr/link?id=S11572188" TargetMode="External"/><Relationship Id="rId867" Type="http://schemas.openxmlformats.org/officeDocument/2006/relationships/hyperlink" Target="http://www.riss.kr/link?id=S35299" TargetMode="External"/><Relationship Id="rId299" Type="http://schemas.openxmlformats.org/officeDocument/2006/relationships/hyperlink" Target="http://www.riss.kr/link?id=S20011127" TargetMode="External"/><Relationship Id="rId727" Type="http://schemas.openxmlformats.org/officeDocument/2006/relationships/hyperlink" Target="http://www.riss.kr/link?id=S20011409" TargetMode="External"/><Relationship Id="rId934" Type="http://schemas.openxmlformats.org/officeDocument/2006/relationships/hyperlink" Target="http://www.riss.kr/link?id=S21980" TargetMode="External"/><Relationship Id="rId63" Type="http://schemas.openxmlformats.org/officeDocument/2006/relationships/hyperlink" Target="http://www.riss.kr/link?id=S15429" TargetMode="External"/><Relationship Id="rId159" Type="http://schemas.openxmlformats.org/officeDocument/2006/relationships/hyperlink" Target="http://www.riss.kr/link?id=S30341" TargetMode="External"/><Relationship Id="rId366" Type="http://schemas.openxmlformats.org/officeDocument/2006/relationships/hyperlink" Target="http://www.riss.kr/link?id=S12588" TargetMode="External"/><Relationship Id="rId573" Type="http://schemas.openxmlformats.org/officeDocument/2006/relationships/hyperlink" Target="http://www.riss.kr/link?id=S29121" TargetMode="External"/><Relationship Id="rId780" Type="http://schemas.openxmlformats.org/officeDocument/2006/relationships/hyperlink" Target="http://www.riss.kr/link?id=S29114" TargetMode="External"/><Relationship Id="rId226" Type="http://schemas.openxmlformats.org/officeDocument/2006/relationships/hyperlink" Target="http://www.riss.kr/link?id=S85559" TargetMode="External"/><Relationship Id="rId433" Type="http://schemas.openxmlformats.org/officeDocument/2006/relationships/hyperlink" Target="http://www.riss.kr/link?id=S16059" TargetMode="External"/><Relationship Id="rId878" Type="http://schemas.openxmlformats.org/officeDocument/2006/relationships/hyperlink" Target="http://www.riss.kr/link?id=S69646" TargetMode="External"/><Relationship Id="rId640" Type="http://schemas.openxmlformats.org/officeDocument/2006/relationships/hyperlink" Target="http://www.riss.kr/link?id=S402427" TargetMode="External"/><Relationship Id="rId738" Type="http://schemas.openxmlformats.org/officeDocument/2006/relationships/hyperlink" Target="http://www.riss.kr/link?id=S12014" TargetMode="External"/><Relationship Id="rId945" Type="http://schemas.openxmlformats.org/officeDocument/2006/relationships/hyperlink" Target="http://www.riss.kr/link?id=S63537" TargetMode="External"/><Relationship Id="rId74" Type="http://schemas.openxmlformats.org/officeDocument/2006/relationships/hyperlink" Target="http://www.riss.kr/link?id=S15489" TargetMode="External"/><Relationship Id="rId377" Type="http://schemas.openxmlformats.org/officeDocument/2006/relationships/hyperlink" Target="http://www.riss.kr/link?id=S31002943" TargetMode="External"/><Relationship Id="rId500" Type="http://schemas.openxmlformats.org/officeDocument/2006/relationships/hyperlink" Target="http://www.riss.kr/link?id=S416735" TargetMode="External"/><Relationship Id="rId584" Type="http://schemas.openxmlformats.org/officeDocument/2006/relationships/hyperlink" Target="http://www.riss.kr/link?id=S90009235" TargetMode="External"/><Relationship Id="rId805" Type="http://schemas.openxmlformats.org/officeDocument/2006/relationships/hyperlink" Target="http://www.riss.kr/link?id=S77936" TargetMode="External"/><Relationship Id="rId5" Type="http://schemas.openxmlformats.org/officeDocument/2006/relationships/hyperlink" Target="http://www.riss.kr/link?id=S38813" TargetMode="External"/><Relationship Id="rId237" Type="http://schemas.openxmlformats.org/officeDocument/2006/relationships/hyperlink" Target="http://www.riss.kr/link?id=S17531" TargetMode="External"/><Relationship Id="rId791" Type="http://schemas.openxmlformats.org/officeDocument/2006/relationships/hyperlink" Target="http://www.riss.kr/link?id=S85490" TargetMode="External"/><Relationship Id="rId889" Type="http://schemas.openxmlformats.org/officeDocument/2006/relationships/hyperlink" Target="http://www.riss.kr/link?id=S19808" TargetMode="External"/><Relationship Id="rId444" Type="http://schemas.openxmlformats.org/officeDocument/2006/relationships/hyperlink" Target="http://www.riss.kr/link?id=S12831" TargetMode="External"/><Relationship Id="rId651" Type="http://schemas.openxmlformats.org/officeDocument/2006/relationships/hyperlink" Target="http://www.riss.kr/link?id=S20012183" TargetMode="External"/><Relationship Id="rId749" Type="http://schemas.openxmlformats.org/officeDocument/2006/relationships/hyperlink" Target="http://www.riss.kr/link?id=S31024691" TargetMode="External"/><Relationship Id="rId290" Type="http://schemas.openxmlformats.org/officeDocument/2006/relationships/hyperlink" Target="http://www.riss.kr/link?id=S90008279" TargetMode="External"/><Relationship Id="rId304" Type="http://schemas.openxmlformats.org/officeDocument/2006/relationships/hyperlink" Target="http://www.riss.kr/link?id=S17518" TargetMode="External"/><Relationship Id="rId388" Type="http://schemas.openxmlformats.org/officeDocument/2006/relationships/hyperlink" Target="http://www.riss.kr/link?id=S90023891" TargetMode="External"/><Relationship Id="rId511" Type="http://schemas.openxmlformats.org/officeDocument/2006/relationships/hyperlink" Target="http://www.riss.kr/link?id=S17467" TargetMode="External"/><Relationship Id="rId609" Type="http://schemas.openxmlformats.org/officeDocument/2006/relationships/hyperlink" Target="http://www.riss.kr/link?id=S13543" TargetMode="External"/><Relationship Id="rId956" Type="http://schemas.openxmlformats.org/officeDocument/2006/relationships/hyperlink" Target="http://www.riss.kr/link?id=S104262" TargetMode="External"/><Relationship Id="rId85" Type="http://schemas.openxmlformats.org/officeDocument/2006/relationships/hyperlink" Target="http://www.riss.kr/link?id=S115373" TargetMode="External"/><Relationship Id="rId150" Type="http://schemas.openxmlformats.org/officeDocument/2006/relationships/hyperlink" Target="http://www.riss.kr/link?id=S17550" TargetMode="External"/><Relationship Id="rId595" Type="http://schemas.openxmlformats.org/officeDocument/2006/relationships/hyperlink" Target="http://www.riss.kr/link?id=S31000856" TargetMode="External"/><Relationship Id="rId816" Type="http://schemas.openxmlformats.org/officeDocument/2006/relationships/hyperlink" Target="http://www.riss.kr/link?id=S20091842" TargetMode="External"/><Relationship Id="rId248" Type="http://schemas.openxmlformats.org/officeDocument/2006/relationships/hyperlink" Target="http://www.riss.kr/link?id=S17530" TargetMode="External"/><Relationship Id="rId455" Type="http://schemas.openxmlformats.org/officeDocument/2006/relationships/hyperlink" Target="http://www.riss.kr/link?id=S412198" TargetMode="External"/><Relationship Id="rId662" Type="http://schemas.openxmlformats.org/officeDocument/2006/relationships/hyperlink" Target="http://www.riss.kr/link?id=S31019601" TargetMode="External"/><Relationship Id="rId12" Type="http://schemas.openxmlformats.org/officeDocument/2006/relationships/hyperlink" Target="http://www.riss.kr/link?id=S50310" TargetMode="External"/><Relationship Id="rId108" Type="http://schemas.openxmlformats.org/officeDocument/2006/relationships/hyperlink" Target="http://www.riss.kr/link?id=S60873" TargetMode="External"/><Relationship Id="rId315" Type="http://schemas.openxmlformats.org/officeDocument/2006/relationships/hyperlink" Target="http://www.riss.kr/link?id=S416814" TargetMode="External"/><Relationship Id="rId522" Type="http://schemas.openxmlformats.org/officeDocument/2006/relationships/hyperlink" Target="http://www.riss.kr/link?id=S15532" TargetMode="External"/><Relationship Id="rId967" Type="http://schemas.openxmlformats.org/officeDocument/2006/relationships/hyperlink" Target="http://www.riss.kr/link?id=S61039" TargetMode="External"/><Relationship Id="rId96" Type="http://schemas.openxmlformats.org/officeDocument/2006/relationships/hyperlink" Target="http://www.riss.kr/link?id=S6860" TargetMode="External"/><Relationship Id="rId161" Type="http://schemas.openxmlformats.org/officeDocument/2006/relationships/hyperlink" Target="http://www.riss.kr/link?id=S402314" TargetMode="External"/><Relationship Id="rId399" Type="http://schemas.openxmlformats.org/officeDocument/2006/relationships/hyperlink" Target="http://www.riss.kr/link?id=S90008450" TargetMode="External"/><Relationship Id="rId827" Type="http://schemas.openxmlformats.org/officeDocument/2006/relationships/hyperlink" Target="http://www.riss.kr/link?id=S40515" TargetMode="External"/><Relationship Id="rId259" Type="http://schemas.openxmlformats.org/officeDocument/2006/relationships/hyperlink" Target="http://www.riss.kr/link?id=S143934" TargetMode="External"/><Relationship Id="rId466" Type="http://schemas.openxmlformats.org/officeDocument/2006/relationships/hyperlink" Target="http://www.riss.kr/link?id=S21159" TargetMode="External"/><Relationship Id="rId673" Type="http://schemas.openxmlformats.org/officeDocument/2006/relationships/hyperlink" Target="http://www.riss.kr/link?id=S417077" TargetMode="External"/><Relationship Id="rId880" Type="http://schemas.openxmlformats.org/officeDocument/2006/relationships/hyperlink" Target="http://www.riss.kr/link?id=S417050" TargetMode="External"/><Relationship Id="rId23" Type="http://schemas.openxmlformats.org/officeDocument/2006/relationships/hyperlink" Target="http://www.riss.kr/link?id=S415162" TargetMode="External"/><Relationship Id="rId119" Type="http://schemas.openxmlformats.org/officeDocument/2006/relationships/hyperlink" Target="http://www.riss.kr/link?id=S115375" TargetMode="External"/><Relationship Id="rId326" Type="http://schemas.openxmlformats.org/officeDocument/2006/relationships/hyperlink" Target="http://www.riss.kr/link?id=S16083" TargetMode="External"/><Relationship Id="rId533" Type="http://schemas.openxmlformats.org/officeDocument/2006/relationships/hyperlink" Target="http://www.riss.kr/link?id=S15527" TargetMode="External"/><Relationship Id="rId978" Type="http://schemas.openxmlformats.org/officeDocument/2006/relationships/hyperlink" Target="http://www.riss.kr/link?id=S20109" TargetMode="External"/><Relationship Id="rId740" Type="http://schemas.openxmlformats.org/officeDocument/2006/relationships/hyperlink" Target="http://www.riss.kr/link?id=S414717" TargetMode="External"/><Relationship Id="rId838" Type="http://schemas.openxmlformats.org/officeDocument/2006/relationships/hyperlink" Target="http://www.riss.kr/link?id=S21878" TargetMode="External"/><Relationship Id="rId172" Type="http://schemas.openxmlformats.org/officeDocument/2006/relationships/hyperlink" Target="http://www.riss.kr/link?id=S80384" TargetMode="External"/><Relationship Id="rId477" Type="http://schemas.openxmlformats.org/officeDocument/2006/relationships/hyperlink" Target="http://www.riss.kr/link?id=S411696" TargetMode="External"/><Relationship Id="rId600" Type="http://schemas.openxmlformats.org/officeDocument/2006/relationships/hyperlink" Target="http://www.riss.kr/link?id=S20881" TargetMode="External"/><Relationship Id="rId684" Type="http://schemas.openxmlformats.org/officeDocument/2006/relationships/hyperlink" Target="http://www.riss.kr/link?id=S28428" TargetMode="External"/><Relationship Id="rId337" Type="http://schemas.openxmlformats.org/officeDocument/2006/relationships/hyperlink" Target="http://www.riss.kr/link?id=S408353" TargetMode="External"/><Relationship Id="rId891" Type="http://schemas.openxmlformats.org/officeDocument/2006/relationships/hyperlink" Target="http://www.riss.kr/link?id=S416880" TargetMode="External"/><Relationship Id="rId905" Type="http://schemas.openxmlformats.org/officeDocument/2006/relationships/hyperlink" Target="http://www.riss.kr/link?id=S35658" TargetMode="External"/><Relationship Id="rId34" Type="http://schemas.openxmlformats.org/officeDocument/2006/relationships/hyperlink" Target="http://www.riss.kr/link?id=S17589" TargetMode="External"/><Relationship Id="rId544" Type="http://schemas.openxmlformats.org/officeDocument/2006/relationships/hyperlink" Target="http://www.riss.kr/link?id=S6626" TargetMode="External"/><Relationship Id="rId751" Type="http://schemas.openxmlformats.org/officeDocument/2006/relationships/hyperlink" Target="http://www.riss.kr/link?id=S15438" TargetMode="External"/><Relationship Id="rId849" Type="http://schemas.openxmlformats.org/officeDocument/2006/relationships/hyperlink" Target="http://www.riss.kr/link?id=S416847" TargetMode="External"/><Relationship Id="rId183" Type="http://schemas.openxmlformats.org/officeDocument/2006/relationships/hyperlink" Target="http://www.riss.kr/link?id=S143666" TargetMode="External"/><Relationship Id="rId390" Type="http://schemas.openxmlformats.org/officeDocument/2006/relationships/hyperlink" Target="http://www.riss.kr/link?id=S90023683" TargetMode="External"/><Relationship Id="rId404" Type="http://schemas.openxmlformats.org/officeDocument/2006/relationships/hyperlink" Target="http://www.riss.kr/link?id=S20085525" TargetMode="External"/><Relationship Id="rId611" Type="http://schemas.openxmlformats.org/officeDocument/2006/relationships/hyperlink" Target="http://www.riss.kr/link?id=S11634165" TargetMode="External"/><Relationship Id="rId250" Type="http://schemas.openxmlformats.org/officeDocument/2006/relationships/hyperlink" Target="http://www.riss.kr/link?id=S11574592" TargetMode="External"/><Relationship Id="rId488" Type="http://schemas.openxmlformats.org/officeDocument/2006/relationships/hyperlink" Target="http://www.riss.kr/link?id=S20011296" TargetMode="External"/><Relationship Id="rId695" Type="http://schemas.openxmlformats.org/officeDocument/2006/relationships/hyperlink" Target="http://www.riss.kr/link?id=S412793" TargetMode="External"/><Relationship Id="rId709" Type="http://schemas.openxmlformats.org/officeDocument/2006/relationships/hyperlink" Target="http://www.riss.kr/link?id=S16322" TargetMode="External"/><Relationship Id="rId916" Type="http://schemas.openxmlformats.org/officeDocument/2006/relationships/hyperlink" Target="http://www.riss.kr/link?id=S13948" TargetMode="External"/><Relationship Id="rId45" Type="http://schemas.openxmlformats.org/officeDocument/2006/relationships/hyperlink" Target="http://www.riss.kr/link?id=S407270" TargetMode="External"/><Relationship Id="rId110" Type="http://schemas.openxmlformats.org/officeDocument/2006/relationships/hyperlink" Target="http://www.riss.kr/link?id=S17329" TargetMode="External"/><Relationship Id="rId348" Type="http://schemas.openxmlformats.org/officeDocument/2006/relationships/hyperlink" Target="http://www.riss.kr/link?id=S15476" TargetMode="External"/><Relationship Id="rId555" Type="http://schemas.openxmlformats.org/officeDocument/2006/relationships/hyperlink" Target="http://www.riss.kr/link?id=S20950" TargetMode="External"/><Relationship Id="rId762" Type="http://schemas.openxmlformats.org/officeDocument/2006/relationships/hyperlink" Target="http://www.riss.kr/link?id=S17778" TargetMode="External"/><Relationship Id="rId194" Type="http://schemas.openxmlformats.org/officeDocument/2006/relationships/hyperlink" Target="http://www.riss.kr/link?id=S90002399" TargetMode="External"/><Relationship Id="rId208" Type="http://schemas.openxmlformats.org/officeDocument/2006/relationships/hyperlink" Target="http://www.riss.kr/link?id=S418434" TargetMode="External"/><Relationship Id="rId415" Type="http://schemas.openxmlformats.org/officeDocument/2006/relationships/hyperlink" Target="http://www.riss.kr/link?id=S405766" TargetMode="External"/><Relationship Id="rId622" Type="http://schemas.openxmlformats.org/officeDocument/2006/relationships/hyperlink" Target="http://www.riss.kr/link?id=S15411" TargetMode="External"/><Relationship Id="rId261" Type="http://schemas.openxmlformats.org/officeDocument/2006/relationships/hyperlink" Target="http://www.riss.kr/link?id=S402827" TargetMode="External"/><Relationship Id="rId499" Type="http://schemas.openxmlformats.org/officeDocument/2006/relationships/hyperlink" Target="http://www.riss.kr/link?id=S407616" TargetMode="External"/><Relationship Id="rId927" Type="http://schemas.openxmlformats.org/officeDocument/2006/relationships/hyperlink" Target="http://www.riss.kr/link?id=S31425" TargetMode="External"/><Relationship Id="rId56" Type="http://schemas.openxmlformats.org/officeDocument/2006/relationships/hyperlink" Target="http://www.riss.kr/link?id=S400756" TargetMode="External"/><Relationship Id="rId359" Type="http://schemas.openxmlformats.org/officeDocument/2006/relationships/hyperlink" Target="http://www.riss.kr/link?id=S16074" TargetMode="External"/><Relationship Id="rId566" Type="http://schemas.openxmlformats.org/officeDocument/2006/relationships/hyperlink" Target="http://www.riss.kr/link?id=S15472" TargetMode="External"/><Relationship Id="rId773" Type="http://schemas.openxmlformats.org/officeDocument/2006/relationships/hyperlink" Target="http://www.riss.kr/link?id=S20527" TargetMode="External"/><Relationship Id="rId121" Type="http://schemas.openxmlformats.org/officeDocument/2006/relationships/hyperlink" Target="http://www.riss.kr/link?id=S414399" TargetMode="External"/><Relationship Id="rId219" Type="http://schemas.openxmlformats.org/officeDocument/2006/relationships/hyperlink" Target="http://www.riss.kr/link?id=S16699" TargetMode="External"/><Relationship Id="rId426" Type="http://schemas.openxmlformats.org/officeDocument/2006/relationships/hyperlink" Target="http://www.riss.kr/link?id=S16060" TargetMode="External"/><Relationship Id="rId633" Type="http://schemas.openxmlformats.org/officeDocument/2006/relationships/hyperlink" Target="http://www.riss.kr/link?id=S417085" TargetMode="External"/><Relationship Id="rId980" Type="http://schemas.openxmlformats.org/officeDocument/2006/relationships/vmlDrawing" Target="../drawings/vmlDrawing1.vml"/><Relationship Id="rId840" Type="http://schemas.openxmlformats.org/officeDocument/2006/relationships/hyperlink" Target="http://www.riss.kr/link?id=S93244" TargetMode="External"/><Relationship Id="rId938" Type="http://schemas.openxmlformats.org/officeDocument/2006/relationships/hyperlink" Target="http://www.riss.kr/link?id=S105323" TargetMode="External"/><Relationship Id="rId67" Type="http://schemas.openxmlformats.org/officeDocument/2006/relationships/hyperlink" Target="http://www.riss.kr/link?id=S15430" TargetMode="External"/><Relationship Id="rId272" Type="http://schemas.openxmlformats.org/officeDocument/2006/relationships/hyperlink" Target="http://www.riss.kr/link?id=S21836" TargetMode="External"/><Relationship Id="rId577" Type="http://schemas.openxmlformats.org/officeDocument/2006/relationships/hyperlink" Target="http://www.riss.kr/link?id=S15063" TargetMode="External"/><Relationship Id="rId700" Type="http://schemas.openxmlformats.org/officeDocument/2006/relationships/hyperlink" Target="http://www.riss.kr/link?id=S20085548" TargetMode="External"/><Relationship Id="rId132" Type="http://schemas.openxmlformats.org/officeDocument/2006/relationships/hyperlink" Target="http://www.riss.kr/link?id=S57569" TargetMode="External"/><Relationship Id="rId784" Type="http://schemas.openxmlformats.org/officeDocument/2006/relationships/hyperlink" Target="http://www.riss.kr/link?id=S11606249" TargetMode="External"/><Relationship Id="rId437" Type="http://schemas.openxmlformats.org/officeDocument/2006/relationships/hyperlink" Target="http://www.riss.kr/link?id=S16057" TargetMode="External"/><Relationship Id="rId644" Type="http://schemas.openxmlformats.org/officeDocument/2006/relationships/hyperlink" Target="http://www.riss.kr/link?id=S415386" TargetMode="External"/><Relationship Id="rId851" Type="http://schemas.openxmlformats.org/officeDocument/2006/relationships/hyperlink" Target="http://www.riss.kr/link?id=S87915" TargetMode="External"/><Relationship Id="rId283" Type="http://schemas.openxmlformats.org/officeDocument/2006/relationships/hyperlink" Target="http://www.riss.kr/link?id=S30000638" TargetMode="External"/><Relationship Id="rId490" Type="http://schemas.openxmlformats.org/officeDocument/2006/relationships/hyperlink" Target="http://www.riss.kr/link?id=S15591" TargetMode="External"/><Relationship Id="rId504" Type="http://schemas.openxmlformats.org/officeDocument/2006/relationships/hyperlink" Target="http://www.riss.kr/link?id=S409124" TargetMode="External"/><Relationship Id="rId711" Type="http://schemas.openxmlformats.org/officeDocument/2006/relationships/hyperlink" Target="http://www.riss.kr/link?id=S11643712" TargetMode="External"/><Relationship Id="rId949" Type="http://schemas.openxmlformats.org/officeDocument/2006/relationships/hyperlink" Target="http://www.riss.kr/link?id=S413798" TargetMode="External"/><Relationship Id="rId78" Type="http://schemas.openxmlformats.org/officeDocument/2006/relationships/hyperlink" Target="http://www.riss.kr/link?id=S12866" TargetMode="External"/><Relationship Id="rId143" Type="http://schemas.openxmlformats.org/officeDocument/2006/relationships/hyperlink" Target="http://www.riss.kr/link?id=S60967" TargetMode="External"/><Relationship Id="rId350" Type="http://schemas.openxmlformats.org/officeDocument/2006/relationships/hyperlink" Target="http://www.riss.kr/link?id=S17509" TargetMode="External"/><Relationship Id="rId588" Type="http://schemas.openxmlformats.org/officeDocument/2006/relationships/hyperlink" Target="http://www.riss.kr/link?id=S11574226" TargetMode="External"/><Relationship Id="rId795" Type="http://schemas.openxmlformats.org/officeDocument/2006/relationships/hyperlink" Target="http://www.riss.kr/link?id=S48390" TargetMode="External"/><Relationship Id="rId809" Type="http://schemas.openxmlformats.org/officeDocument/2006/relationships/hyperlink" Target="http://www.riss.kr/link?id=S417018" TargetMode="External"/><Relationship Id="rId9" Type="http://schemas.openxmlformats.org/officeDocument/2006/relationships/hyperlink" Target="http://www.riss.kr/link?id=S18822" TargetMode="External"/><Relationship Id="rId210" Type="http://schemas.openxmlformats.org/officeDocument/2006/relationships/hyperlink" Target="http://www.riss.kr/link?id=S28951" TargetMode="External"/><Relationship Id="rId448" Type="http://schemas.openxmlformats.org/officeDocument/2006/relationships/hyperlink" Target="http://www.riss.kr/link?id=S16902" TargetMode="External"/><Relationship Id="rId655" Type="http://schemas.openxmlformats.org/officeDocument/2006/relationships/hyperlink" Target="http://www.riss.kr/link?id=S16848" TargetMode="External"/><Relationship Id="rId862" Type="http://schemas.openxmlformats.org/officeDocument/2006/relationships/hyperlink" Target="http://www.riss.kr/link?id=S31001099" TargetMode="External"/><Relationship Id="rId294" Type="http://schemas.openxmlformats.org/officeDocument/2006/relationships/hyperlink" Target="http://www.riss.kr/link?id=S103860" TargetMode="External"/><Relationship Id="rId308" Type="http://schemas.openxmlformats.org/officeDocument/2006/relationships/hyperlink" Target="http://www.riss.kr/link?id=S60899" TargetMode="External"/><Relationship Id="rId515" Type="http://schemas.openxmlformats.org/officeDocument/2006/relationships/hyperlink" Target="http://www.riss.kr/link?id=S31000230" TargetMode="External"/><Relationship Id="rId722" Type="http://schemas.openxmlformats.org/officeDocument/2006/relationships/hyperlink" Target="http://www.riss.kr/link?id=S115630" TargetMode="External"/><Relationship Id="rId89" Type="http://schemas.openxmlformats.org/officeDocument/2006/relationships/hyperlink" Target="http://www.riss.kr/link?id=S410185" TargetMode="External"/><Relationship Id="rId154" Type="http://schemas.openxmlformats.org/officeDocument/2006/relationships/hyperlink" Target="http://www.riss.kr/link?id=S90024680" TargetMode="External"/><Relationship Id="rId361" Type="http://schemas.openxmlformats.org/officeDocument/2006/relationships/hyperlink" Target="http://www.riss.kr/link?id=S402394" TargetMode="External"/><Relationship Id="rId599" Type="http://schemas.openxmlformats.org/officeDocument/2006/relationships/hyperlink" Target="http://www.riss.kr/link?id=S35207" TargetMode="External"/><Relationship Id="rId459" Type="http://schemas.openxmlformats.org/officeDocument/2006/relationships/hyperlink" Target="http://www.riss.kr/link?id=S20156" TargetMode="External"/><Relationship Id="rId666" Type="http://schemas.openxmlformats.org/officeDocument/2006/relationships/hyperlink" Target="http://www.riss.kr/link?id=S17420" TargetMode="External"/><Relationship Id="rId873" Type="http://schemas.openxmlformats.org/officeDocument/2006/relationships/hyperlink" Target="http://www.riss.kr/link?id=S11625015" TargetMode="External"/><Relationship Id="rId16" Type="http://schemas.openxmlformats.org/officeDocument/2006/relationships/hyperlink" Target="http://www.riss.kr/link?id=S90019138" TargetMode="External"/><Relationship Id="rId221" Type="http://schemas.openxmlformats.org/officeDocument/2006/relationships/hyperlink" Target="http://www.riss.kr/link?id=S31700" TargetMode="External"/><Relationship Id="rId319" Type="http://schemas.openxmlformats.org/officeDocument/2006/relationships/hyperlink" Target="http://www.riss.kr/link?id=S402589" TargetMode="External"/><Relationship Id="rId526" Type="http://schemas.openxmlformats.org/officeDocument/2006/relationships/hyperlink" Target="http://www.riss.kr/link?id=S28468" TargetMode="External"/><Relationship Id="rId733" Type="http://schemas.openxmlformats.org/officeDocument/2006/relationships/hyperlink" Target="http://www.riss.kr/link?id=S60841" TargetMode="External"/><Relationship Id="rId940" Type="http://schemas.openxmlformats.org/officeDocument/2006/relationships/hyperlink" Target="http://www.riss.kr/link?id=S80251" TargetMode="External"/><Relationship Id="rId165" Type="http://schemas.openxmlformats.org/officeDocument/2006/relationships/hyperlink" Target="http://www.riss.kr/link?id=S17129" TargetMode="External"/><Relationship Id="rId372" Type="http://schemas.openxmlformats.org/officeDocument/2006/relationships/hyperlink" Target="http://www.riss.kr/link?id=S418720" TargetMode="External"/><Relationship Id="rId677" Type="http://schemas.openxmlformats.org/officeDocument/2006/relationships/hyperlink" Target="http://www.riss.kr/link?id=S402360" TargetMode="External"/><Relationship Id="rId800" Type="http://schemas.openxmlformats.org/officeDocument/2006/relationships/hyperlink" Target="http://www.riss.kr/link?id=S48936" TargetMode="External"/><Relationship Id="rId232" Type="http://schemas.openxmlformats.org/officeDocument/2006/relationships/hyperlink" Target="http://www.riss.kr/link?id=S16191" TargetMode="External"/><Relationship Id="rId884" Type="http://schemas.openxmlformats.org/officeDocument/2006/relationships/hyperlink" Target="http://www.riss.kr/link?id=S7127" TargetMode="External"/><Relationship Id="rId27" Type="http://schemas.openxmlformats.org/officeDocument/2006/relationships/hyperlink" Target="http://www.riss.kr/link?id=S14693" TargetMode="External"/><Relationship Id="rId537" Type="http://schemas.openxmlformats.org/officeDocument/2006/relationships/hyperlink" Target="http://www.riss.kr/link?id=S31001281" TargetMode="External"/><Relationship Id="rId744" Type="http://schemas.openxmlformats.org/officeDocument/2006/relationships/hyperlink" Target="http://www.riss.kr/link?id=S15985" TargetMode="External"/><Relationship Id="rId951" Type="http://schemas.openxmlformats.org/officeDocument/2006/relationships/hyperlink" Target="http://www.riss.kr/link?id=S36572" TargetMode="External"/><Relationship Id="rId80" Type="http://schemas.openxmlformats.org/officeDocument/2006/relationships/hyperlink" Target="http://www.riss.kr/link?id=S20013054" TargetMode="External"/><Relationship Id="rId176" Type="http://schemas.openxmlformats.org/officeDocument/2006/relationships/hyperlink" Target="http://www.riss.kr/link?id=S15418" TargetMode="External"/><Relationship Id="rId383" Type="http://schemas.openxmlformats.org/officeDocument/2006/relationships/hyperlink" Target="http://www.riss.kr/link?id=S5542" TargetMode="External"/><Relationship Id="rId590" Type="http://schemas.openxmlformats.org/officeDocument/2006/relationships/hyperlink" Target="http://www.riss.kr/link?id=S414990" TargetMode="External"/><Relationship Id="rId604" Type="http://schemas.openxmlformats.org/officeDocument/2006/relationships/hyperlink" Target="http://www.riss.kr/link?id=S20891" TargetMode="External"/><Relationship Id="rId811" Type="http://schemas.openxmlformats.org/officeDocument/2006/relationships/hyperlink" Target="http://www.riss.kr/link?id=S26171" TargetMode="External"/><Relationship Id="rId243" Type="http://schemas.openxmlformats.org/officeDocument/2006/relationships/hyperlink" Target="http://www.riss.kr/link?id=S16119" TargetMode="External"/><Relationship Id="rId450" Type="http://schemas.openxmlformats.org/officeDocument/2006/relationships/hyperlink" Target="http://www.riss.kr/link?id=S14961" TargetMode="External"/><Relationship Id="rId688" Type="http://schemas.openxmlformats.org/officeDocument/2006/relationships/hyperlink" Target="http://www.riss.kr/link?id=S401354" TargetMode="External"/><Relationship Id="rId895" Type="http://schemas.openxmlformats.org/officeDocument/2006/relationships/hyperlink" Target="http://www.riss.kr/link?id=S416788" TargetMode="External"/><Relationship Id="rId909" Type="http://schemas.openxmlformats.org/officeDocument/2006/relationships/hyperlink" Target="http://www.riss.kr/link?id=S48722" TargetMode="External"/><Relationship Id="rId38" Type="http://schemas.openxmlformats.org/officeDocument/2006/relationships/hyperlink" Target="http://www.riss.kr/link?id=S70826" TargetMode="External"/><Relationship Id="rId103" Type="http://schemas.openxmlformats.org/officeDocument/2006/relationships/hyperlink" Target="http://www.riss.kr/link?id=S400716" TargetMode="External"/><Relationship Id="rId310" Type="http://schemas.openxmlformats.org/officeDocument/2006/relationships/hyperlink" Target="http://www.riss.kr/link?id=S15605" TargetMode="External"/><Relationship Id="rId548" Type="http://schemas.openxmlformats.org/officeDocument/2006/relationships/hyperlink" Target="http://www.riss.kr/link?id=S73295" TargetMode="External"/><Relationship Id="rId755" Type="http://schemas.openxmlformats.org/officeDocument/2006/relationships/hyperlink" Target="http://www.riss.kr/link?id=S31011773" TargetMode="External"/><Relationship Id="rId962" Type="http://schemas.openxmlformats.org/officeDocument/2006/relationships/hyperlink" Target="http://www.riss.kr/link?id=S104180" TargetMode="External"/><Relationship Id="rId91" Type="http://schemas.openxmlformats.org/officeDocument/2006/relationships/hyperlink" Target="http://www.riss.kr/link?id=S85045" TargetMode="External"/><Relationship Id="rId187" Type="http://schemas.openxmlformats.org/officeDocument/2006/relationships/hyperlink" Target="http://www.riss.kr/link?id=S31000325" TargetMode="External"/><Relationship Id="rId394" Type="http://schemas.openxmlformats.org/officeDocument/2006/relationships/hyperlink" Target="http://www.riss.kr/link?id=S16064" TargetMode="External"/><Relationship Id="rId408" Type="http://schemas.openxmlformats.org/officeDocument/2006/relationships/hyperlink" Target="http://www.riss.kr/link?id=S97822" TargetMode="External"/><Relationship Id="rId615" Type="http://schemas.openxmlformats.org/officeDocument/2006/relationships/hyperlink" Target="http://www.riss.kr/link?id=S5548" TargetMode="External"/><Relationship Id="rId822" Type="http://schemas.openxmlformats.org/officeDocument/2006/relationships/hyperlink" Target="http://www.riss.kr/link?id=S19603" TargetMode="External"/><Relationship Id="rId254" Type="http://schemas.openxmlformats.org/officeDocument/2006/relationships/hyperlink" Target="http://www.riss.kr/link?id=S30004950" TargetMode="External"/><Relationship Id="rId699" Type="http://schemas.openxmlformats.org/officeDocument/2006/relationships/hyperlink" Target="http://www.riss.kr/link?id=S13274" TargetMode="External"/><Relationship Id="rId49" Type="http://schemas.openxmlformats.org/officeDocument/2006/relationships/hyperlink" Target="http://www.riss.kr/link?id=S29089" TargetMode="External"/><Relationship Id="rId114" Type="http://schemas.openxmlformats.org/officeDocument/2006/relationships/hyperlink" Target="http://www.riss.kr/link?id=S28294" TargetMode="External"/><Relationship Id="rId461" Type="http://schemas.openxmlformats.org/officeDocument/2006/relationships/hyperlink" Target="http://www.riss.kr/link?id=S11575513" TargetMode="External"/><Relationship Id="rId559" Type="http://schemas.openxmlformats.org/officeDocument/2006/relationships/hyperlink" Target="http://www.riss.kr/link?id=S115629" TargetMode="External"/><Relationship Id="rId766" Type="http://schemas.openxmlformats.org/officeDocument/2006/relationships/hyperlink" Target="http://www.riss.kr/link?id=S31028687" TargetMode="External"/><Relationship Id="rId198" Type="http://schemas.openxmlformats.org/officeDocument/2006/relationships/hyperlink" Target="http://www.riss.kr/link?id=S414391" TargetMode="External"/><Relationship Id="rId321" Type="http://schemas.openxmlformats.org/officeDocument/2006/relationships/hyperlink" Target="http://www.riss.kr/link?id=S21689" TargetMode="External"/><Relationship Id="rId419" Type="http://schemas.openxmlformats.org/officeDocument/2006/relationships/hyperlink" Target="http://www.riss.kr/link?id=S13289" TargetMode="External"/><Relationship Id="rId626" Type="http://schemas.openxmlformats.org/officeDocument/2006/relationships/hyperlink" Target="http://www.riss.kr/link?id=S15954" TargetMode="External"/><Relationship Id="rId973" Type="http://schemas.openxmlformats.org/officeDocument/2006/relationships/hyperlink" Target="http://www.riss.kr/link?id=S85829" TargetMode="External"/><Relationship Id="rId833" Type="http://schemas.openxmlformats.org/officeDocument/2006/relationships/hyperlink" Target="http://www.riss.kr/link?id=S48404" TargetMode="External"/><Relationship Id="rId265" Type="http://schemas.openxmlformats.org/officeDocument/2006/relationships/hyperlink" Target="http://www.riss.kr/link?id=S402265" TargetMode="External"/><Relationship Id="rId472" Type="http://schemas.openxmlformats.org/officeDocument/2006/relationships/hyperlink" Target="http://www.riss.kr/link?id=S21692" TargetMode="External"/><Relationship Id="rId900" Type="http://schemas.openxmlformats.org/officeDocument/2006/relationships/hyperlink" Target="http://www.riss.kr/link?id=S80026" TargetMode="External"/><Relationship Id="rId125" Type="http://schemas.openxmlformats.org/officeDocument/2006/relationships/hyperlink" Target="http://www.riss.kr/link?id=S16440" TargetMode="External"/><Relationship Id="rId332" Type="http://schemas.openxmlformats.org/officeDocument/2006/relationships/hyperlink" Target="http://www.riss.kr/link?id=S414304" TargetMode="External"/><Relationship Id="rId777" Type="http://schemas.openxmlformats.org/officeDocument/2006/relationships/hyperlink" Target="http://www.riss.kr/link?id=S414819" TargetMode="External"/><Relationship Id="rId637" Type="http://schemas.openxmlformats.org/officeDocument/2006/relationships/hyperlink" Target="http://www.riss.kr/link?id=S107335" TargetMode="External"/><Relationship Id="rId844" Type="http://schemas.openxmlformats.org/officeDocument/2006/relationships/hyperlink" Target="http://www.riss.kr/link?id=S48729" TargetMode="External"/><Relationship Id="rId276" Type="http://schemas.openxmlformats.org/officeDocument/2006/relationships/hyperlink" Target="http://www.riss.kr/link?id=S31000353" TargetMode="External"/><Relationship Id="rId483" Type="http://schemas.openxmlformats.org/officeDocument/2006/relationships/hyperlink" Target="http://www.riss.kr/link?id=S11588287" TargetMode="External"/><Relationship Id="rId690" Type="http://schemas.openxmlformats.org/officeDocument/2006/relationships/hyperlink" Target="http://www.riss.kr/link?id=S115390" TargetMode="External"/><Relationship Id="rId704" Type="http://schemas.openxmlformats.org/officeDocument/2006/relationships/hyperlink" Target="http://www.riss.kr/link?id=S80310" TargetMode="External"/><Relationship Id="rId911" Type="http://schemas.openxmlformats.org/officeDocument/2006/relationships/hyperlink" Target="http://www.riss.kr/link?id=S84179" TargetMode="External"/><Relationship Id="rId40" Type="http://schemas.openxmlformats.org/officeDocument/2006/relationships/hyperlink" Target="http://www.riss.kr/link?id=S16798" TargetMode="External"/><Relationship Id="rId136" Type="http://schemas.openxmlformats.org/officeDocument/2006/relationships/hyperlink" Target="http://www.riss.kr/link?id=S30004502" TargetMode="External"/><Relationship Id="rId343" Type="http://schemas.openxmlformats.org/officeDocument/2006/relationships/hyperlink" Target="http://www.riss.kr/link?id=S12566" TargetMode="External"/><Relationship Id="rId550" Type="http://schemas.openxmlformats.org/officeDocument/2006/relationships/hyperlink" Target="http://www.riss.kr/link?id=S416149" TargetMode="External"/><Relationship Id="rId788" Type="http://schemas.openxmlformats.org/officeDocument/2006/relationships/hyperlink" Target="http://www.riss.kr/link?id=S64419" TargetMode="External"/><Relationship Id="rId203" Type="http://schemas.openxmlformats.org/officeDocument/2006/relationships/hyperlink" Target="http://www.riss.kr/link?id=S401818" TargetMode="External"/><Relationship Id="rId648" Type="http://schemas.openxmlformats.org/officeDocument/2006/relationships/hyperlink" Target="http://www.riss.kr/link?id=S417529" TargetMode="External"/><Relationship Id="rId855" Type="http://schemas.openxmlformats.org/officeDocument/2006/relationships/hyperlink" Target="http://www.riss.kr/link?id=S63709" TargetMode="External"/><Relationship Id="rId287" Type="http://schemas.openxmlformats.org/officeDocument/2006/relationships/hyperlink" Target="http://www.riss.kr/link?id=S61420" TargetMode="External"/><Relationship Id="rId410" Type="http://schemas.openxmlformats.org/officeDocument/2006/relationships/hyperlink" Target="http://www.riss.kr/link?id=S17499" TargetMode="External"/><Relationship Id="rId494" Type="http://schemas.openxmlformats.org/officeDocument/2006/relationships/hyperlink" Target="http://www.riss.kr/link?id=S11573535" TargetMode="External"/><Relationship Id="rId508" Type="http://schemas.openxmlformats.org/officeDocument/2006/relationships/hyperlink" Target="http://www.riss.kr/link?id=S20012366" TargetMode="External"/><Relationship Id="rId715" Type="http://schemas.openxmlformats.org/officeDocument/2006/relationships/hyperlink" Target="http://www.riss.kr/link?id=S43399" TargetMode="External"/><Relationship Id="rId922" Type="http://schemas.openxmlformats.org/officeDocument/2006/relationships/hyperlink" Target="http://www.riss.kr/link?id=S104082" TargetMode="External"/><Relationship Id="rId147" Type="http://schemas.openxmlformats.org/officeDocument/2006/relationships/hyperlink" Target="http://www.riss.kr/link?id=S17552" TargetMode="External"/><Relationship Id="rId354" Type="http://schemas.openxmlformats.org/officeDocument/2006/relationships/hyperlink" Target="http://www.riss.kr/link?id=S411965" TargetMode="External"/><Relationship Id="rId799" Type="http://schemas.openxmlformats.org/officeDocument/2006/relationships/hyperlink" Target="http://www.riss.kr/link?id=S62294" TargetMode="External"/><Relationship Id="rId51" Type="http://schemas.openxmlformats.org/officeDocument/2006/relationships/hyperlink" Target="http://www.riss.kr/link?id=S17392" TargetMode="External"/><Relationship Id="rId561" Type="http://schemas.openxmlformats.org/officeDocument/2006/relationships/hyperlink" Target="http://www.riss.kr/link?id=S18799" TargetMode="External"/><Relationship Id="rId659" Type="http://schemas.openxmlformats.org/officeDocument/2006/relationships/hyperlink" Target="http://www.riss.kr/link?id=S17031" TargetMode="External"/><Relationship Id="rId866" Type="http://schemas.openxmlformats.org/officeDocument/2006/relationships/hyperlink" Target="http://www.riss.kr/link?id=S63464" TargetMode="External"/><Relationship Id="rId214" Type="http://schemas.openxmlformats.org/officeDocument/2006/relationships/hyperlink" Target="http://www.riss.kr/link?id=S17318" TargetMode="External"/><Relationship Id="rId298" Type="http://schemas.openxmlformats.org/officeDocument/2006/relationships/hyperlink" Target="http://www.riss.kr/link?id=S24614" TargetMode="External"/><Relationship Id="rId421" Type="http://schemas.openxmlformats.org/officeDocument/2006/relationships/hyperlink" Target="http://www.riss.kr/link?id=S28470" TargetMode="External"/><Relationship Id="rId519" Type="http://schemas.openxmlformats.org/officeDocument/2006/relationships/hyperlink" Target="http://www.riss.kr/link?id=S17254" TargetMode="External"/><Relationship Id="rId158" Type="http://schemas.openxmlformats.org/officeDocument/2006/relationships/hyperlink" Target="http://www.riss.kr/link?id=S82964" TargetMode="External"/><Relationship Id="rId726" Type="http://schemas.openxmlformats.org/officeDocument/2006/relationships/hyperlink" Target="http://www.riss.kr/link?id=S50066" TargetMode="External"/><Relationship Id="rId933" Type="http://schemas.openxmlformats.org/officeDocument/2006/relationships/hyperlink" Target="http://www.riss.kr/link?id=S143626" TargetMode="External"/><Relationship Id="rId62" Type="http://schemas.openxmlformats.org/officeDocument/2006/relationships/hyperlink" Target="http://www.riss.kr/link?id=S14685" TargetMode="External"/><Relationship Id="rId365" Type="http://schemas.openxmlformats.org/officeDocument/2006/relationships/hyperlink" Target="http://www.riss.kr/link?id=S31004980" TargetMode="External"/><Relationship Id="rId572" Type="http://schemas.openxmlformats.org/officeDocument/2006/relationships/hyperlink" Target="http://www.riss.kr/link?id=S20010854" TargetMode="External"/><Relationship Id="rId225" Type="http://schemas.openxmlformats.org/officeDocument/2006/relationships/hyperlink" Target="http://www.riss.kr/link?id=S29847" TargetMode="External"/><Relationship Id="rId432" Type="http://schemas.openxmlformats.org/officeDocument/2006/relationships/hyperlink" Target="http://www.riss.kr/link?id=S20404" TargetMode="External"/><Relationship Id="rId877" Type="http://schemas.openxmlformats.org/officeDocument/2006/relationships/hyperlink" Target="http://www.riss.kr/link?id=S72786" TargetMode="External"/><Relationship Id="rId737" Type="http://schemas.openxmlformats.org/officeDocument/2006/relationships/hyperlink" Target="http://www.riss.kr/link?id=S18502" TargetMode="External"/><Relationship Id="rId944" Type="http://schemas.openxmlformats.org/officeDocument/2006/relationships/hyperlink" Target="http://www.riss.kr/link?id=S19719" TargetMode="External"/><Relationship Id="rId73" Type="http://schemas.openxmlformats.org/officeDocument/2006/relationships/hyperlink" Target="http://www.riss.kr/link?id=S20636" TargetMode="External"/><Relationship Id="rId169" Type="http://schemas.openxmlformats.org/officeDocument/2006/relationships/hyperlink" Target="http://www.riss.kr/link?id=S417181" TargetMode="External"/><Relationship Id="rId376" Type="http://schemas.openxmlformats.org/officeDocument/2006/relationships/hyperlink" Target="http://www.riss.kr/link?id=S5099" TargetMode="External"/><Relationship Id="rId583" Type="http://schemas.openxmlformats.org/officeDocument/2006/relationships/hyperlink" Target="http://www.riss.kr/link?id=S13936" TargetMode="External"/><Relationship Id="rId790" Type="http://schemas.openxmlformats.org/officeDocument/2006/relationships/hyperlink" Target="http://www.riss.kr/link?id=S25143" TargetMode="External"/><Relationship Id="rId804" Type="http://schemas.openxmlformats.org/officeDocument/2006/relationships/hyperlink" Target="http://www.riss.kr/link?id=S30780" TargetMode="External"/><Relationship Id="rId4" Type="http://schemas.openxmlformats.org/officeDocument/2006/relationships/hyperlink" Target="http://www.riss.kr/link?id=S409990" TargetMode="External"/><Relationship Id="rId236" Type="http://schemas.openxmlformats.org/officeDocument/2006/relationships/hyperlink" Target="http://www.riss.kr/link?id=S401504" TargetMode="External"/><Relationship Id="rId443" Type="http://schemas.openxmlformats.org/officeDocument/2006/relationships/hyperlink" Target="http://www.riss.kr/link?id=S17078" TargetMode="External"/><Relationship Id="rId650" Type="http://schemas.openxmlformats.org/officeDocument/2006/relationships/hyperlink" Target="http://www.riss.kr/link?id=S413600" TargetMode="External"/><Relationship Id="rId888" Type="http://schemas.openxmlformats.org/officeDocument/2006/relationships/hyperlink" Target="http://www.riss.kr/link?id=S60956" TargetMode="External"/><Relationship Id="rId303" Type="http://schemas.openxmlformats.org/officeDocument/2006/relationships/hyperlink" Target="http://www.riss.kr/link?id=S20022179" TargetMode="External"/><Relationship Id="rId748" Type="http://schemas.openxmlformats.org/officeDocument/2006/relationships/hyperlink" Target="http://www.riss.kr/link?id=S29694" TargetMode="External"/><Relationship Id="rId955" Type="http://schemas.openxmlformats.org/officeDocument/2006/relationships/hyperlink" Target="http://www.riss.kr/link?id=S104126" TargetMode="External"/><Relationship Id="rId84" Type="http://schemas.openxmlformats.org/officeDocument/2006/relationships/hyperlink" Target="http://www.riss.kr/link?id=S16085" TargetMode="External"/><Relationship Id="rId387" Type="http://schemas.openxmlformats.org/officeDocument/2006/relationships/hyperlink" Target="http://www.riss.kr/link?id=S12896" TargetMode="External"/><Relationship Id="rId510" Type="http://schemas.openxmlformats.org/officeDocument/2006/relationships/hyperlink" Target="http://www.riss.kr/link?id=S17471" TargetMode="External"/><Relationship Id="rId594" Type="http://schemas.openxmlformats.org/officeDocument/2006/relationships/hyperlink" Target="http://www.riss.kr/link?id=S103468" TargetMode="External"/><Relationship Id="rId608" Type="http://schemas.openxmlformats.org/officeDocument/2006/relationships/hyperlink" Target="http://www.riss.kr/link?id=S20888" TargetMode="External"/><Relationship Id="rId815" Type="http://schemas.openxmlformats.org/officeDocument/2006/relationships/hyperlink" Target="http://www.riss.kr/link?id=S31658" TargetMode="External"/><Relationship Id="rId247" Type="http://schemas.openxmlformats.org/officeDocument/2006/relationships/hyperlink" Target="http://www.riss.kr/link?id=S15740" TargetMode="External"/><Relationship Id="rId899" Type="http://schemas.openxmlformats.org/officeDocument/2006/relationships/hyperlink" Target="http://www.riss.kr/link?id=S19712" TargetMode="External"/><Relationship Id="rId107" Type="http://schemas.openxmlformats.org/officeDocument/2006/relationships/hyperlink" Target="http://www.riss.kr/link?id=S17152" TargetMode="External"/><Relationship Id="rId454" Type="http://schemas.openxmlformats.org/officeDocument/2006/relationships/hyperlink" Target="http://www.riss.kr/link?id=S28842" TargetMode="External"/><Relationship Id="rId661" Type="http://schemas.openxmlformats.org/officeDocument/2006/relationships/hyperlink" Target="http://www.riss.kr/link?id=S5102" TargetMode="External"/><Relationship Id="rId759" Type="http://schemas.openxmlformats.org/officeDocument/2006/relationships/hyperlink" Target="http://www.riss.kr/link?id=S30006830" TargetMode="External"/><Relationship Id="rId966" Type="http://schemas.openxmlformats.org/officeDocument/2006/relationships/hyperlink" Target="http://www.riss.kr/link?id=S20085282" TargetMode="External"/><Relationship Id="rId11" Type="http://schemas.openxmlformats.org/officeDocument/2006/relationships/hyperlink" Target="http://www.riss.kr/link?id=S17591" TargetMode="External"/><Relationship Id="rId314" Type="http://schemas.openxmlformats.org/officeDocument/2006/relationships/hyperlink" Target="http://www.riss.kr/link?id=S61263" TargetMode="External"/><Relationship Id="rId398" Type="http://schemas.openxmlformats.org/officeDocument/2006/relationships/hyperlink" Target="http://www.riss.kr/link?id=S14006" TargetMode="External"/><Relationship Id="rId521" Type="http://schemas.openxmlformats.org/officeDocument/2006/relationships/hyperlink" Target="http://www.riss.kr/link?id=S418445" TargetMode="External"/><Relationship Id="rId619" Type="http://schemas.openxmlformats.org/officeDocument/2006/relationships/hyperlink" Target="http://www.riss.kr/link?id=S30000694" TargetMode="External"/><Relationship Id="rId95" Type="http://schemas.openxmlformats.org/officeDocument/2006/relationships/hyperlink" Target="http://www.riss.kr/link?id=S5355" TargetMode="External"/><Relationship Id="rId160" Type="http://schemas.openxmlformats.org/officeDocument/2006/relationships/hyperlink" Target="http://www.riss.kr/link?id=S12733" TargetMode="External"/><Relationship Id="rId826" Type="http://schemas.openxmlformats.org/officeDocument/2006/relationships/hyperlink" Target="http://www.riss.kr/link?id=S40376" TargetMode="External"/><Relationship Id="rId258" Type="http://schemas.openxmlformats.org/officeDocument/2006/relationships/hyperlink" Target="http://www.riss.kr/link?id=S404178" TargetMode="External"/><Relationship Id="rId465" Type="http://schemas.openxmlformats.org/officeDocument/2006/relationships/hyperlink" Target="http://www.riss.kr/link?id=S61982" TargetMode="External"/><Relationship Id="rId672" Type="http://schemas.openxmlformats.org/officeDocument/2006/relationships/hyperlink" Target="http://www.riss.kr/link?id=S43165" TargetMode="External"/><Relationship Id="rId22" Type="http://schemas.openxmlformats.org/officeDocument/2006/relationships/hyperlink" Target="http://www.riss.kr/link?id=S21699" TargetMode="External"/><Relationship Id="rId118" Type="http://schemas.openxmlformats.org/officeDocument/2006/relationships/hyperlink" Target="http://www.riss.kr/link?id=S90482" TargetMode="External"/><Relationship Id="rId325" Type="http://schemas.openxmlformats.org/officeDocument/2006/relationships/hyperlink" Target="http://www.riss.kr/link?id=S405313" TargetMode="External"/><Relationship Id="rId532" Type="http://schemas.openxmlformats.org/officeDocument/2006/relationships/hyperlink" Target="http://www.riss.kr/link?id=S20069046" TargetMode="External"/><Relationship Id="rId977" Type="http://schemas.openxmlformats.org/officeDocument/2006/relationships/hyperlink" Target="http://www.riss.kr/link?id=S35578" TargetMode="External"/><Relationship Id="rId171" Type="http://schemas.openxmlformats.org/officeDocument/2006/relationships/hyperlink" Target="http://www.riss.kr/link?id=S61578" TargetMode="External"/><Relationship Id="rId837" Type="http://schemas.openxmlformats.org/officeDocument/2006/relationships/hyperlink" Target="http://www.riss.kr/link?id=S35290" TargetMode="External"/><Relationship Id="rId269" Type="http://schemas.openxmlformats.org/officeDocument/2006/relationships/hyperlink" Target="http://www.riss.kr/link?id=S404348" TargetMode="External"/><Relationship Id="rId476" Type="http://schemas.openxmlformats.org/officeDocument/2006/relationships/hyperlink" Target="http://www.riss.kr/link?id=S20215" TargetMode="External"/><Relationship Id="rId683" Type="http://schemas.openxmlformats.org/officeDocument/2006/relationships/hyperlink" Target="http://www.riss.kr/link?id=S29090" TargetMode="External"/><Relationship Id="rId890" Type="http://schemas.openxmlformats.org/officeDocument/2006/relationships/hyperlink" Target="http://www.riss.kr/link?id=S31000567" TargetMode="External"/><Relationship Id="rId904" Type="http://schemas.openxmlformats.org/officeDocument/2006/relationships/hyperlink" Target="http://www.riss.kr/link?id=S62753" TargetMode="External"/><Relationship Id="rId33" Type="http://schemas.openxmlformats.org/officeDocument/2006/relationships/hyperlink" Target="http://www.riss.kr/link?id=S31000236" TargetMode="External"/><Relationship Id="rId129" Type="http://schemas.openxmlformats.org/officeDocument/2006/relationships/hyperlink" Target="http://www.riss.kr/link?id=S15647" TargetMode="External"/><Relationship Id="rId336" Type="http://schemas.openxmlformats.org/officeDocument/2006/relationships/hyperlink" Target="http://www.riss.kr/link?id=S5079" TargetMode="External"/><Relationship Id="rId543" Type="http://schemas.openxmlformats.org/officeDocument/2006/relationships/hyperlink" Target="http://www.riss.kr/link?id=S14360" TargetMode="External"/><Relationship Id="rId182" Type="http://schemas.openxmlformats.org/officeDocument/2006/relationships/hyperlink" Target="http://www.riss.kr/link?id=S16953" TargetMode="External"/><Relationship Id="rId403" Type="http://schemas.openxmlformats.org/officeDocument/2006/relationships/hyperlink" Target="http://www.riss.kr/link?id=S21317" TargetMode="External"/><Relationship Id="rId750" Type="http://schemas.openxmlformats.org/officeDocument/2006/relationships/hyperlink" Target="http://www.riss.kr/link?id=S79897" TargetMode="External"/><Relationship Id="rId848" Type="http://schemas.openxmlformats.org/officeDocument/2006/relationships/hyperlink" Target="http://www.riss.kr/link?id=S50135" TargetMode="External"/><Relationship Id="rId487" Type="http://schemas.openxmlformats.org/officeDocument/2006/relationships/hyperlink" Target="http://www.riss.kr/link?id=S16024" TargetMode="External"/><Relationship Id="rId610" Type="http://schemas.openxmlformats.org/officeDocument/2006/relationships/hyperlink" Target="http://www.riss.kr/link?id=S103925" TargetMode="External"/><Relationship Id="rId694" Type="http://schemas.openxmlformats.org/officeDocument/2006/relationships/hyperlink" Target="http://www.riss.kr/link?id=S12262" TargetMode="External"/><Relationship Id="rId708" Type="http://schemas.openxmlformats.org/officeDocument/2006/relationships/hyperlink" Target="http://www.riss.kr/link?id=S53708" TargetMode="External"/><Relationship Id="rId915" Type="http://schemas.openxmlformats.org/officeDocument/2006/relationships/hyperlink" Target="http://www.riss.kr/link?id=S80221" TargetMode="External"/><Relationship Id="rId347" Type="http://schemas.openxmlformats.org/officeDocument/2006/relationships/hyperlink" Target="http://www.riss.kr/link?id=S15020" TargetMode="External"/><Relationship Id="rId44" Type="http://schemas.openxmlformats.org/officeDocument/2006/relationships/hyperlink" Target="http://www.riss.kr/link?id=S23698" TargetMode="External"/><Relationship Id="rId554" Type="http://schemas.openxmlformats.org/officeDocument/2006/relationships/hyperlink" Target="http://www.riss.kr/link?id=S20951" TargetMode="External"/><Relationship Id="rId761" Type="http://schemas.openxmlformats.org/officeDocument/2006/relationships/hyperlink" Target="http://www.riss.kr/link?id=S115391" TargetMode="External"/><Relationship Id="rId859" Type="http://schemas.openxmlformats.org/officeDocument/2006/relationships/hyperlink" Target="http://www.riss.kr/link?id=S115749" TargetMode="External"/><Relationship Id="rId193" Type="http://schemas.openxmlformats.org/officeDocument/2006/relationships/hyperlink" Target="http://www.riss.kr/link?id=S13455" TargetMode="External"/><Relationship Id="rId207" Type="http://schemas.openxmlformats.org/officeDocument/2006/relationships/hyperlink" Target="http://www.riss.kr/link?id=S63720" TargetMode="External"/><Relationship Id="rId414" Type="http://schemas.openxmlformats.org/officeDocument/2006/relationships/hyperlink" Target="http://www.riss.kr/link?id=S16907" TargetMode="External"/><Relationship Id="rId498" Type="http://schemas.openxmlformats.org/officeDocument/2006/relationships/hyperlink" Target="http://www.riss.kr/link?id=S407614" TargetMode="External"/><Relationship Id="rId621" Type="http://schemas.openxmlformats.org/officeDocument/2006/relationships/hyperlink" Target="http://www.riss.kr/link?id=S17210" TargetMode="External"/><Relationship Id="rId260" Type="http://schemas.openxmlformats.org/officeDocument/2006/relationships/hyperlink" Target="http://www.riss.kr/link?id=S418665" TargetMode="External"/><Relationship Id="rId719" Type="http://schemas.openxmlformats.org/officeDocument/2006/relationships/hyperlink" Target="http://www.riss.kr/link?id=S115374" TargetMode="External"/><Relationship Id="rId926" Type="http://schemas.openxmlformats.org/officeDocument/2006/relationships/hyperlink" Target="http://www.riss.kr/link?id=S19733" TargetMode="External"/><Relationship Id="rId55" Type="http://schemas.openxmlformats.org/officeDocument/2006/relationships/hyperlink" Target="http://www.riss.kr/link?id=S116057" TargetMode="External"/><Relationship Id="rId120" Type="http://schemas.openxmlformats.org/officeDocument/2006/relationships/hyperlink" Target="http://www.riss.kr/link?id=S409678" TargetMode="External"/><Relationship Id="rId358" Type="http://schemas.openxmlformats.org/officeDocument/2006/relationships/hyperlink" Target="http://www.riss.kr/link?id=S16077" TargetMode="External"/><Relationship Id="rId565" Type="http://schemas.openxmlformats.org/officeDocument/2006/relationships/hyperlink" Target="http://www.riss.kr/link?id=S58540" TargetMode="External"/><Relationship Id="rId772" Type="http://schemas.openxmlformats.org/officeDocument/2006/relationships/hyperlink" Target="http://www.riss.kr/link?id=S58267" TargetMode="External"/><Relationship Id="rId218" Type="http://schemas.openxmlformats.org/officeDocument/2006/relationships/hyperlink" Target="http://www.riss.kr/link?id=S414544" TargetMode="External"/><Relationship Id="rId425" Type="http://schemas.openxmlformats.org/officeDocument/2006/relationships/hyperlink" Target="http://www.riss.kr/link?id=S12915" TargetMode="External"/><Relationship Id="rId632" Type="http://schemas.openxmlformats.org/officeDocument/2006/relationships/hyperlink" Target="http://www.riss.kr/link?id=S416272" TargetMode="External"/><Relationship Id="rId271" Type="http://schemas.openxmlformats.org/officeDocument/2006/relationships/hyperlink" Target="http://www.riss.kr/link?id=S405412" TargetMode="External"/><Relationship Id="rId937" Type="http://schemas.openxmlformats.org/officeDocument/2006/relationships/hyperlink" Target="http://www.riss.kr/link?id=S62819" TargetMode="External"/><Relationship Id="rId66" Type="http://schemas.openxmlformats.org/officeDocument/2006/relationships/hyperlink" Target="http://www.riss.kr/link?id=S417245" TargetMode="External"/><Relationship Id="rId131" Type="http://schemas.openxmlformats.org/officeDocument/2006/relationships/hyperlink" Target="http://www.riss.kr/link?id=S60957" TargetMode="External"/><Relationship Id="rId369" Type="http://schemas.openxmlformats.org/officeDocument/2006/relationships/hyperlink" Target="http://www.riss.kr/link?id=S24593" TargetMode="External"/><Relationship Id="rId576" Type="http://schemas.openxmlformats.org/officeDocument/2006/relationships/hyperlink" Target="http://www.riss.kr/link?id=S24135" TargetMode="External"/><Relationship Id="rId783" Type="http://schemas.openxmlformats.org/officeDocument/2006/relationships/hyperlink" Target="http://www.riss.kr/link?id=S114439" TargetMode="External"/><Relationship Id="rId229" Type="http://schemas.openxmlformats.org/officeDocument/2006/relationships/hyperlink" Target="http://www.riss.kr/link?id=S92049" TargetMode="External"/><Relationship Id="rId436" Type="http://schemas.openxmlformats.org/officeDocument/2006/relationships/hyperlink" Target="http://www.riss.kr/link?id=S414984" TargetMode="External"/><Relationship Id="rId643" Type="http://schemas.openxmlformats.org/officeDocument/2006/relationships/hyperlink" Target="http://www.riss.kr/link?id=S417604" TargetMode="External"/><Relationship Id="rId850" Type="http://schemas.openxmlformats.org/officeDocument/2006/relationships/hyperlink" Target="http://www.riss.kr/link?id=S19714" TargetMode="External"/><Relationship Id="rId948" Type="http://schemas.openxmlformats.org/officeDocument/2006/relationships/hyperlink" Target="http://www.riss.kr/link?id=S61680" TargetMode="External"/><Relationship Id="rId77" Type="http://schemas.openxmlformats.org/officeDocument/2006/relationships/hyperlink" Target="http://www.riss.kr/link?id=S411913" TargetMode="External"/><Relationship Id="rId282" Type="http://schemas.openxmlformats.org/officeDocument/2006/relationships/hyperlink" Target="http://www.riss.kr/link?id=S31011616" TargetMode="External"/><Relationship Id="rId503" Type="http://schemas.openxmlformats.org/officeDocument/2006/relationships/hyperlink" Target="http://www.riss.kr/link?id=S50051" TargetMode="External"/><Relationship Id="rId587" Type="http://schemas.openxmlformats.org/officeDocument/2006/relationships/hyperlink" Target="http://www.riss.kr/link?id=S13243" TargetMode="External"/><Relationship Id="rId710" Type="http://schemas.openxmlformats.org/officeDocument/2006/relationships/hyperlink" Target="http://www.riss.kr/link?id=S16479" TargetMode="External"/><Relationship Id="rId808" Type="http://schemas.openxmlformats.org/officeDocument/2006/relationships/hyperlink" Target="http://www.riss.kr/link?id=S7757" TargetMode="External"/><Relationship Id="rId8" Type="http://schemas.openxmlformats.org/officeDocument/2006/relationships/hyperlink" Target="http://www.riss.kr/link?id=S5452" TargetMode="External"/><Relationship Id="rId142" Type="http://schemas.openxmlformats.org/officeDocument/2006/relationships/hyperlink" Target="http://www.riss.kr/link?id=S30000666" TargetMode="External"/><Relationship Id="rId447" Type="http://schemas.openxmlformats.org/officeDocument/2006/relationships/hyperlink" Target="http://www.riss.kr/link?id=S13259" TargetMode="External"/><Relationship Id="rId794" Type="http://schemas.openxmlformats.org/officeDocument/2006/relationships/hyperlink" Target="http://www.riss.kr/link?id=S20010476" TargetMode="External"/><Relationship Id="rId654" Type="http://schemas.openxmlformats.org/officeDocument/2006/relationships/hyperlink" Target="http://www.riss.kr/link?id=S6600" TargetMode="External"/><Relationship Id="rId861" Type="http://schemas.openxmlformats.org/officeDocument/2006/relationships/hyperlink" Target="http://www.riss.kr/link?id=S104164" TargetMode="External"/><Relationship Id="rId959" Type="http://schemas.openxmlformats.org/officeDocument/2006/relationships/hyperlink" Target="http://www.riss.kr/link?id=S104204" TargetMode="External"/><Relationship Id="rId293" Type="http://schemas.openxmlformats.org/officeDocument/2006/relationships/hyperlink" Target="http://www.riss.kr/link?id=S136637" TargetMode="External"/><Relationship Id="rId307" Type="http://schemas.openxmlformats.org/officeDocument/2006/relationships/hyperlink" Target="http://www.riss.kr/link?id=S103439" TargetMode="External"/><Relationship Id="rId514" Type="http://schemas.openxmlformats.org/officeDocument/2006/relationships/hyperlink" Target="http://www.riss.kr/link?id=S83171" TargetMode="External"/><Relationship Id="rId721" Type="http://schemas.openxmlformats.org/officeDocument/2006/relationships/hyperlink" Target="http://www.riss.kr/link?id=S13026" TargetMode="External"/><Relationship Id="rId88" Type="http://schemas.openxmlformats.org/officeDocument/2006/relationships/hyperlink" Target="http://www.riss.kr/link?id=S407073" TargetMode="External"/><Relationship Id="rId153" Type="http://schemas.openxmlformats.org/officeDocument/2006/relationships/hyperlink" Target="http://www.riss.kr/link?id=S403698" TargetMode="External"/><Relationship Id="rId360" Type="http://schemas.openxmlformats.org/officeDocument/2006/relationships/hyperlink" Target="http://www.riss.kr/link?id=S87729" TargetMode="External"/><Relationship Id="rId598" Type="http://schemas.openxmlformats.org/officeDocument/2006/relationships/hyperlink" Target="http://www.riss.kr/link?id=S13542" TargetMode="External"/><Relationship Id="rId819" Type="http://schemas.openxmlformats.org/officeDocument/2006/relationships/hyperlink" Target="http://www.riss.kr/link?id=S60897" TargetMode="External"/><Relationship Id="rId220" Type="http://schemas.openxmlformats.org/officeDocument/2006/relationships/hyperlink" Target="http://www.riss.kr/link?id=S16697" TargetMode="External"/><Relationship Id="rId458" Type="http://schemas.openxmlformats.org/officeDocument/2006/relationships/hyperlink" Target="http://www.riss.kr/link?id=S11927" TargetMode="External"/><Relationship Id="rId665" Type="http://schemas.openxmlformats.org/officeDocument/2006/relationships/hyperlink" Target="http://www.riss.kr/link?id=S17423" TargetMode="External"/><Relationship Id="rId872" Type="http://schemas.openxmlformats.org/officeDocument/2006/relationships/hyperlink" Target="http://www.riss.kr/link?id=S116123" TargetMode="External"/><Relationship Id="rId15" Type="http://schemas.openxmlformats.org/officeDocument/2006/relationships/hyperlink" Target="http://www.riss.kr/link?id=S11574113" TargetMode="External"/><Relationship Id="rId318" Type="http://schemas.openxmlformats.org/officeDocument/2006/relationships/hyperlink" Target="http://www.riss.kr/link?id=S13700" TargetMode="External"/><Relationship Id="rId525" Type="http://schemas.openxmlformats.org/officeDocument/2006/relationships/hyperlink" Target="http://www.riss.kr/link?id=S28869" TargetMode="External"/><Relationship Id="rId732" Type="http://schemas.openxmlformats.org/officeDocument/2006/relationships/hyperlink" Target="http://www.riss.kr/link?id=S16670" TargetMode="External"/><Relationship Id="rId99" Type="http://schemas.openxmlformats.org/officeDocument/2006/relationships/hyperlink" Target="http://www.riss.kr/link?id=S16672" TargetMode="External"/><Relationship Id="rId164" Type="http://schemas.openxmlformats.org/officeDocument/2006/relationships/hyperlink" Target="http://www.riss.kr/link?id=S408343" TargetMode="External"/><Relationship Id="rId371" Type="http://schemas.openxmlformats.org/officeDocument/2006/relationships/hyperlink" Target="http://www.riss.kr/link?id=S11645644" TargetMode="External"/><Relationship Id="rId469" Type="http://schemas.openxmlformats.org/officeDocument/2006/relationships/hyperlink" Target="http://www.riss.kr/link?id=S60909" TargetMode="External"/><Relationship Id="rId676" Type="http://schemas.openxmlformats.org/officeDocument/2006/relationships/hyperlink" Target="http://www.riss.kr/link?id=S13525" TargetMode="External"/><Relationship Id="rId883" Type="http://schemas.openxmlformats.org/officeDocument/2006/relationships/hyperlink" Target="http://www.riss.kr/link?id=S20085286" TargetMode="External"/><Relationship Id="rId26" Type="http://schemas.openxmlformats.org/officeDocument/2006/relationships/hyperlink" Target="http://www.riss.kr/link?id=S404755" TargetMode="External"/><Relationship Id="rId231" Type="http://schemas.openxmlformats.org/officeDocument/2006/relationships/hyperlink" Target="http://www.riss.kr/link?id=S31157" TargetMode="External"/><Relationship Id="rId329" Type="http://schemas.openxmlformats.org/officeDocument/2006/relationships/hyperlink" Target="http://www.riss.kr/link?id=S30000647" TargetMode="External"/><Relationship Id="rId536" Type="http://schemas.openxmlformats.org/officeDocument/2006/relationships/hyperlink" Target="http://www.riss.kr/link?id=S114686" TargetMode="External"/><Relationship Id="rId175" Type="http://schemas.openxmlformats.org/officeDocument/2006/relationships/hyperlink" Target="http://www.riss.kr/link?id=S20417" TargetMode="External"/><Relationship Id="rId743" Type="http://schemas.openxmlformats.org/officeDocument/2006/relationships/hyperlink" Target="http://www.riss.kr/link?id=S17458" TargetMode="External"/><Relationship Id="rId950" Type="http://schemas.openxmlformats.org/officeDocument/2006/relationships/hyperlink" Target="http://www.riss.kr/link?id=S85459" TargetMode="External"/><Relationship Id="rId382" Type="http://schemas.openxmlformats.org/officeDocument/2006/relationships/hyperlink" Target="http://www.riss.kr/link?id=S15726" TargetMode="External"/><Relationship Id="rId603" Type="http://schemas.openxmlformats.org/officeDocument/2006/relationships/hyperlink" Target="http://www.riss.kr/link?id=S20886" TargetMode="External"/><Relationship Id="rId687" Type="http://schemas.openxmlformats.org/officeDocument/2006/relationships/hyperlink" Target="http://www.riss.kr/link?id=S14380" TargetMode="External"/><Relationship Id="rId810" Type="http://schemas.openxmlformats.org/officeDocument/2006/relationships/hyperlink" Target="http://www.riss.kr/link?id=S104265" TargetMode="External"/><Relationship Id="rId908" Type="http://schemas.openxmlformats.org/officeDocument/2006/relationships/hyperlink" Target="http://www.riss.kr/link?id=S60119" TargetMode="External"/><Relationship Id="rId242" Type="http://schemas.openxmlformats.org/officeDocument/2006/relationships/hyperlink" Target="http://www.riss.kr/link?id=S21143" TargetMode="External"/><Relationship Id="rId894" Type="http://schemas.openxmlformats.org/officeDocument/2006/relationships/hyperlink" Target="http://www.riss.kr/link?id=S19681" TargetMode="External"/><Relationship Id="rId37" Type="http://schemas.openxmlformats.org/officeDocument/2006/relationships/hyperlink" Target="http://www.riss.kr/link?id=S15668" TargetMode="External"/><Relationship Id="rId102" Type="http://schemas.openxmlformats.org/officeDocument/2006/relationships/hyperlink" Target="http://www.riss.kr/link?id=S16989" TargetMode="External"/><Relationship Id="rId547" Type="http://schemas.openxmlformats.org/officeDocument/2006/relationships/hyperlink" Target="http://www.riss.kr/link?id=S105342" TargetMode="External"/><Relationship Id="rId754" Type="http://schemas.openxmlformats.org/officeDocument/2006/relationships/hyperlink" Target="http://www.riss.kr/link?id=S61686" TargetMode="External"/><Relationship Id="rId961" Type="http://schemas.openxmlformats.org/officeDocument/2006/relationships/hyperlink" Target="http://www.riss.kr/link?id=S104122" TargetMode="External"/><Relationship Id="rId90" Type="http://schemas.openxmlformats.org/officeDocument/2006/relationships/hyperlink" Target="http://www.riss.kr/link?id=S29005" TargetMode="External"/><Relationship Id="rId186" Type="http://schemas.openxmlformats.org/officeDocument/2006/relationships/hyperlink" Target="http://www.riss.kr/link?id=S29119" TargetMode="External"/><Relationship Id="rId393" Type="http://schemas.openxmlformats.org/officeDocument/2006/relationships/hyperlink" Target="http://www.riss.kr/link?id=S36261" TargetMode="External"/><Relationship Id="rId407" Type="http://schemas.openxmlformats.org/officeDocument/2006/relationships/hyperlink" Target="http://www.riss.kr/link?id=S29059" TargetMode="External"/><Relationship Id="rId614" Type="http://schemas.openxmlformats.org/officeDocument/2006/relationships/hyperlink" Target="http://www.riss.kr/link?id=S11644259" TargetMode="External"/><Relationship Id="rId821" Type="http://schemas.openxmlformats.org/officeDocument/2006/relationships/hyperlink" Target="http://www.riss.kr/link?id=S27803" TargetMode="External"/><Relationship Id="rId253" Type="http://schemas.openxmlformats.org/officeDocument/2006/relationships/hyperlink" Target="http://www.riss.kr/link?id=S29360" TargetMode="External"/><Relationship Id="rId460" Type="http://schemas.openxmlformats.org/officeDocument/2006/relationships/hyperlink" Target="http://www.riss.kr/link?id=S90006683" TargetMode="External"/><Relationship Id="rId698" Type="http://schemas.openxmlformats.org/officeDocument/2006/relationships/hyperlink" Target="http://www.riss.kr/link?id=S68638" TargetMode="External"/><Relationship Id="rId919" Type="http://schemas.openxmlformats.org/officeDocument/2006/relationships/hyperlink" Target="http://www.riss.kr/link?id=S61209" TargetMode="External"/><Relationship Id="rId48" Type="http://schemas.openxmlformats.org/officeDocument/2006/relationships/hyperlink" Target="http://www.riss.kr/link?id=S17579" TargetMode="External"/><Relationship Id="rId113" Type="http://schemas.openxmlformats.org/officeDocument/2006/relationships/hyperlink" Target="https://lib.pusan.ac.kr/resource/catalog/?&amp;app=solars&amp;mod=list&amp;query=2050-7488" TargetMode="External"/><Relationship Id="rId320" Type="http://schemas.openxmlformats.org/officeDocument/2006/relationships/hyperlink" Target="http://www.riss.kr/link?id=S104527" TargetMode="External"/><Relationship Id="rId558" Type="http://schemas.openxmlformats.org/officeDocument/2006/relationships/hyperlink" Target="http://www.riss.kr/link?id=S415066" TargetMode="External"/><Relationship Id="rId765" Type="http://schemas.openxmlformats.org/officeDocument/2006/relationships/hyperlink" Target="http://www.riss.kr/link?id=S11574764" TargetMode="External"/><Relationship Id="rId972" Type="http://schemas.openxmlformats.org/officeDocument/2006/relationships/hyperlink" Target="http://www.riss.kr/link?id=S63688" TargetMode="External"/><Relationship Id="rId197" Type="http://schemas.openxmlformats.org/officeDocument/2006/relationships/hyperlink" Target="http://www.riss.kr/link?id=S30007518" TargetMode="External"/><Relationship Id="rId418" Type="http://schemas.openxmlformats.org/officeDocument/2006/relationships/hyperlink" Target="http://www.riss.kr/link?id=S24597" TargetMode="External"/><Relationship Id="rId625" Type="http://schemas.openxmlformats.org/officeDocument/2006/relationships/hyperlink" Target="http://www.riss.kr/link?id=S143757" TargetMode="External"/><Relationship Id="rId832" Type="http://schemas.openxmlformats.org/officeDocument/2006/relationships/hyperlink" Target="http://www.riss.kr/link?id=S54489" TargetMode="External"/><Relationship Id="rId264" Type="http://schemas.openxmlformats.org/officeDocument/2006/relationships/hyperlink" Target="http://www.riss.kr/link?id=S30006757" TargetMode="External"/><Relationship Id="rId471" Type="http://schemas.openxmlformats.org/officeDocument/2006/relationships/hyperlink" Target="http://www.riss.kr/link?id=S57498" TargetMode="External"/><Relationship Id="rId59" Type="http://schemas.openxmlformats.org/officeDocument/2006/relationships/hyperlink" Target="http://www.riss.kr/link?id=S21302" TargetMode="External"/><Relationship Id="rId124" Type="http://schemas.openxmlformats.org/officeDocument/2006/relationships/hyperlink" Target="http://www.riss.kr/link?id=S15658" TargetMode="External"/><Relationship Id="rId569" Type="http://schemas.openxmlformats.org/officeDocument/2006/relationships/hyperlink" Target="http://www.riss.kr/link?id=S406197" TargetMode="External"/><Relationship Id="rId776" Type="http://schemas.openxmlformats.org/officeDocument/2006/relationships/hyperlink" Target="http://www.riss.kr/link?id=S417506" TargetMode="External"/><Relationship Id="rId331" Type="http://schemas.openxmlformats.org/officeDocument/2006/relationships/hyperlink" Target="http://www.riss.kr/link?id=S418178" TargetMode="External"/><Relationship Id="rId429" Type="http://schemas.openxmlformats.org/officeDocument/2006/relationships/hyperlink" Target="http://www.riss.kr/link?id=S66354" TargetMode="External"/><Relationship Id="rId636" Type="http://schemas.openxmlformats.org/officeDocument/2006/relationships/hyperlink" Target="http://www.riss.kr/link?id=S72024" TargetMode="External"/><Relationship Id="rId843" Type="http://schemas.openxmlformats.org/officeDocument/2006/relationships/hyperlink" Target="http://www.riss.kr/link?id=S67972" TargetMode="External"/><Relationship Id="rId275" Type="http://schemas.openxmlformats.org/officeDocument/2006/relationships/hyperlink" Target="http://www.riss.kr/link?id=S418684" TargetMode="External"/><Relationship Id="rId482" Type="http://schemas.openxmlformats.org/officeDocument/2006/relationships/hyperlink" Target="http://www.riss.kr/link?id=S15441" TargetMode="External"/><Relationship Id="rId703" Type="http://schemas.openxmlformats.org/officeDocument/2006/relationships/hyperlink" Target="http://www.riss.kr/link?id=S410779" TargetMode="External"/><Relationship Id="rId910" Type="http://schemas.openxmlformats.org/officeDocument/2006/relationships/hyperlink" Target="http://www.riss.kr/link?id=S84178" TargetMode="External"/><Relationship Id="rId135" Type="http://schemas.openxmlformats.org/officeDocument/2006/relationships/hyperlink" Target="http://www.riss.kr/link?id=S414163" TargetMode="External"/><Relationship Id="rId342" Type="http://schemas.openxmlformats.org/officeDocument/2006/relationships/hyperlink" Target="http://www.riss.kr/link?id=S16081" TargetMode="External"/><Relationship Id="rId787" Type="http://schemas.openxmlformats.org/officeDocument/2006/relationships/hyperlink" Target="http://www.riss.kr/link?id=S88228" TargetMode="External"/><Relationship Id="rId202" Type="http://schemas.openxmlformats.org/officeDocument/2006/relationships/hyperlink" Target="http://www.riss.kr/link?id=S60840" TargetMode="External"/><Relationship Id="rId647" Type="http://schemas.openxmlformats.org/officeDocument/2006/relationships/hyperlink" Target="http://www.riss.kr/link?id=S20099271" TargetMode="External"/><Relationship Id="rId854" Type="http://schemas.openxmlformats.org/officeDocument/2006/relationships/hyperlink" Target="http://www.riss.kr/link?id=S20068237" TargetMode="External"/><Relationship Id="rId286" Type="http://schemas.openxmlformats.org/officeDocument/2006/relationships/hyperlink" Target="http://www.riss.kr/link?id=S401790" TargetMode="External"/><Relationship Id="rId493" Type="http://schemas.openxmlformats.org/officeDocument/2006/relationships/hyperlink" Target="http://www.riss.kr/link?id=S20095808" TargetMode="External"/><Relationship Id="rId507" Type="http://schemas.openxmlformats.org/officeDocument/2006/relationships/hyperlink" Target="http://www.riss.kr/link?id=S402424" TargetMode="External"/><Relationship Id="rId714" Type="http://schemas.openxmlformats.org/officeDocument/2006/relationships/hyperlink" Target="http://www.riss.kr/link?id=S17577" TargetMode="External"/><Relationship Id="rId921" Type="http://schemas.openxmlformats.org/officeDocument/2006/relationships/hyperlink" Target="http://www.riss.kr/link?id=S27664" TargetMode="External"/><Relationship Id="rId50" Type="http://schemas.openxmlformats.org/officeDocument/2006/relationships/hyperlink" Target="http://www.riss.kr/link?id=S17393" TargetMode="External"/><Relationship Id="rId146" Type="http://schemas.openxmlformats.org/officeDocument/2006/relationships/hyperlink" Target="http://www.riss.kr/link?id=S15636" TargetMode="External"/><Relationship Id="rId353" Type="http://schemas.openxmlformats.org/officeDocument/2006/relationships/hyperlink" Target="http://www.riss.kr/link?id=S29016" TargetMode="External"/><Relationship Id="rId560" Type="http://schemas.openxmlformats.org/officeDocument/2006/relationships/hyperlink" Target="http://www.riss.kr/link?id=S403685" TargetMode="External"/><Relationship Id="rId798" Type="http://schemas.openxmlformats.org/officeDocument/2006/relationships/hyperlink" Target="http://www.riss.kr/link?id=S61213" TargetMode="External"/><Relationship Id="rId213" Type="http://schemas.openxmlformats.org/officeDocument/2006/relationships/hyperlink" Target="http://www.riss.kr/link?id=S38401" TargetMode="External"/><Relationship Id="rId420" Type="http://schemas.openxmlformats.org/officeDocument/2006/relationships/hyperlink" Target="http://www.riss.kr/link?id=S405844" TargetMode="External"/><Relationship Id="rId658" Type="http://schemas.openxmlformats.org/officeDocument/2006/relationships/hyperlink" Target="http://www.riss.kr/link?id=S418358" TargetMode="External"/><Relationship Id="rId865" Type="http://schemas.openxmlformats.org/officeDocument/2006/relationships/hyperlink" Target="http://www.riss.kr/link?id=S21959" TargetMode="External"/><Relationship Id="rId297" Type="http://schemas.openxmlformats.org/officeDocument/2006/relationships/hyperlink" Target="http://www.riss.kr/link?id=S401473" TargetMode="External"/><Relationship Id="rId518" Type="http://schemas.openxmlformats.org/officeDocument/2006/relationships/hyperlink" Target="http://www.riss.kr/link?id=S20010588" TargetMode="External"/><Relationship Id="rId725" Type="http://schemas.openxmlformats.org/officeDocument/2006/relationships/hyperlink" Target="http://www.riss.kr/link?id=S28261" TargetMode="External"/><Relationship Id="rId932" Type="http://schemas.openxmlformats.org/officeDocument/2006/relationships/hyperlink" Target="http://www.riss.kr/link?id=S61212" TargetMode="External"/><Relationship Id="rId157" Type="http://schemas.openxmlformats.org/officeDocument/2006/relationships/hyperlink" Target="http://www.riss.kr/link?id=S31027851" TargetMode="External"/><Relationship Id="rId364" Type="http://schemas.openxmlformats.org/officeDocument/2006/relationships/hyperlink" Target="http://www.riss.kr/link?id=S16565" TargetMode="External"/><Relationship Id="rId61" Type="http://schemas.openxmlformats.org/officeDocument/2006/relationships/hyperlink" Target="http://www.riss.kr/link?id=S406089" TargetMode="External"/><Relationship Id="rId571" Type="http://schemas.openxmlformats.org/officeDocument/2006/relationships/hyperlink" Target="http://www.riss.kr/link?id=S17230" TargetMode="External"/><Relationship Id="rId669" Type="http://schemas.openxmlformats.org/officeDocument/2006/relationships/hyperlink" Target="http://www.riss.kr/link?id=S113997" TargetMode="External"/><Relationship Id="rId876" Type="http://schemas.openxmlformats.org/officeDocument/2006/relationships/hyperlink" Target="http://www.riss.kr/link?id=S19685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417089" TargetMode="External"/><Relationship Id="rId18" Type="http://schemas.openxmlformats.org/officeDocument/2006/relationships/hyperlink" Target="http://www.riss.kr/link?id=S13240" TargetMode="External"/><Relationship Id="rId26" Type="http://schemas.openxmlformats.org/officeDocument/2006/relationships/hyperlink" Target="http://www.riss.kr/link?id=S6141" TargetMode="External"/><Relationship Id="rId3" Type="http://schemas.openxmlformats.org/officeDocument/2006/relationships/hyperlink" Target="http://www.riss.kr/link?id=S16910" TargetMode="External"/><Relationship Id="rId21" Type="http://schemas.openxmlformats.org/officeDocument/2006/relationships/hyperlink" Target="http://www.riss.kr/link?id=S80310" TargetMode="External"/><Relationship Id="rId34" Type="http://schemas.openxmlformats.org/officeDocument/2006/relationships/hyperlink" Target="http://www.riss.kr/link?id=S63728" TargetMode="External"/><Relationship Id="rId7" Type="http://schemas.openxmlformats.org/officeDocument/2006/relationships/hyperlink" Target="http://www.riss.kr/link?id=S115899" TargetMode="External"/><Relationship Id="rId12" Type="http://schemas.openxmlformats.org/officeDocument/2006/relationships/hyperlink" Target="http://www.riss.kr/link?id=S16890" TargetMode="External"/><Relationship Id="rId17" Type="http://schemas.openxmlformats.org/officeDocument/2006/relationships/hyperlink" Target="http://www.riss.kr/link?id=S410797" TargetMode="External"/><Relationship Id="rId25" Type="http://schemas.openxmlformats.org/officeDocument/2006/relationships/hyperlink" Target="http://www.riss.kr/link?id=S411651" TargetMode="External"/><Relationship Id="rId33" Type="http://schemas.openxmlformats.org/officeDocument/2006/relationships/hyperlink" Target="http://www.riss.kr/link?id=S63727" TargetMode="External"/><Relationship Id="rId2" Type="http://schemas.openxmlformats.org/officeDocument/2006/relationships/hyperlink" Target="http://www.riss.kr/link?id=S16089" TargetMode="External"/><Relationship Id="rId16" Type="http://schemas.openxmlformats.org/officeDocument/2006/relationships/hyperlink" Target="http://www.riss.kr/link?id=S5548" TargetMode="External"/><Relationship Id="rId20" Type="http://schemas.openxmlformats.org/officeDocument/2006/relationships/hyperlink" Target="http://www.riss.kr/link?id=S31019601" TargetMode="External"/><Relationship Id="rId29" Type="http://schemas.openxmlformats.org/officeDocument/2006/relationships/hyperlink" Target="http://www.riss.kr/link?id=S61213" TargetMode="External"/><Relationship Id="rId1" Type="http://schemas.openxmlformats.org/officeDocument/2006/relationships/hyperlink" Target="http://www.riss.kr/link?id=S418434" TargetMode="External"/><Relationship Id="rId6" Type="http://schemas.openxmlformats.org/officeDocument/2006/relationships/hyperlink" Target="http://www.riss.kr/link?id=S16027" TargetMode="External"/><Relationship Id="rId11" Type="http://schemas.openxmlformats.org/officeDocument/2006/relationships/hyperlink" Target="http://www.riss.kr/link?id=S16019" TargetMode="External"/><Relationship Id="rId24" Type="http://schemas.openxmlformats.org/officeDocument/2006/relationships/hyperlink" Target="http://www.riss.kr/link?id=S21690" TargetMode="External"/><Relationship Id="rId32" Type="http://schemas.openxmlformats.org/officeDocument/2006/relationships/hyperlink" Target="http://www.riss.kr/link?id=S80026" TargetMode="External"/><Relationship Id="rId5" Type="http://schemas.openxmlformats.org/officeDocument/2006/relationships/hyperlink" Target="http://www.riss.kr/link?id=S16059" TargetMode="External"/><Relationship Id="rId15" Type="http://schemas.openxmlformats.org/officeDocument/2006/relationships/hyperlink" Target="http://www.riss.kr/link?id=S11644259" TargetMode="External"/><Relationship Id="rId23" Type="http://schemas.openxmlformats.org/officeDocument/2006/relationships/hyperlink" Target="http://www.riss.kr/link?id=S15985" TargetMode="External"/><Relationship Id="rId28" Type="http://schemas.openxmlformats.org/officeDocument/2006/relationships/hyperlink" Target="http://www.riss.kr/link?id=S108985" TargetMode="External"/><Relationship Id="rId10" Type="http://schemas.openxmlformats.org/officeDocument/2006/relationships/hyperlink" Target="http://www.riss.kr/link?id=S413153" TargetMode="External"/><Relationship Id="rId19" Type="http://schemas.openxmlformats.org/officeDocument/2006/relationships/hyperlink" Target="http://www.riss.kr/link?id=S5102" TargetMode="External"/><Relationship Id="rId31" Type="http://schemas.openxmlformats.org/officeDocument/2006/relationships/hyperlink" Target="http://www.riss.kr/link?id=S31000567" TargetMode="External"/><Relationship Id="rId4" Type="http://schemas.openxmlformats.org/officeDocument/2006/relationships/hyperlink" Target="http://www.riss.kr/link?id=S20404" TargetMode="External"/><Relationship Id="rId9" Type="http://schemas.openxmlformats.org/officeDocument/2006/relationships/hyperlink" Target="http://www.riss.kr/link?id=S11573535" TargetMode="External"/><Relationship Id="rId14" Type="http://schemas.openxmlformats.org/officeDocument/2006/relationships/hyperlink" Target="http://www.riss.kr/link?id=S20010735" TargetMode="External"/><Relationship Id="rId22" Type="http://schemas.openxmlformats.org/officeDocument/2006/relationships/hyperlink" Target="http://www.riss.kr/link?id=S12014" TargetMode="External"/><Relationship Id="rId27" Type="http://schemas.openxmlformats.org/officeDocument/2006/relationships/hyperlink" Target="http://www.riss.kr/link?id=S416102" TargetMode="External"/><Relationship Id="rId30" Type="http://schemas.openxmlformats.org/officeDocument/2006/relationships/hyperlink" Target="http://www.riss.kr/link?id=S60981" TargetMode="External"/><Relationship Id="rId8" Type="http://schemas.openxmlformats.org/officeDocument/2006/relationships/hyperlink" Target="http://www.riss.kr/link?id=S20095808" TargetMode="Externa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iss.kr/link?id=S417089" TargetMode="External"/><Relationship Id="rId18" Type="http://schemas.openxmlformats.org/officeDocument/2006/relationships/hyperlink" Target="http://www.riss.kr/link?id=S13240" TargetMode="External"/><Relationship Id="rId26" Type="http://schemas.openxmlformats.org/officeDocument/2006/relationships/hyperlink" Target="http://www.riss.kr/link?id=S6141" TargetMode="External"/><Relationship Id="rId3" Type="http://schemas.openxmlformats.org/officeDocument/2006/relationships/hyperlink" Target="http://www.riss.kr/link?id=S16910" TargetMode="External"/><Relationship Id="rId21" Type="http://schemas.openxmlformats.org/officeDocument/2006/relationships/hyperlink" Target="http://www.riss.kr/link?id=S80310" TargetMode="External"/><Relationship Id="rId34" Type="http://schemas.openxmlformats.org/officeDocument/2006/relationships/hyperlink" Target="http://www.riss.kr/link?id=S63728" TargetMode="External"/><Relationship Id="rId7" Type="http://schemas.openxmlformats.org/officeDocument/2006/relationships/hyperlink" Target="http://www.riss.kr/link?id=S115899" TargetMode="External"/><Relationship Id="rId12" Type="http://schemas.openxmlformats.org/officeDocument/2006/relationships/hyperlink" Target="http://www.riss.kr/link?id=S16890" TargetMode="External"/><Relationship Id="rId17" Type="http://schemas.openxmlformats.org/officeDocument/2006/relationships/hyperlink" Target="http://www.riss.kr/link?id=S410797" TargetMode="External"/><Relationship Id="rId25" Type="http://schemas.openxmlformats.org/officeDocument/2006/relationships/hyperlink" Target="http://www.riss.kr/link?id=S411651" TargetMode="External"/><Relationship Id="rId33" Type="http://schemas.openxmlformats.org/officeDocument/2006/relationships/hyperlink" Target="http://www.riss.kr/link?id=S63727" TargetMode="External"/><Relationship Id="rId2" Type="http://schemas.openxmlformats.org/officeDocument/2006/relationships/hyperlink" Target="http://www.riss.kr/link?id=S16089" TargetMode="External"/><Relationship Id="rId16" Type="http://schemas.openxmlformats.org/officeDocument/2006/relationships/hyperlink" Target="http://www.riss.kr/link?id=S5548" TargetMode="External"/><Relationship Id="rId20" Type="http://schemas.openxmlformats.org/officeDocument/2006/relationships/hyperlink" Target="http://www.riss.kr/link?id=S31019601" TargetMode="External"/><Relationship Id="rId29" Type="http://schemas.openxmlformats.org/officeDocument/2006/relationships/hyperlink" Target="http://www.riss.kr/link?id=S61213" TargetMode="External"/><Relationship Id="rId1" Type="http://schemas.openxmlformats.org/officeDocument/2006/relationships/hyperlink" Target="http://www.riss.kr/link?id=S418434" TargetMode="External"/><Relationship Id="rId6" Type="http://schemas.openxmlformats.org/officeDocument/2006/relationships/hyperlink" Target="http://www.riss.kr/link?id=S16027" TargetMode="External"/><Relationship Id="rId11" Type="http://schemas.openxmlformats.org/officeDocument/2006/relationships/hyperlink" Target="http://www.riss.kr/link?id=S16019" TargetMode="External"/><Relationship Id="rId24" Type="http://schemas.openxmlformats.org/officeDocument/2006/relationships/hyperlink" Target="http://www.riss.kr/link?id=S21690" TargetMode="External"/><Relationship Id="rId32" Type="http://schemas.openxmlformats.org/officeDocument/2006/relationships/hyperlink" Target="http://www.riss.kr/link?id=S80026" TargetMode="External"/><Relationship Id="rId5" Type="http://schemas.openxmlformats.org/officeDocument/2006/relationships/hyperlink" Target="http://www.riss.kr/link?id=S16059" TargetMode="External"/><Relationship Id="rId15" Type="http://schemas.openxmlformats.org/officeDocument/2006/relationships/hyperlink" Target="http://www.riss.kr/link?id=S11644259" TargetMode="External"/><Relationship Id="rId23" Type="http://schemas.openxmlformats.org/officeDocument/2006/relationships/hyperlink" Target="http://www.riss.kr/link?id=S15985" TargetMode="External"/><Relationship Id="rId28" Type="http://schemas.openxmlformats.org/officeDocument/2006/relationships/hyperlink" Target="http://www.riss.kr/link?id=S108985" TargetMode="External"/><Relationship Id="rId10" Type="http://schemas.openxmlformats.org/officeDocument/2006/relationships/hyperlink" Target="http://www.riss.kr/link?id=S413153" TargetMode="External"/><Relationship Id="rId19" Type="http://schemas.openxmlformats.org/officeDocument/2006/relationships/hyperlink" Target="http://www.riss.kr/link?id=S5102" TargetMode="External"/><Relationship Id="rId31" Type="http://schemas.openxmlformats.org/officeDocument/2006/relationships/hyperlink" Target="http://www.riss.kr/link?id=S31000567" TargetMode="External"/><Relationship Id="rId4" Type="http://schemas.openxmlformats.org/officeDocument/2006/relationships/hyperlink" Target="http://www.riss.kr/link?id=S20404" TargetMode="External"/><Relationship Id="rId9" Type="http://schemas.openxmlformats.org/officeDocument/2006/relationships/hyperlink" Target="http://www.riss.kr/link?id=S11573535" TargetMode="External"/><Relationship Id="rId14" Type="http://schemas.openxmlformats.org/officeDocument/2006/relationships/hyperlink" Target="http://www.riss.kr/link?id=S20010735" TargetMode="External"/><Relationship Id="rId22" Type="http://schemas.openxmlformats.org/officeDocument/2006/relationships/hyperlink" Target="http://www.riss.kr/link?id=S12014" TargetMode="External"/><Relationship Id="rId27" Type="http://schemas.openxmlformats.org/officeDocument/2006/relationships/hyperlink" Target="http://www.riss.kr/link?id=S416102" TargetMode="External"/><Relationship Id="rId30" Type="http://schemas.openxmlformats.org/officeDocument/2006/relationships/hyperlink" Target="http://www.riss.kr/link?id=S60981" TargetMode="External"/><Relationship Id="rId8" Type="http://schemas.openxmlformats.org/officeDocument/2006/relationships/hyperlink" Target="http://www.riss.kr/link?id=S20095808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ss.kr/link?id=S16084" TargetMode="External"/><Relationship Id="rId13" Type="http://schemas.openxmlformats.org/officeDocument/2006/relationships/hyperlink" Target="http://www.riss.kr/link?id=S31000857" TargetMode="External"/><Relationship Id="rId18" Type="http://schemas.openxmlformats.org/officeDocument/2006/relationships/hyperlink" Target="http://www.riss.kr/link?id=S20011409" TargetMode="External"/><Relationship Id="rId3" Type="http://schemas.openxmlformats.org/officeDocument/2006/relationships/hyperlink" Target="http://www.riss.kr/link?id=S16316" TargetMode="External"/><Relationship Id="rId21" Type="http://schemas.openxmlformats.org/officeDocument/2006/relationships/hyperlink" Target="http://www.riss.kr/link?id=S11574764" TargetMode="External"/><Relationship Id="rId7" Type="http://schemas.openxmlformats.org/officeDocument/2006/relationships/hyperlink" Target="http://www.riss.kr/link?id=S21689" TargetMode="External"/><Relationship Id="rId12" Type="http://schemas.openxmlformats.org/officeDocument/2006/relationships/hyperlink" Target="http://www.riss.kr/link?id=S16049" TargetMode="External"/><Relationship Id="rId17" Type="http://schemas.openxmlformats.org/officeDocument/2006/relationships/hyperlink" Target="http://www.riss.kr/link?id=S16322" TargetMode="External"/><Relationship Id="rId25" Type="http://schemas.openxmlformats.org/officeDocument/2006/relationships/hyperlink" Target="http://www.riss.kr/link?id=S20085282" TargetMode="External"/><Relationship Id="rId2" Type="http://schemas.openxmlformats.org/officeDocument/2006/relationships/hyperlink" Target="http://www.riss.kr/link?id=S16319" TargetMode="External"/><Relationship Id="rId16" Type="http://schemas.openxmlformats.org/officeDocument/2006/relationships/hyperlink" Target="http://www.riss.kr/link?id=S13525" TargetMode="External"/><Relationship Id="rId20" Type="http://schemas.openxmlformats.org/officeDocument/2006/relationships/hyperlink" Target="http://www.riss.kr/link?id=S30006830" TargetMode="External"/><Relationship Id="rId1" Type="http://schemas.openxmlformats.org/officeDocument/2006/relationships/hyperlink" Target="http://www.riss.kr/link?id=S414099" TargetMode="External"/><Relationship Id="rId6" Type="http://schemas.openxmlformats.org/officeDocument/2006/relationships/hyperlink" Target="http://www.riss.kr/link?id=S401473" TargetMode="External"/><Relationship Id="rId11" Type="http://schemas.openxmlformats.org/officeDocument/2006/relationships/hyperlink" Target="http://www.riss.kr/link?id=S16058" TargetMode="External"/><Relationship Id="rId24" Type="http://schemas.openxmlformats.org/officeDocument/2006/relationships/hyperlink" Target="http://www.riss.kr/link?id=S11643948" TargetMode="External"/><Relationship Id="rId5" Type="http://schemas.openxmlformats.org/officeDocument/2006/relationships/hyperlink" Target="http://www.riss.kr/link?id=S400716" TargetMode="External"/><Relationship Id="rId15" Type="http://schemas.openxmlformats.org/officeDocument/2006/relationships/hyperlink" Target="http://www.riss.kr/link?id=S15933" TargetMode="External"/><Relationship Id="rId23" Type="http://schemas.openxmlformats.org/officeDocument/2006/relationships/hyperlink" Target="http://www.riss.kr/link?id=S19712" TargetMode="External"/><Relationship Id="rId10" Type="http://schemas.openxmlformats.org/officeDocument/2006/relationships/hyperlink" Target="http://www.riss.kr/link?id=S12915" TargetMode="External"/><Relationship Id="rId19" Type="http://schemas.openxmlformats.org/officeDocument/2006/relationships/hyperlink" Target="http://www.riss.kr/link?id=S12402" TargetMode="External"/><Relationship Id="rId4" Type="http://schemas.openxmlformats.org/officeDocument/2006/relationships/hyperlink" Target="http://www.riss.kr/link?id=S31000236" TargetMode="External"/><Relationship Id="rId9" Type="http://schemas.openxmlformats.org/officeDocument/2006/relationships/hyperlink" Target="http://www.riss.kr/link?id=S16068" TargetMode="External"/><Relationship Id="rId14" Type="http://schemas.openxmlformats.org/officeDocument/2006/relationships/hyperlink" Target="http://www.riss.kr/link?id=S402427" TargetMode="External"/><Relationship Id="rId22" Type="http://schemas.openxmlformats.org/officeDocument/2006/relationships/hyperlink" Target="http://www.riss.kr/link?id=S11625015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ss.kr/link?id=S16084" TargetMode="External"/><Relationship Id="rId13" Type="http://schemas.openxmlformats.org/officeDocument/2006/relationships/hyperlink" Target="http://www.riss.kr/link?id=S31000857" TargetMode="External"/><Relationship Id="rId18" Type="http://schemas.openxmlformats.org/officeDocument/2006/relationships/hyperlink" Target="http://www.riss.kr/link?id=S20011409" TargetMode="External"/><Relationship Id="rId3" Type="http://schemas.openxmlformats.org/officeDocument/2006/relationships/hyperlink" Target="http://www.riss.kr/link?id=S16316" TargetMode="External"/><Relationship Id="rId21" Type="http://schemas.openxmlformats.org/officeDocument/2006/relationships/hyperlink" Target="http://www.riss.kr/link?id=S11574764" TargetMode="External"/><Relationship Id="rId7" Type="http://schemas.openxmlformats.org/officeDocument/2006/relationships/hyperlink" Target="http://www.riss.kr/link?id=S21689" TargetMode="External"/><Relationship Id="rId12" Type="http://schemas.openxmlformats.org/officeDocument/2006/relationships/hyperlink" Target="http://www.riss.kr/link?id=S16049" TargetMode="External"/><Relationship Id="rId17" Type="http://schemas.openxmlformats.org/officeDocument/2006/relationships/hyperlink" Target="http://www.riss.kr/link?id=S16322" TargetMode="External"/><Relationship Id="rId25" Type="http://schemas.openxmlformats.org/officeDocument/2006/relationships/hyperlink" Target="http://www.riss.kr/link?id=S20085282" TargetMode="External"/><Relationship Id="rId2" Type="http://schemas.openxmlformats.org/officeDocument/2006/relationships/hyperlink" Target="http://www.riss.kr/link?id=S16319" TargetMode="External"/><Relationship Id="rId16" Type="http://schemas.openxmlformats.org/officeDocument/2006/relationships/hyperlink" Target="http://www.riss.kr/link?id=S13525" TargetMode="External"/><Relationship Id="rId20" Type="http://schemas.openxmlformats.org/officeDocument/2006/relationships/hyperlink" Target="http://www.riss.kr/link?id=S30006830" TargetMode="External"/><Relationship Id="rId1" Type="http://schemas.openxmlformats.org/officeDocument/2006/relationships/hyperlink" Target="http://www.riss.kr/link?id=S414099" TargetMode="External"/><Relationship Id="rId6" Type="http://schemas.openxmlformats.org/officeDocument/2006/relationships/hyperlink" Target="http://www.riss.kr/link?id=S401473" TargetMode="External"/><Relationship Id="rId11" Type="http://schemas.openxmlformats.org/officeDocument/2006/relationships/hyperlink" Target="http://www.riss.kr/link?id=S16058" TargetMode="External"/><Relationship Id="rId24" Type="http://schemas.openxmlformats.org/officeDocument/2006/relationships/hyperlink" Target="http://www.riss.kr/link?id=S11643948" TargetMode="External"/><Relationship Id="rId5" Type="http://schemas.openxmlformats.org/officeDocument/2006/relationships/hyperlink" Target="http://www.riss.kr/link?id=S400716" TargetMode="External"/><Relationship Id="rId15" Type="http://schemas.openxmlformats.org/officeDocument/2006/relationships/hyperlink" Target="http://www.riss.kr/link?id=S15933" TargetMode="External"/><Relationship Id="rId23" Type="http://schemas.openxmlformats.org/officeDocument/2006/relationships/hyperlink" Target="http://www.riss.kr/link?id=S19712" TargetMode="External"/><Relationship Id="rId10" Type="http://schemas.openxmlformats.org/officeDocument/2006/relationships/hyperlink" Target="http://www.riss.kr/link?id=S12915" TargetMode="External"/><Relationship Id="rId19" Type="http://schemas.openxmlformats.org/officeDocument/2006/relationships/hyperlink" Target="http://www.riss.kr/link?id=S12402" TargetMode="External"/><Relationship Id="rId4" Type="http://schemas.openxmlformats.org/officeDocument/2006/relationships/hyperlink" Target="http://www.riss.kr/link?id=S31000236" TargetMode="External"/><Relationship Id="rId9" Type="http://schemas.openxmlformats.org/officeDocument/2006/relationships/hyperlink" Target="http://www.riss.kr/link?id=S16068" TargetMode="External"/><Relationship Id="rId14" Type="http://schemas.openxmlformats.org/officeDocument/2006/relationships/hyperlink" Target="http://www.riss.kr/link?id=S402427" TargetMode="External"/><Relationship Id="rId22" Type="http://schemas.openxmlformats.org/officeDocument/2006/relationships/hyperlink" Target="http://www.riss.kr/link?id=S11625015" TargetMode="External"/></Relationships>
</file>

<file path=xl/worksheets/_rels/sheet14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15636" TargetMode="External"/><Relationship Id="rId21" Type="http://schemas.openxmlformats.org/officeDocument/2006/relationships/hyperlink" Target="http://www.riss.kr/link?id=S400897" TargetMode="External"/><Relationship Id="rId42" Type="http://schemas.openxmlformats.org/officeDocument/2006/relationships/hyperlink" Target="http://www.riss.kr/link?id=S61261" TargetMode="External"/><Relationship Id="rId47" Type="http://schemas.openxmlformats.org/officeDocument/2006/relationships/hyperlink" Target="http://www.riss.kr/link?id=S12896" TargetMode="External"/><Relationship Id="rId63" Type="http://schemas.openxmlformats.org/officeDocument/2006/relationships/hyperlink" Target="http://www.riss.kr/link?id=S58540" TargetMode="External"/><Relationship Id="rId68" Type="http://schemas.openxmlformats.org/officeDocument/2006/relationships/hyperlink" Target="http://www.riss.kr/link?id=S13936" TargetMode="External"/><Relationship Id="rId84" Type="http://schemas.openxmlformats.org/officeDocument/2006/relationships/hyperlink" Target="http://www.riss.kr/link?id=S115630" TargetMode="External"/><Relationship Id="rId89" Type="http://schemas.openxmlformats.org/officeDocument/2006/relationships/hyperlink" Target="http://www.riss.kr/link?id=S48720" TargetMode="External"/><Relationship Id="rId16" Type="http://schemas.openxmlformats.org/officeDocument/2006/relationships/hyperlink" Target="http://www.riss.kr/link?id=S16440" TargetMode="External"/><Relationship Id="rId11" Type="http://schemas.openxmlformats.org/officeDocument/2006/relationships/hyperlink" Target="http://www.riss.kr/link?id=S17152" TargetMode="External"/><Relationship Id="rId32" Type="http://schemas.openxmlformats.org/officeDocument/2006/relationships/hyperlink" Target="http://www.riss.kr/link?id=S16191" TargetMode="External"/><Relationship Id="rId37" Type="http://schemas.openxmlformats.org/officeDocument/2006/relationships/hyperlink" Target="http://www.riss.kr/link?id=S418665" TargetMode="External"/><Relationship Id="rId53" Type="http://schemas.openxmlformats.org/officeDocument/2006/relationships/hyperlink" Target="http://www.riss.kr/link?id=S15539" TargetMode="External"/><Relationship Id="rId58" Type="http://schemas.openxmlformats.org/officeDocument/2006/relationships/hyperlink" Target="http://www.riss.kr/link?id=S31013729" TargetMode="External"/><Relationship Id="rId74" Type="http://schemas.openxmlformats.org/officeDocument/2006/relationships/hyperlink" Target="http://www.riss.kr/link?id=S39035" TargetMode="External"/><Relationship Id="rId79" Type="http://schemas.openxmlformats.org/officeDocument/2006/relationships/hyperlink" Target="http://www.riss.kr/link?id=S17031" TargetMode="External"/><Relationship Id="rId5" Type="http://schemas.openxmlformats.org/officeDocument/2006/relationships/hyperlink" Target="http://www.riss.kr/link?id=S400756" TargetMode="External"/><Relationship Id="rId90" Type="http://schemas.openxmlformats.org/officeDocument/2006/relationships/hyperlink" Target="http://www.riss.kr/link?id=S41124" TargetMode="External"/><Relationship Id="rId95" Type="http://schemas.openxmlformats.org/officeDocument/2006/relationships/hyperlink" Target="http://www.riss.kr/link?id=S63540" TargetMode="External"/><Relationship Id="rId22" Type="http://schemas.openxmlformats.org/officeDocument/2006/relationships/hyperlink" Target="http://www.riss.kr/link?id=S60957" TargetMode="External"/><Relationship Id="rId27" Type="http://schemas.openxmlformats.org/officeDocument/2006/relationships/hyperlink" Target="http://www.riss.kr/link?id=S17074" TargetMode="External"/><Relationship Id="rId43" Type="http://schemas.openxmlformats.org/officeDocument/2006/relationships/hyperlink" Target="http://www.riss.kr/link?id=S408353" TargetMode="External"/><Relationship Id="rId48" Type="http://schemas.openxmlformats.org/officeDocument/2006/relationships/hyperlink" Target="http://www.riss.kr/link?id=S90023891" TargetMode="External"/><Relationship Id="rId64" Type="http://schemas.openxmlformats.org/officeDocument/2006/relationships/hyperlink" Target="http://www.riss.kr/link?id=S403127" TargetMode="External"/><Relationship Id="rId69" Type="http://schemas.openxmlformats.org/officeDocument/2006/relationships/hyperlink" Target="http://www.riss.kr/link?id=S90009235" TargetMode="External"/><Relationship Id="rId80" Type="http://schemas.openxmlformats.org/officeDocument/2006/relationships/hyperlink" Target="http://www.riss.kr/link?id=S12262" TargetMode="External"/><Relationship Id="rId85" Type="http://schemas.openxmlformats.org/officeDocument/2006/relationships/hyperlink" Target="http://www.riss.kr/link?id=S30007494" TargetMode="External"/><Relationship Id="rId12" Type="http://schemas.openxmlformats.org/officeDocument/2006/relationships/hyperlink" Target="http://www.riss.kr/link?id=S417040" TargetMode="External"/><Relationship Id="rId17" Type="http://schemas.openxmlformats.org/officeDocument/2006/relationships/hyperlink" Target="http://www.riss.kr/link?id=S17146" TargetMode="External"/><Relationship Id="rId25" Type="http://schemas.openxmlformats.org/officeDocument/2006/relationships/hyperlink" Target="http://www.riss.kr/link?id=S17067" TargetMode="External"/><Relationship Id="rId33" Type="http://schemas.openxmlformats.org/officeDocument/2006/relationships/hyperlink" Target="http://www.riss.kr/link?id=S11574028" TargetMode="External"/><Relationship Id="rId38" Type="http://schemas.openxmlformats.org/officeDocument/2006/relationships/hyperlink" Target="http://www.riss.kr/link?id=S30006261" TargetMode="External"/><Relationship Id="rId46" Type="http://schemas.openxmlformats.org/officeDocument/2006/relationships/hyperlink" Target="http://www.riss.kr/link?id=S13020" TargetMode="External"/><Relationship Id="rId59" Type="http://schemas.openxmlformats.org/officeDocument/2006/relationships/hyperlink" Target="http://www.riss.kr/link?id=S22129" TargetMode="External"/><Relationship Id="rId67" Type="http://schemas.openxmlformats.org/officeDocument/2006/relationships/hyperlink" Target="http://www.riss.kr/link?id=S28226" TargetMode="External"/><Relationship Id="rId20" Type="http://schemas.openxmlformats.org/officeDocument/2006/relationships/hyperlink" Target="http://www.riss.kr/link?id=S15647" TargetMode="External"/><Relationship Id="rId41" Type="http://schemas.openxmlformats.org/officeDocument/2006/relationships/hyperlink" Target="http://www.riss.kr/link?id=S405313" TargetMode="External"/><Relationship Id="rId54" Type="http://schemas.openxmlformats.org/officeDocument/2006/relationships/hyperlink" Target="http://www.riss.kr/link?id=S17078" TargetMode="External"/><Relationship Id="rId62" Type="http://schemas.openxmlformats.org/officeDocument/2006/relationships/hyperlink" Target="http://www.riss.kr/link?id=S415066" TargetMode="External"/><Relationship Id="rId70" Type="http://schemas.openxmlformats.org/officeDocument/2006/relationships/hyperlink" Target="http://www.riss.kr/link?id=S17042" TargetMode="External"/><Relationship Id="rId75" Type="http://schemas.openxmlformats.org/officeDocument/2006/relationships/hyperlink" Target="http://www.riss.kr/link?id=S12821" TargetMode="External"/><Relationship Id="rId83" Type="http://schemas.openxmlformats.org/officeDocument/2006/relationships/hyperlink" Target="http://www.riss.kr/link?id=S415882" TargetMode="External"/><Relationship Id="rId88" Type="http://schemas.openxmlformats.org/officeDocument/2006/relationships/hyperlink" Target="http://www.riss.kr/link?id=S20095138" TargetMode="External"/><Relationship Id="rId91" Type="http://schemas.openxmlformats.org/officeDocument/2006/relationships/hyperlink" Target="http://www.riss.kr/link?id=S54489" TargetMode="External"/><Relationship Id="rId96" Type="http://schemas.openxmlformats.org/officeDocument/2006/relationships/hyperlink" Target="http://www.riss.kr/link?id=S61680" TargetMode="External"/><Relationship Id="rId1" Type="http://schemas.openxmlformats.org/officeDocument/2006/relationships/hyperlink" Target="http://www.riss.kr/link?id=S16981" TargetMode="External"/><Relationship Id="rId6" Type="http://schemas.openxmlformats.org/officeDocument/2006/relationships/hyperlink" Target="http://www.riss.kr/link?id=S411913" TargetMode="External"/><Relationship Id="rId15" Type="http://schemas.openxmlformats.org/officeDocument/2006/relationships/hyperlink" Target="http://www.riss.kr/link?id=S414399" TargetMode="External"/><Relationship Id="rId23" Type="http://schemas.openxmlformats.org/officeDocument/2006/relationships/hyperlink" Target="http://www.riss.kr/link?id=S57569" TargetMode="External"/><Relationship Id="rId28" Type="http://schemas.openxmlformats.org/officeDocument/2006/relationships/hyperlink" Target="http://www.riss.kr/link?id=S143666" TargetMode="External"/><Relationship Id="rId36" Type="http://schemas.openxmlformats.org/officeDocument/2006/relationships/hyperlink" Target="http://www.riss.kr/link?id=S29360" TargetMode="External"/><Relationship Id="rId49" Type="http://schemas.openxmlformats.org/officeDocument/2006/relationships/hyperlink" Target="http://www.riss.kr/link?id=S90023890" TargetMode="External"/><Relationship Id="rId57" Type="http://schemas.openxmlformats.org/officeDocument/2006/relationships/hyperlink" Target="http://www.riss.kr/link?id=S24599" TargetMode="External"/><Relationship Id="rId10" Type="http://schemas.openxmlformats.org/officeDocument/2006/relationships/hyperlink" Target="http://www.riss.kr/link?id=S85045" TargetMode="External"/><Relationship Id="rId31" Type="http://schemas.openxmlformats.org/officeDocument/2006/relationships/hyperlink" Target="http://www.riss.kr/link?id=S20010150" TargetMode="External"/><Relationship Id="rId44" Type="http://schemas.openxmlformats.org/officeDocument/2006/relationships/hyperlink" Target="http://www.riss.kr/link?id=S21308" TargetMode="External"/><Relationship Id="rId52" Type="http://schemas.openxmlformats.org/officeDocument/2006/relationships/hyperlink" Target="http://www.riss.kr/link?id=S28470" TargetMode="External"/><Relationship Id="rId60" Type="http://schemas.openxmlformats.org/officeDocument/2006/relationships/hyperlink" Target="http://www.riss.kr/link?id=S28468" TargetMode="External"/><Relationship Id="rId65" Type="http://schemas.openxmlformats.org/officeDocument/2006/relationships/hyperlink" Target="http://www.riss.kr/link?id=S20010854" TargetMode="External"/><Relationship Id="rId73" Type="http://schemas.openxmlformats.org/officeDocument/2006/relationships/hyperlink" Target="http://www.riss.kr/link?id=S11574226" TargetMode="External"/><Relationship Id="rId78" Type="http://schemas.openxmlformats.org/officeDocument/2006/relationships/hyperlink" Target="http://www.riss.kr/link?id=S20012183" TargetMode="External"/><Relationship Id="rId81" Type="http://schemas.openxmlformats.org/officeDocument/2006/relationships/hyperlink" Target="http://www.riss.kr/link?id=S68638" TargetMode="External"/><Relationship Id="rId86" Type="http://schemas.openxmlformats.org/officeDocument/2006/relationships/hyperlink" Target="http://www.riss.kr/link?id=S86061" TargetMode="External"/><Relationship Id="rId94" Type="http://schemas.openxmlformats.org/officeDocument/2006/relationships/hyperlink" Target="http://www.riss.kr/link?id=S416788" TargetMode="External"/><Relationship Id="rId99" Type="http://schemas.openxmlformats.org/officeDocument/2006/relationships/hyperlink" Target="http://www.riss.kr/link?id=S35578" TargetMode="External"/><Relationship Id="rId101" Type="http://schemas.openxmlformats.org/officeDocument/2006/relationships/hyperlink" Target="http://www.riss.kr/link?id=S40112" TargetMode="External"/><Relationship Id="rId4" Type="http://schemas.openxmlformats.org/officeDocument/2006/relationships/hyperlink" Target="http://www.riss.kr/link?id=S407270" TargetMode="External"/><Relationship Id="rId9" Type="http://schemas.openxmlformats.org/officeDocument/2006/relationships/hyperlink" Target="http://www.riss.kr/link?id=S29005" TargetMode="External"/><Relationship Id="rId13" Type="http://schemas.openxmlformats.org/officeDocument/2006/relationships/hyperlink" Target="http://www.riss.kr/link?id=S17150" TargetMode="External"/><Relationship Id="rId18" Type="http://schemas.openxmlformats.org/officeDocument/2006/relationships/hyperlink" Target="http://www.riss.kr/link?id=S5004" TargetMode="External"/><Relationship Id="rId39" Type="http://schemas.openxmlformats.org/officeDocument/2006/relationships/hyperlink" Target="http://www.riss.kr/link?id=S401790" TargetMode="External"/><Relationship Id="rId34" Type="http://schemas.openxmlformats.org/officeDocument/2006/relationships/hyperlink" Target="http://www.riss.kr/link?id=S403172" TargetMode="External"/><Relationship Id="rId50" Type="http://schemas.openxmlformats.org/officeDocument/2006/relationships/hyperlink" Target="http://www.riss.kr/link?id=S90023683" TargetMode="External"/><Relationship Id="rId55" Type="http://schemas.openxmlformats.org/officeDocument/2006/relationships/hyperlink" Target="http://www.riss.kr/link?id=S14916" TargetMode="External"/><Relationship Id="rId76" Type="http://schemas.openxmlformats.org/officeDocument/2006/relationships/hyperlink" Target="http://www.riss.kr/link?id=S402100" TargetMode="External"/><Relationship Id="rId97" Type="http://schemas.openxmlformats.org/officeDocument/2006/relationships/hyperlink" Target="http://www.riss.kr/link?id=S413798" TargetMode="External"/><Relationship Id="rId7" Type="http://schemas.openxmlformats.org/officeDocument/2006/relationships/hyperlink" Target="http://www.riss.kr/link?id=S12866" TargetMode="External"/><Relationship Id="rId71" Type="http://schemas.openxmlformats.org/officeDocument/2006/relationships/hyperlink" Target="http://www.riss.kr/link?id=S411588" TargetMode="External"/><Relationship Id="rId92" Type="http://schemas.openxmlformats.org/officeDocument/2006/relationships/hyperlink" Target="http://www.riss.kr/link?id=S93244" TargetMode="External"/><Relationship Id="rId2" Type="http://schemas.openxmlformats.org/officeDocument/2006/relationships/hyperlink" Target="http://www.riss.kr/link?id=S11574113" TargetMode="External"/><Relationship Id="rId29" Type="http://schemas.openxmlformats.org/officeDocument/2006/relationships/hyperlink" Target="http://www.riss.kr/link?id=S31000325" TargetMode="External"/><Relationship Id="rId24" Type="http://schemas.openxmlformats.org/officeDocument/2006/relationships/hyperlink" Target="http://www.riss.kr/link?id=S17133" TargetMode="External"/><Relationship Id="rId40" Type="http://schemas.openxmlformats.org/officeDocument/2006/relationships/hyperlink" Target="http://www.riss.kr/link?id=S60899" TargetMode="External"/><Relationship Id="rId45" Type="http://schemas.openxmlformats.org/officeDocument/2006/relationships/hyperlink" Target="http://www.riss.kr/link?id=S31004980" TargetMode="External"/><Relationship Id="rId66" Type="http://schemas.openxmlformats.org/officeDocument/2006/relationships/hyperlink" Target="http://www.riss.kr/link?id=S29121" TargetMode="External"/><Relationship Id="rId87" Type="http://schemas.openxmlformats.org/officeDocument/2006/relationships/hyperlink" Target="http://www.riss.kr/link?id=S411666" TargetMode="External"/><Relationship Id="rId61" Type="http://schemas.openxmlformats.org/officeDocument/2006/relationships/hyperlink" Target="http://www.riss.kr/link?id=S14360" TargetMode="External"/><Relationship Id="rId82" Type="http://schemas.openxmlformats.org/officeDocument/2006/relationships/hyperlink" Target="http://www.riss.kr/link?id=S407398" TargetMode="External"/><Relationship Id="rId19" Type="http://schemas.openxmlformats.org/officeDocument/2006/relationships/hyperlink" Target="http://www.riss.kr/link?id=S15648" TargetMode="External"/><Relationship Id="rId14" Type="http://schemas.openxmlformats.org/officeDocument/2006/relationships/hyperlink" Target="http://www.riss.kr/link?id=S409678" TargetMode="External"/><Relationship Id="rId30" Type="http://schemas.openxmlformats.org/officeDocument/2006/relationships/hyperlink" Target="http://www.riss.kr/link?id=S405428" TargetMode="External"/><Relationship Id="rId35" Type="http://schemas.openxmlformats.org/officeDocument/2006/relationships/hyperlink" Target="http://www.riss.kr/link?id=S115378" TargetMode="External"/><Relationship Id="rId56" Type="http://schemas.openxmlformats.org/officeDocument/2006/relationships/hyperlink" Target="http://www.riss.kr/link?id=S410763" TargetMode="External"/><Relationship Id="rId77" Type="http://schemas.openxmlformats.org/officeDocument/2006/relationships/hyperlink" Target="http://www.riss.kr/link?id=S413600" TargetMode="External"/><Relationship Id="rId100" Type="http://schemas.openxmlformats.org/officeDocument/2006/relationships/hyperlink" Target="http://www.riss.kr/link?id=S20109" TargetMode="External"/><Relationship Id="rId8" Type="http://schemas.openxmlformats.org/officeDocument/2006/relationships/hyperlink" Target="http://www.riss.kr/link?id=S410185" TargetMode="External"/><Relationship Id="rId51" Type="http://schemas.openxmlformats.org/officeDocument/2006/relationships/hyperlink" Target="http://www.riss.kr/link?id=S14024" TargetMode="External"/><Relationship Id="rId72" Type="http://schemas.openxmlformats.org/officeDocument/2006/relationships/hyperlink" Target="http://www.riss.kr/link?id=S13243" TargetMode="External"/><Relationship Id="rId93" Type="http://schemas.openxmlformats.org/officeDocument/2006/relationships/hyperlink" Target="http://www.riss.kr/link?id=S6194" TargetMode="External"/><Relationship Id="rId98" Type="http://schemas.openxmlformats.org/officeDocument/2006/relationships/hyperlink" Target="http://www.riss.kr/link?id=S58112" TargetMode="External"/><Relationship Id="rId3" Type="http://schemas.openxmlformats.org/officeDocument/2006/relationships/hyperlink" Target="http://www.riss.kr/link?id=S14693" TargetMode="External"/></Relationships>
</file>

<file path=xl/worksheets/_rels/sheet15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15636" TargetMode="External"/><Relationship Id="rId21" Type="http://schemas.openxmlformats.org/officeDocument/2006/relationships/hyperlink" Target="http://www.riss.kr/link?id=S400897" TargetMode="External"/><Relationship Id="rId42" Type="http://schemas.openxmlformats.org/officeDocument/2006/relationships/hyperlink" Target="http://www.riss.kr/link?id=S61261" TargetMode="External"/><Relationship Id="rId47" Type="http://schemas.openxmlformats.org/officeDocument/2006/relationships/hyperlink" Target="http://www.riss.kr/link?id=S12896" TargetMode="External"/><Relationship Id="rId63" Type="http://schemas.openxmlformats.org/officeDocument/2006/relationships/hyperlink" Target="http://www.riss.kr/link?id=S415066" TargetMode="External"/><Relationship Id="rId68" Type="http://schemas.openxmlformats.org/officeDocument/2006/relationships/hyperlink" Target="http://www.riss.kr/link?id=S28226" TargetMode="External"/><Relationship Id="rId84" Type="http://schemas.openxmlformats.org/officeDocument/2006/relationships/hyperlink" Target="http://www.riss.kr/link?id=S415882" TargetMode="External"/><Relationship Id="rId89" Type="http://schemas.openxmlformats.org/officeDocument/2006/relationships/hyperlink" Target="http://www.riss.kr/link?id=S20095138" TargetMode="External"/><Relationship Id="rId16" Type="http://schemas.openxmlformats.org/officeDocument/2006/relationships/hyperlink" Target="http://www.riss.kr/link?id=S16440" TargetMode="External"/><Relationship Id="rId11" Type="http://schemas.openxmlformats.org/officeDocument/2006/relationships/hyperlink" Target="http://www.riss.kr/link?id=S17152" TargetMode="External"/><Relationship Id="rId32" Type="http://schemas.openxmlformats.org/officeDocument/2006/relationships/hyperlink" Target="http://www.riss.kr/link?id=S16191" TargetMode="External"/><Relationship Id="rId37" Type="http://schemas.openxmlformats.org/officeDocument/2006/relationships/hyperlink" Target="http://www.riss.kr/link?id=S418665" TargetMode="External"/><Relationship Id="rId53" Type="http://schemas.openxmlformats.org/officeDocument/2006/relationships/hyperlink" Target="http://www.riss.kr/link?id=S15539" TargetMode="External"/><Relationship Id="rId58" Type="http://schemas.openxmlformats.org/officeDocument/2006/relationships/hyperlink" Target="http://www.riss.kr/link?id=S31013729" TargetMode="External"/><Relationship Id="rId74" Type="http://schemas.openxmlformats.org/officeDocument/2006/relationships/hyperlink" Target="http://www.riss.kr/link?id=S11574226" TargetMode="External"/><Relationship Id="rId79" Type="http://schemas.openxmlformats.org/officeDocument/2006/relationships/hyperlink" Target="http://www.riss.kr/link?id=S20012183" TargetMode="External"/><Relationship Id="rId102" Type="http://schemas.openxmlformats.org/officeDocument/2006/relationships/hyperlink" Target="http://www.riss.kr/link?id=S40112" TargetMode="External"/><Relationship Id="rId5" Type="http://schemas.openxmlformats.org/officeDocument/2006/relationships/hyperlink" Target="http://www.riss.kr/link?id=S400756" TargetMode="External"/><Relationship Id="rId90" Type="http://schemas.openxmlformats.org/officeDocument/2006/relationships/hyperlink" Target="http://www.riss.kr/link?id=S48720" TargetMode="External"/><Relationship Id="rId95" Type="http://schemas.openxmlformats.org/officeDocument/2006/relationships/hyperlink" Target="http://www.riss.kr/link?id=S416788" TargetMode="External"/><Relationship Id="rId22" Type="http://schemas.openxmlformats.org/officeDocument/2006/relationships/hyperlink" Target="http://www.riss.kr/link?id=S60957" TargetMode="External"/><Relationship Id="rId27" Type="http://schemas.openxmlformats.org/officeDocument/2006/relationships/hyperlink" Target="http://www.riss.kr/link?id=S17074" TargetMode="External"/><Relationship Id="rId43" Type="http://schemas.openxmlformats.org/officeDocument/2006/relationships/hyperlink" Target="http://www.riss.kr/link?id=S408353" TargetMode="External"/><Relationship Id="rId48" Type="http://schemas.openxmlformats.org/officeDocument/2006/relationships/hyperlink" Target="http://www.riss.kr/link?id=S90023891" TargetMode="External"/><Relationship Id="rId64" Type="http://schemas.openxmlformats.org/officeDocument/2006/relationships/hyperlink" Target="http://www.riss.kr/link?id=S58540" TargetMode="External"/><Relationship Id="rId69" Type="http://schemas.openxmlformats.org/officeDocument/2006/relationships/hyperlink" Target="http://www.riss.kr/link?id=S13936" TargetMode="External"/><Relationship Id="rId80" Type="http://schemas.openxmlformats.org/officeDocument/2006/relationships/hyperlink" Target="http://www.riss.kr/link?id=S17031" TargetMode="External"/><Relationship Id="rId85" Type="http://schemas.openxmlformats.org/officeDocument/2006/relationships/hyperlink" Target="http://www.riss.kr/link?id=S115630" TargetMode="External"/><Relationship Id="rId12" Type="http://schemas.openxmlformats.org/officeDocument/2006/relationships/hyperlink" Target="http://www.riss.kr/link?id=S417040" TargetMode="External"/><Relationship Id="rId17" Type="http://schemas.openxmlformats.org/officeDocument/2006/relationships/hyperlink" Target="http://www.riss.kr/link?id=S17146" TargetMode="External"/><Relationship Id="rId25" Type="http://schemas.openxmlformats.org/officeDocument/2006/relationships/hyperlink" Target="http://www.riss.kr/link?id=S17067" TargetMode="External"/><Relationship Id="rId33" Type="http://schemas.openxmlformats.org/officeDocument/2006/relationships/hyperlink" Target="http://www.riss.kr/link?id=S11574028" TargetMode="External"/><Relationship Id="rId38" Type="http://schemas.openxmlformats.org/officeDocument/2006/relationships/hyperlink" Target="http://www.riss.kr/link?id=S30006261" TargetMode="External"/><Relationship Id="rId46" Type="http://schemas.openxmlformats.org/officeDocument/2006/relationships/hyperlink" Target="http://www.riss.kr/link?id=S13020" TargetMode="External"/><Relationship Id="rId59" Type="http://schemas.openxmlformats.org/officeDocument/2006/relationships/hyperlink" Target="http://scientific.net/" TargetMode="External"/><Relationship Id="rId67" Type="http://schemas.openxmlformats.org/officeDocument/2006/relationships/hyperlink" Target="http://www.riss.kr/link?id=S29121" TargetMode="External"/><Relationship Id="rId20" Type="http://schemas.openxmlformats.org/officeDocument/2006/relationships/hyperlink" Target="http://www.riss.kr/link?id=S15647" TargetMode="External"/><Relationship Id="rId41" Type="http://schemas.openxmlformats.org/officeDocument/2006/relationships/hyperlink" Target="http://www.riss.kr/link?id=S405313" TargetMode="External"/><Relationship Id="rId54" Type="http://schemas.openxmlformats.org/officeDocument/2006/relationships/hyperlink" Target="http://www.riss.kr/link?id=S17078" TargetMode="External"/><Relationship Id="rId62" Type="http://schemas.openxmlformats.org/officeDocument/2006/relationships/hyperlink" Target="http://www.riss.kr/link?id=S14360" TargetMode="External"/><Relationship Id="rId70" Type="http://schemas.openxmlformats.org/officeDocument/2006/relationships/hyperlink" Target="http://www.riss.kr/link?id=S90009235" TargetMode="External"/><Relationship Id="rId75" Type="http://schemas.openxmlformats.org/officeDocument/2006/relationships/hyperlink" Target="http://www.riss.kr/link?id=S39035" TargetMode="External"/><Relationship Id="rId83" Type="http://schemas.openxmlformats.org/officeDocument/2006/relationships/hyperlink" Target="http://www.riss.kr/link?id=S407398" TargetMode="External"/><Relationship Id="rId88" Type="http://schemas.openxmlformats.org/officeDocument/2006/relationships/hyperlink" Target="http://www.riss.kr/link?id=S411666" TargetMode="External"/><Relationship Id="rId91" Type="http://schemas.openxmlformats.org/officeDocument/2006/relationships/hyperlink" Target="http://www.riss.kr/link?id=S41124" TargetMode="External"/><Relationship Id="rId96" Type="http://schemas.openxmlformats.org/officeDocument/2006/relationships/hyperlink" Target="http://www.riss.kr/link?id=S63540" TargetMode="External"/><Relationship Id="rId1" Type="http://schemas.openxmlformats.org/officeDocument/2006/relationships/hyperlink" Target="http://www.riss.kr/link?id=S16981" TargetMode="External"/><Relationship Id="rId6" Type="http://schemas.openxmlformats.org/officeDocument/2006/relationships/hyperlink" Target="http://www.riss.kr/link?id=S411913" TargetMode="External"/><Relationship Id="rId15" Type="http://schemas.openxmlformats.org/officeDocument/2006/relationships/hyperlink" Target="http://www.riss.kr/link?id=S414399" TargetMode="External"/><Relationship Id="rId23" Type="http://schemas.openxmlformats.org/officeDocument/2006/relationships/hyperlink" Target="http://www.riss.kr/link?id=S57569" TargetMode="External"/><Relationship Id="rId28" Type="http://schemas.openxmlformats.org/officeDocument/2006/relationships/hyperlink" Target="http://www.riss.kr/link?id=S143666" TargetMode="External"/><Relationship Id="rId36" Type="http://schemas.openxmlformats.org/officeDocument/2006/relationships/hyperlink" Target="http://www.riss.kr/link?id=S29360" TargetMode="External"/><Relationship Id="rId49" Type="http://schemas.openxmlformats.org/officeDocument/2006/relationships/hyperlink" Target="http://www.riss.kr/link?id=S90023890" TargetMode="External"/><Relationship Id="rId57" Type="http://schemas.openxmlformats.org/officeDocument/2006/relationships/hyperlink" Target="http://www.riss.kr/link?id=S24599" TargetMode="External"/><Relationship Id="rId10" Type="http://schemas.openxmlformats.org/officeDocument/2006/relationships/hyperlink" Target="http://www.riss.kr/link?id=S85045" TargetMode="External"/><Relationship Id="rId31" Type="http://schemas.openxmlformats.org/officeDocument/2006/relationships/hyperlink" Target="http://www.riss.kr/link?id=S20010150" TargetMode="External"/><Relationship Id="rId44" Type="http://schemas.openxmlformats.org/officeDocument/2006/relationships/hyperlink" Target="http://www.riss.kr/link?id=S21308" TargetMode="External"/><Relationship Id="rId52" Type="http://schemas.openxmlformats.org/officeDocument/2006/relationships/hyperlink" Target="http://www.riss.kr/link?id=S28470" TargetMode="External"/><Relationship Id="rId60" Type="http://schemas.openxmlformats.org/officeDocument/2006/relationships/hyperlink" Target="http://www.riss.kr/link?id=S22129" TargetMode="External"/><Relationship Id="rId65" Type="http://schemas.openxmlformats.org/officeDocument/2006/relationships/hyperlink" Target="http://www.riss.kr/link?id=S403127" TargetMode="External"/><Relationship Id="rId73" Type="http://schemas.openxmlformats.org/officeDocument/2006/relationships/hyperlink" Target="http://www.riss.kr/link?id=S13243" TargetMode="External"/><Relationship Id="rId78" Type="http://schemas.openxmlformats.org/officeDocument/2006/relationships/hyperlink" Target="http://www.riss.kr/link?id=S413600" TargetMode="External"/><Relationship Id="rId81" Type="http://schemas.openxmlformats.org/officeDocument/2006/relationships/hyperlink" Target="http://www.riss.kr/link?id=S12262" TargetMode="External"/><Relationship Id="rId86" Type="http://schemas.openxmlformats.org/officeDocument/2006/relationships/hyperlink" Target="http://www.riss.kr/link?id=S30007494" TargetMode="External"/><Relationship Id="rId94" Type="http://schemas.openxmlformats.org/officeDocument/2006/relationships/hyperlink" Target="http://www.riss.kr/link?id=S6194" TargetMode="External"/><Relationship Id="rId99" Type="http://schemas.openxmlformats.org/officeDocument/2006/relationships/hyperlink" Target="http://www.riss.kr/link?id=S58112" TargetMode="External"/><Relationship Id="rId101" Type="http://schemas.openxmlformats.org/officeDocument/2006/relationships/hyperlink" Target="http://www.riss.kr/link?id=S20109" TargetMode="External"/><Relationship Id="rId4" Type="http://schemas.openxmlformats.org/officeDocument/2006/relationships/hyperlink" Target="http://www.riss.kr/link?id=S407270" TargetMode="External"/><Relationship Id="rId9" Type="http://schemas.openxmlformats.org/officeDocument/2006/relationships/hyperlink" Target="http://www.riss.kr/link?id=S29005" TargetMode="External"/><Relationship Id="rId13" Type="http://schemas.openxmlformats.org/officeDocument/2006/relationships/hyperlink" Target="http://www.riss.kr/link?id=S17150" TargetMode="External"/><Relationship Id="rId18" Type="http://schemas.openxmlformats.org/officeDocument/2006/relationships/hyperlink" Target="http://www.riss.kr/link?id=S5004" TargetMode="External"/><Relationship Id="rId39" Type="http://schemas.openxmlformats.org/officeDocument/2006/relationships/hyperlink" Target="http://www.riss.kr/link?id=S401790" TargetMode="External"/><Relationship Id="rId34" Type="http://schemas.openxmlformats.org/officeDocument/2006/relationships/hyperlink" Target="http://www.riss.kr/link?id=S403172" TargetMode="External"/><Relationship Id="rId50" Type="http://schemas.openxmlformats.org/officeDocument/2006/relationships/hyperlink" Target="http://www.riss.kr/link?id=S90023683" TargetMode="External"/><Relationship Id="rId55" Type="http://schemas.openxmlformats.org/officeDocument/2006/relationships/hyperlink" Target="http://www.riss.kr/link?id=S14916" TargetMode="External"/><Relationship Id="rId76" Type="http://schemas.openxmlformats.org/officeDocument/2006/relationships/hyperlink" Target="http://www.riss.kr/link?id=S12821" TargetMode="External"/><Relationship Id="rId97" Type="http://schemas.openxmlformats.org/officeDocument/2006/relationships/hyperlink" Target="http://www.riss.kr/link?id=S61680" TargetMode="External"/><Relationship Id="rId7" Type="http://schemas.openxmlformats.org/officeDocument/2006/relationships/hyperlink" Target="http://www.riss.kr/link?id=S12866" TargetMode="External"/><Relationship Id="rId71" Type="http://schemas.openxmlformats.org/officeDocument/2006/relationships/hyperlink" Target="http://www.riss.kr/link?id=S17042" TargetMode="External"/><Relationship Id="rId92" Type="http://schemas.openxmlformats.org/officeDocument/2006/relationships/hyperlink" Target="http://www.riss.kr/link?id=S54489" TargetMode="External"/><Relationship Id="rId2" Type="http://schemas.openxmlformats.org/officeDocument/2006/relationships/hyperlink" Target="http://www.riss.kr/link?id=S11574113" TargetMode="External"/><Relationship Id="rId29" Type="http://schemas.openxmlformats.org/officeDocument/2006/relationships/hyperlink" Target="http://www.riss.kr/link?id=S31000325" TargetMode="External"/><Relationship Id="rId24" Type="http://schemas.openxmlformats.org/officeDocument/2006/relationships/hyperlink" Target="http://www.riss.kr/link?id=S17133" TargetMode="External"/><Relationship Id="rId40" Type="http://schemas.openxmlformats.org/officeDocument/2006/relationships/hyperlink" Target="http://www.riss.kr/link?id=S60899" TargetMode="External"/><Relationship Id="rId45" Type="http://schemas.openxmlformats.org/officeDocument/2006/relationships/hyperlink" Target="http://www.riss.kr/link?id=S31004980" TargetMode="External"/><Relationship Id="rId66" Type="http://schemas.openxmlformats.org/officeDocument/2006/relationships/hyperlink" Target="http://www.riss.kr/link?id=S20010854" TargetMode="External"/><Relationship Id="rId87" Type="http://schemas.openxmlformats.org/officeDocument/2006/relationships/hyperlink" Target="http://www.riss.kr/link?id=S86061" TargetMode="External"/><Relationship Id="rId61" Type="http://schemas.openxmlformats.org/officeDocument/2006/relationships/hyperlink" Target="http://www.riss.kr/link?id=S28468" TargetMode="External"/><Relationship Id="rId82" Type="http://schemas.openxmlformats.org/officeDocument/2006/relationships/hyperlink" Target="http://www.riss.kr/link?id=S68638" TargetMode="External"/><Relationship Id="rId19" Type="http://schemas.openxmlformats.org/officeDocument/2006/relationships/hyperlink" Target="http://www.riss.kr/link?id=S15648" TargetMode="External"/><Relationship Id="rId14" Type="http://schemas.openxmlformats.org/officeDocument/2006/relationships/hyperlink" Target="http://www.riss.kr/link?id=S409678" TargetMode="External"/><Relationship Id="rId30" Type="http://schemas.openxmlformats.org/officeDocument/2006/relationships/hyperlink" Target="http://www.riss.kr/link?id=S405428" TargetMode="External"/><Relationship Id="rId35" Type="http://schemas.openxmlformats.org/officeDocument/2006/relationships/hyperlink" Target="http://www.riss.kr/link?id=S115378" TargetMode="External"/><Relationship Id="rId56" Type="http://schemas.openxmlformats.org/officeDocument/2006/relationships/hyperlink" Target="http://www.riss.kr/link?id=S410763" TargetMode="External"/><Relationship Id="rId77" Type="http://schemas.openxmlformats.org/officeDocument/2006/relationships/hyperlink" Target="http://www.riss.kr/link?id=S402100" TargetMode="External"/><Relationship Id="rId100" Type="http://schemas.openxmlformats.org/officeDocument/2006/relationships/hyperlink" Target="http://www.riss.kr/link?id=S35578" TargetMode="External"/><Relationship Id="rId8" Type="http://schemas.openxmlformats.org/officeDocument/2006/relationships/hyperlink" Target="http://www.riss.kr/link?id=S410185" TargetMode="External"/><Relationship Id="rId51" Type="http://schemas.openxmlformats.org/officeDocument/2006/relationships/hyperlink" Target="http://www.riss.kr/link?id=S14024" TargetMode="External"/><Relationship Id="rId72" Type="http://schemas.openxmlformats.org/officeDocument/2006/relationships/hyperlink" Target="http://www.riss.kr/link?id=S411588" TargetMode="External"/><Relationship Id="rId93" Type="http://schemas.openxmlformats.org/officeDocument/2006/relationships/hyperlink" Target="http://www.riss.kr/link?id=S93244" TargetMode="External"/><Relationship Id="rId98" Type="http://schemas.openxmlformats.org/officeDocument/2006/relationships/hyperlink" Target="http://www.riss.kr/link?id=S413798" TargetMode="External"/><Relationship Id="rId3" Type="http://schemas.openxmlformats.org/officeDocument/2006/relationships/hyperlink" Target="http://www.riss.kr/link?id=S14693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4693" TargetMode="External"/><Relationship Id="rId299" Type="http://schemas.openxmlformats.org/officeDocument/2006/relationships/hyperlink" Target="http://www.riss.kr/link?id=S20010735" TargetMode="External"/><Relationship Id="rId21" Type="http://schemas.openxmlformats.org/officeDocument/2006/relationships/hyperlink" Target="http://www.riss.kr/link?id=S16440" TargetMode="External"/><Relationship Id="rId63" Type="http://schemas.openxmlformats.org/officeDocument/2006/relationships/hyperlink" Target="http://www.riss.kr/link?id=S15527" TargetMode="External"/><Relationship Id="rId159" Type="http://schemas.openxmlformats.org/officeDocument/2006/relationships/hyperlink" Target="http://www.riss.kr/link?id=S31425" TargetMode="External"/><Relationship Id="rId324" Type="http://schemas.openxmlformats.org/officeDocument/2006/relationships/hyperlink" Target="http://www.riss.kr/link?id=S31014183" TargetMode="External"/><Relationship Id="rId170" Type="http://schemas.openxmlformats.org/officeDocument/2006/relationships/hyperlink" Target="http://www.riss.kr/link?id=S14685" TargetMode="External"/><Relationship Id="rId226" Type="http://schemas.openxmlformats.org/officeDocument/2006/relationships/hyperlink" Target="http://www.riss.kr/link?id=S20888" TargetMode="External"/><Relationship Id="rId268" Type="http://schemas.openxmlformats.org/officeDocument/2006/relationships/hyperlink" Target="http://www.riss.kr/link?id=S11640555" TargetMode="External"/><Relationship Id="rId32" Type="http://schemas.openxmlformats.org/officeDocument/2006/relationships/hyperlink" Target="http://www.riss.kr/link?id=S11644049" TargetMode="External"/><Relationship Id="rId74" Type="http://schemas.openxmlformats.org/officeDocument/2006/relationships/hyperlink" Target="http://www.riss.kr/link?id=S407398" TargetMode="External"/><Relationship Id="rId128" Type="http://schemas.openxmlformats.org/officeDocument/2006/relationships/hyperlink" Target="http://www.riss.kr/link?id=S15532" TargetMode="External"/><Relationship Id="rId335" Type="http://schemas.openxmlformats.org/officeDocument/2006/relationships/hyperlink" Target="http://www.riss.kr/link?id=S143758" TargetMode="External"/><Relationship Id="rId5" Type="http://schemas.openxmlformats.org/officeDocument/2006/relationships/hyperlink" Target="http://www.riss.kr/link?id=S42967" TargetMode="External"/><Relationship Id="rId181" Type="http://schemas.openxmlformats.org/officeDocument/2006/relationships/hyperlink" Target="http://www.riss.kr/link?id=S411965" TargetMode="External"/><Relationship Id="rId237" Type="http://schemas.openxmlformats.org/officeDocument/2006/relationships/hyperlink" Target="http://www.riss.kr/link?id=S20015069" TargetMode="External"/><Relationship Id="rId279" Type="http://schemas.openxmlformats.org/officeDocument/2006/relationships/hyperlink" Target="http://www.riss.kr/link?id=S48296" TargetMode="External"/><Relationship Id="rId43" Type="http://schemas.openxmlformats.org/officeDocument/2006/relationships/hyperlink" Target="http://www.riss.kr/link?id=S86061" TargetMode="External"/><Relationship Id="rId139" Type="http://schemas.openxmlformats.org/officeDocument/2006/relationships/hyperlink" Target="http://www.riss.kr/link?id=S35578" TargetMode="External"/><Relationship Id="rId290" Type="http://schemas.openxmlformats.org/officeDocument/2006/relationships/hyperlink" Target="http://www.riss.kr/link?id=S103925" TargetMode="External"/><Relationship Id="rId304" Type="http://schemas.openxmlformats.org/officeDocument/2006/relationships/hyperlink" Target="http://www.riss.kr/link?id=S72024" TargetMode="External"/><Relationship Id="rId85" Type="http://schemas.openxmlformats.org/officeDocument/2006/relationships/hyperlink" Target="http://www.riss.kr/link?id=S16063" TargetMode="External"/><Relationship Id="rId150" Type="http://schemas.openxmlformats.org/officeDocument/2006/relationships/hyperlink" Target="http://www.riss.kr/link?id=S49427" TargetMode="External"/><Relationship Id="rId192" Type="http://schemas.openxmlformats.org/officeDocument/2006/relationships/hyperlink" Target="http://www.riss.kr/link?id=S13442" TargetMode="External"/><Relationship Id="rId206" Type="http://schemas.openxmlformats.org/officeDocument/2006/relationships/hyperlink" Target="http://www.riss.kr/link?id=S418358" TargetMode="External"/><Relationship Id="rId248" Type="http://schemas.openxmlformats.org/officeDocument/2006/relationships/hyperlink" Target="http://www.riss.kr/link?id=S13020" TargetMode="External"/><Relationship Id="rId12" Type="http://schemas.openxmlformats.org/officeDocument/2006/relationships/hyperlink" Target="http://www.riss.kr/link?id=S7757" TargetMode="External"/><Relationship Id="rId108" Type="http://schemas.openxmlformats.org/officeDocument/2006/relationships/hyperlink" Target="http://www.riss.kr/link?id=S409678" TargetMode="External"/><Relationship Id="rId315" Type="http://schemas.openxmlformats.org/officeDocument/2006/relationships/hyperlink" Target="http://www.riss.kr/link?id=S31002302" TargetMode="External"/><Relationship Id="rId54" Type="http://schemas.openxmlformats.org/officeDocument/2006/relationships/hyperlink" Target="http://www.riss.kr/link?id=S16059" TargetMode="External"/><Relationship Id="rId96" Type="http://schemas.openxmlformats.org/officeDocument/2006/relationships/hyperlink" Target="http://www.riss.kr/link?id=S10522" TargetMode="External"/><Relationship Id="rId161" Type="http://schemas.openxmlformats.org/officeDocument/2006/relationships/hyperlink" Target="http://www.riss.kr/link?id=S20091842" TargetMode="External"/><Relationship Id="rId217" Type="http://schemas.openxmlformats.org/officeDocument/2006/relationships/hyperlink" Target="http://www.riss.kr/link?id=S21812" TargetMode="External"/><Relationship Id="rId259" Type="http://schemas.openxmlformats.org/officeDocument/2006/relationships/hyperlink" Target="http://www.riss.kr/link?id=S5079" TargetMode="External"/><Relationship Id="rId23" Type="http://schemas.openxmlformats.org/officeDocument/2006/relationships/hyperlink" Target="http://www.riss.kr/link?id=S16252" TargetMode="External"/><Relationship Id="rId119" Type="http://schemas.openxmlformats.org/officeDocument/2006/relationships/hyperlink" Target="http://www.riss.kr/link?id=S60896" TargetMode="External"/><Relationship Id="rId270" Type="http://schemas.openxmlformats.org/officeDocument/2006/relationships/hyperlink" Target="http://www.riss.kr/link?id=S63124" TargetMode="External"/><Relationship Id="rId326" Type="http://schemas.openxmlformats.org/officeDocument/2006/relationships/hyperlink" Target="http://www.riss.kr/link?id=S31002771" TargetMode="External"/><Relationship Id="rId65" Type="http://schemas.openxmlformats.org/officeDocument/2006/relationships/hyperlink" Target="http://www.riss.kr/link?id=S104164" TargetMode="External"/><Relationship Id="rId130" Type="http://schemas.openxmlformats.org/officeDocument/2006/relationships/hyperlink" Target="http://www.riss.kr/link?id=S15648" TargetMode="External"/><Relationship Id="rId172" Type="http://schemas.openxmlformats.org/officeDocument/2006/relationships/hyperlink" Target="http://www.riss.kr/link?id=S15476" TargetMode="External"/><Relationship Id="rId228" Type="http://schemas.openxmlformats.org/officeDocument/2006/relationships/hyperlink" Target="http://www.riss.kr/link?id=S11574145" TargetMode="External"/><Relationship Id="rId281" Type="http://schemas.openxmlformats.org/officeDocument/2006/relationships/hyperlink" Target="http://www.riss.kr/link?id=S116123" TargetMode="External"/><Relationship Id="rId337" Type="http://schemas.openxmlformats.org/officeDocument/2006/relationships/hyperlink" Target="http://www.riss.kr/link?id=S31011773" TargetMode="External"/><Relationship Id="rId34" Type="http://schemas.openxmlformats.org/officeDocument/2006/relationships/hyperlink" Target="http://www.riss.kr/link?id=S19719" TargetMode="External"/><Relationship Id="rId76" Type="http://schemas.openxmlformats.org/officeDocument/2006/relationships/hyperlink" Target="http://www.riss.kr/link?id=S15907" TargetMode="External"/><Relationship Id="rId141" Type="http://schemas.openxmlformats.org/officeDocument/2006/relationships/hyperlink" Target="http://www.riss.kr/link?id=S60956" TargetMode="External"/><Relationship Id="rId7" Type="http://schemas.openxmlformats.org/officeDocument/2006/relationships/hyperlink" Target="http://www.riss.kr/link?id=S6854" TargetMode="External"/><Relationship Id="rId183" Type="http://schemas.openxmlformats.org/officeDocument/2006/relationships/hyperlink" Target="http://www.riss.kr/link?id=S16077" TargetMode="External"/><Relationship Id="rId239" Type="http://schemas.openxmlformats.org/officeDocument/2006/relationships/hyperlink" Target="http://www.riss.kr/link?id=S20951" TargetMode="External"/><Relationship Id="rId250" Type="http://schemas.openxmlformats.org/officeDocument/2006/relationships/hyperlink" Target="http://www.riss.kr/link?id=S402314" TargetMode="External"/><Relationship Id="rId292" Type="http://schemas.openxmlformats.org/officeDocument/2006/relationships/hyperlink" Target="http://www.riss.kr/link?id=S31023273" TargetMode="External"/><Relationship Id="rId306" Type="http://schemas.openxmlformats.org/officeDocument/2006/relationships/hyperlink" Target="http://www.riss.kr/link?id=S405713" TargetMode="External"/><Relationship Id="rId45" Type="http://schemas.openxmlformats.org/officeDocument/2006/relationships/hyperlink" Target="http://www.riss.kr/link?id=S38215" TargetMode="External"/><Relationship Id="rId87" Type="http://schemas.openxmlformats.org/officeDocument/2006/relationships/hyperlink" Target="http://www.riss.kr/link?id=S409282" TargetMode="External"/><Relationship Id="rId110" Type="http://schemas.openxmlformats.org/officeDocument/2006/relationships/hyperlink" Target="http://www.riss.kr/link?id=S15647" TargetMode="External"/><Relationship Id="rId152" Type="http://schemas.openxmlformats.org/officeDocument/2006/relationships/hyperlink" Target="http://www.riss.kr/link?id=S40515" TargetMode="External"/><Relationship Id="rId194" Type="http://schemas.openxmlformats.org/officeDocument/2006/relationships/hyperlink" Target="http://www.riss.kr/link?id=S29360" TargetMode="External"/><Relationship Id="rId208" Type="http://schemas.openxmlformats.org/officeDocument/2006/relationships/hyperlink" Target="http://www.riss.kr/link?id=S63539" TargetMode="External"/><Relationship Id="rId240" Type="http://schemas.openxmlformats.org/officeDocument/2006/relationships/hyperlink" Target="http://www.riss.kr/link?id=S20950" TargetMode="External"/><Relationship Id="rId261" Type="http://schemas.openxmlformats.org/officeDocument/2006/relationships/hyperlink" Target="http://www.riss.kr/link?id=S23469" TargetMode="External"/><Relationship Id="rId14" Type="http://schemas.openxmlformats.org/officeDocument/2006/relationships/hyperlink" Target="http://www.riss.kr/link?id=S11603111" TargetMode="External"/><Relationship Id="rId35" Type="http://schemas.openxmlformats.org/officeDocument/2006/relationships/hyperlink" Target="http://www.riss.kr/link?id=S70667" TargetMode="External"/><Relationship Id="rId56" Type="http://schemas.openxmlformats.org/officeDocument/2006/relationships/hyperlink" Target="http://www.riss.kr/link?id=S30780" TargetMode="External"/><Relationship Id="rId77" Type="http://schemas.openxmlformats.org/officeDocument/2006/relationships/hyperlink" Target="http://www.riss.kr/link?id=S15537" TargetMode="External"/><Relationship Id="rId100" Type="http://schemas.openxmlformats.org/officeDocument/2006/relationships/hyperlink" Target="http://www.riss.kr/link?id=S410779" TargetMode="External"/><Relationship Id="rId282" Type="http://schemas.openxmlformats.org/officeDocument/2006/relationships/hyperlink" Target="http://www.riss.kr/link?id=S104848" TargetMode="External"/><Relationship Id="rId317" Type="http://schemas.openxmlformats.org/officeDocument/2006/relationships/hyperlink" Target="http://www.riss.kr/link?id=S31000997" TargetMode="External"/><Relationship Id="rId338" Type="http://schemas.openxmlformats.org/officeDocument/2006/relationships/hyperlink" Target="http://www.riss.kr/link?id=S16019" TargetMode="External"/><Relationship Id="rId8" Type="http://schemas.openxmlformats.org/officeDocument/2006/relationships/hyperlink" Target="http://www.riss.kr/link?id=S17579" TargetMode="External"/><Relationship Id="rId98" Type="http://schemas.openxmlformats.org/officeDocument/2006/relationships/hyperlink" Target="http://www.riss.kr/link?id=S13700" TargetMode="External"/><Relationship Id="rId121" Type="http://schemas.openxmlformats.org/officeDocument/2006/relationships/hyperlink" Target="http://www.riss.kr/link?id=S27803" TargetMode="External"/><Relationship Id="rId142" Type="http://schemas.openxmlformats.org/officeDocument/2006/relationships/hyperlink" Target="http://www.riss.kr/link?id=S411199" TargetMode="External"/><Relationship Id="rId163" Type="http://schemas.openxmlformats.org/officeDocument/2006/relationships/hyperlink" Target="http://www.riss.kr/link?id=S26171" TargetMode="External"/><Relationship Id="rId184" Type="http://schemas.openxmlformats.org/officeDocument/2006/relationships/hyperlink" Target="http://www.riss.kr/link?id=S15726" TargetMode="External"/><Relationship Id="rId219" Type="http://schemas.openxmlformats.org/officeDocument/2006/relationships/hyperlink" Target="http://www.riss.kr/link?id=S11574028" TargetMode="External"/><Relationship Id="rId230" Type="http://schemas.openxmlformats.org/officeDocument/2006/relationships/hyperlink" Target="http://www.riss.kr/link?id=S31000872" TargetMode="External"/><Relationship Id="rId251" Type="http://schemas.openxmlformats.org/officeDocument/2006/relationships/hyperlink" Target="http://www.riss.kr/link?id=S11926" TargetMode="External"/><Relationship Id="rId25" Type="http://schemas.openxmlformats.org/officeDocument/2006/relationships/hyperlink" Target="http://www.riss.kr/link?id=S15418" TargetMode="External"/><Relationship Id="rId46" Type="http://schemas.openxmlformats.org/officeDocument/2006/relationships/hyperlink" Target="http://www.riss.kr/link?id=S21308" TargetMode="External"/><Relationship Id="rId67" Type="http://schemas.openxmlformats.org/officeDocument/2006/relationships/hyperlink" Target="http://www.riss.kr/link?id=S54489" TargetMode="External"/><Relationship Id="rId272" Type="http://schemas.openxmlformats.org/officeDocument/2006/relationships/hyperlink" Target="http://www.riss.kr/link?id=S80221" TargetMode="External"/><Relationship Id="rId293" Type="http://schemas.openxmlformats.org/officeDocument/2006/relationships/hyperlink" Target="http://www.riss.kr/link?id=S405412" TargetMode="External"/><Relationship Id="rId307" Type="http://schemas.openxmlformats.org/officeDocument/2006/relationships/hyperlink" Target="http://www.riss.kr/link?id=S20085525" TargetMode="External"/><Relationship Id="rId328" Type="http://schemas.openxmlformats.org/officeDocument/2006/relationships/hyperlink" Target="http://www.riss.kr/link?id=S31000567" TargetMode="External"/><Relationship Id="rId88" Type="http://schemas.openxmlformats.org/officeDocument/2006/relationships/hyperlink" Target="http://www.riss.kr/link?id=S96424" TargetMode="External"/><Relationship Id="rId111" Type="http://schemas.openxmlformats.org/officeDocument/2006/relationships/hyperlink" Target="http://www.riss.kr/link?id=S15590" TargetMode="External"/><Relationship Id="rId132" Type="http://schemas.openxmlformats.org/officeDocument/2006/relationships/hyperlink" Target="http://www.riss.kr/link?id=S17549" TargetMode="External"/><Relationship Id="rId153" Type="http://schemas.openxmlformats.org/officeDocument/2006/relationships/hyperlink" Target="http://www.riss.kr/link?id=S64419" TargetMode="External"/><Relationship Id="rId174" Type="http://schemas.openxmlformats.org/officeDocument/2006/relationships/hyperlink" Target="http://www.riss.kr/link?id=S87729" TargetMode="External"/><Relationship Id="rId195" Type="http://schemas.openxmlformats.org/officeDocument/2006/relationships/hyperlink" Target="http://www.riss.kr/link?id=S61420" TargetMode="External"/><Relationship Id="rId209" Type="http://schemas.openxmlformats.org/officeDocument/2006/relationships/hyperlink" Target="http://www.riss.kr/link?id=S85045" TargetMode="External"/><Relationship Id="rId220" Type="http://schemas.openxmlformats.org/officeDocument/2006/relationships/hyperlink" Target="http://www.riss.kr/link?id=S15959" TargetMode="External"/><Relationship Id="rId241" Type="http://schemas.openxmlformats.org/officeDocument/2006/relationships/hyperlink" Target="http://www.riss.kr/link?id=S416735" TargetMode="External"/><Relationship Id="rId15" Type="http://schemas.openxmlformats.org/officeDocument/2006/relationships/hyperlink" Target="http://www.riss.kr/link?id=S15430" TargetMode="External"/><Relationship Id="rId36" Type="http://schemas.openxmlformats.org/officeDocument/2006/relationships/hyperlink" Target="http://www.riss.kr/link?id=S35765" TargetMode="External"/><Relationship Id="rId57" Type="http://schemas.openxmlformats.org/officeDocument/2006/relationships/hyperlink" Target="http://www.riss.kr/link?id=S19603" TargetMode="External"/><Relationship Id="rId262" Type="http://schemas.openxmlformats.org/officeDocument/2006/relationships/hyperlink" Target="http://www.riss.kr/link?id=S24593" TargetMode="External"/><Relationship Id="rId283" Type="http://schemas.openxmlformats.org/officeDocument/2006/relationships/hyperlink" Target="http://www.riss.kr/link?id=S404178" TargetMode="External"/><Relationship Id="rId318" Type="http://schemas.openxmlformats.org/officeDocument/2006/relationships/hyperlink" Target="http://www.riss.kr/link?id=S113997" TargetMode="External"/><Relationship Id="rId339" Type="http://schemas.openxmlformats.org/officeDocument/2006/relationships/hyperlink" Target="http://www.riss.kr/link?id=S20404" TargetMode="External"/><Relationship Id="rId78" Type="http://schemas.openxmlformats.org/officeDocument/2006/relationships/hyperlink" Target="http://www.riss.kr/link?id=S53708" TargetMode="External"/><Relationship Id="rId99" Type="http://schemas.openxmlformats.org/officeDocument/2006/relationships/hyperlink" Target="http://www.riss.kr/link?id=S13936" TargetMode="External"/><Relationship Id="rId101" Type="http://schemas.openxmlformats.org/officeDocument/2006/relationships/hyperlink" Target="http://www.riss.kr/link?id=S14353" TargetMode="External"/><Relationship Id="rId122" Type="http://schemas.openxmlformats.org/officeDocument/2006/relationships/hyperlink" Target="http://www.riss.kr/link?id=S19681" TargetMode="External"/><Relationship Id="rId143" Type="http://schemas.openxmlformats.org/officeDocument/2006/relationships/hyperlink" Target="http://www.riss.kr/link?id=S411233" TargetMode="External"/><Relationship Id="rId164" Type="http://schemas.openxmlformats.org/officeDocument/2006/relationships/hyperlink" Target="http://www.riss.kr/link?id=S41124" TargetMode="External"/><Relationship Id="rId185" Type="http://schemas.openxmlformats.org/officeDocument/2006/relationships/hyperlink" Target="http://www.riss.kr/link?id=S13026" TargetMode="External"/><Relationship Id="rId9" Type="http://schemas.openxmlformats.org/officeDocument/2006/relationships/hyperlink" Target="http://www.riss.kr/link?id=S68611" TargetMode="External"/><Relationship Id="rId210" Type="http://schemas.openxmlformats.org/officeDocument/2006/relationships/hyperlink" Target="http://www.riss.kr/link?id=S417089" TargetMode="External"/><Relationship Id="rId26" Type="http://schemas.openxmlformats.org/officeDocument/2006/relationships/hyperlink" Target="http://www.riss.kr/link?id=S16206" TargetMode="External"/><Relationship Id="rId231" Type="http://schemas.openxmlformats.org/officeDocument/2006/relationships/hyperlink" Target="http://www.riss.kr/link?id=S11574764" TargetMode="External"/><Relationship Id="rId252" Type="http://schemas.openxmlformats.org/officeDocument/2006/relationships/hyperlink" Target="http://www.riss.kr/link?id=S402424" TargetMode="External"/><Relationship Id="rId273" Type="http://schemas.openxmlformats.org/officeDocument/2006/relationships/hyperlink" Target="http://www.riss.kr/link?id=S11625015" TargetMode="External"/><Relationship Id="rId294" Type="http://schemas.openxmlformats.org/officeDocument/2006/relationships/hyperlink" Target="http://www.riss.kr/link?id=S30000694" TargetMode="External"/><Relationship Id="rId308" Type="http://schemas.openxmlformats.org/officeDocument/2006/relationships/hyperlink" Target="http://www.riss.kr/link?id=S20010588" TargetMode="External"/><Relationship Id="rId329" Type="http://schemas.openxmlformats.org/officeDocument/2006/relationships/hyperlink" Target="http://www.riss.kr/link?id=S45403" TargetMode="External"/><Relationship Id="rId47" Type="http://schemas.openxmlformats.org/officeDocument/2006/relationships/hyperlink" Target="http://www.riss.kr/link?id=S16081" TargetMode="External"/><Relationship Id="rId68" Type="http://schemas.openxmlformats.org/officeDocument/2006/relationships/hyperlink" Target="http://www.riss.kr/link?id=S107335" TargetMode="External"/><Relationship Id="rId89" Type="http://schemas.openxmlformats.org/officeDocument/2006/relationships/hyperlink" Target="http://www.riss.kr/link?id=S60840" TargetMode="External"/><Relationship Id="rId112" Type="http://schemas.openxmlformats.org/officeDocument/2006/relationships/hyperlink" Target="http://www.riss.kr/link?id=S12262" TargetMode="External"/><Relationship Id="rId133" Type="http://schemas.openxmlformats.org/officeDocument/2006/relationships/hyperlink" Target="http://www.riss.kr/link?id=S17531" TargetMode="External"/><Relationship Id="rId154" Type="http://schemas.openxmlformats.org/officeDocument/2006/relationships/hyperlink" Target="http://www.riss.kr/link?id=S48390" TargetMode="External"/><Relationship Id="rId175" Type="http://schemas.openxmlformats.org/officeDocument/2006/relationships/hyperlink" Target="http://www.riss.kr/link?id=S16079" TargetMode="External"/><Relationship Id="rId340" Type="http://schemas.openxmlformats.org/officeDocument/2006/relationships/hyperlink" Target="http://www.riss.kr/link?id=S14962" TargetMode="External"/><Relationship Id="rId196" Type="http://schemas.openxmlformats.org/officeDocument/2006/relationships/hyperlink" Target="http://www.riss.kr/link?id=S11597808" TargetMode="External"/><Relationship Id="rId200" Type="http://schemas.openxmlformats.org/officeDocument/2006/relationships/hyperlink" Target="http://www.riss.kr/link?id=S21147" TargetMode="External"/><Relationship Id="rId16" Type="http://schemas.openxmlformats.org/officeDocument/2006/relationships/hyperlink" Target="http://www.riss.kr/link?id=S30004502" TargetMode="External"/><Relationship Id="rId221" Type="http://schemas.openxmlformats.org/officeDocument/2006/relationships/hyperlink" Target="http://www.riss.kr/link?id=S30006165" TargetMode="External"/><Relationship Id="rId242" Type="http://schemas.openxmlformats.org/officeDocument/2006/relationships/hyperlink" Target="http://www.riss.kr/link?id=S61275" TargetMode="External"/><Relationship Id="rId263" Type="http://schemas.openxmlformats.org/officeDocument/2006/relationships/hyperlink" Target="http://www.riss.kr/link?id=S12566" TargetMode="External"/><Relationship Id="rId284" Type="http://schemas.openxmlformats.org/officeDocument/2006/relationships/hyperlink" Target="http://www.riss.kr/link?id=S61982" TargetMode="External"/><Relationship Id="rId319" Type="http://schemas.openxmlformats.org/officeDocument/2006/relationships/hyperlink" Target="http://www.riss.kr/link?id=S20022179" TargetMode="External"/><Relationship Id="rId37" Type="http://schemas.openxmlformats.org/officeDocument/2006/relationships/hyperlink" Target="http://www.riss.kr/link?id=S35299" TargetMode="External"/><Relationship Id="rId58" Type="http://schemas.openxmlformats.org/officeDocument/2006/relationships/hyperlink" Target="http://www.riss.kr/link?id=S16024" TargetMode="External"/><Relationship Id="rId79" Type="http://schemas.openxmlformats.org/officeDocument/2006/relationships/hyperlink" Target="http://www.riss.kr/link?id=S12927" TargetMode="External"/><Relationship Id="rId102" Type="http://schemas.openxmlformats.org/officeDocument/2006/relationships/hyperlink" Target="http://www.riss.kr/link?id=S12745" TargetMode="External"/><Relationship Id="rId123" Type="http://schemas.openxmlformats.org/officeDocument/2006/relationships/hyperlink" Target="http://www.riss.kr/link?id=S60910" TargetMode="External"/><Relationship Id="rId144" Type="http://schemas.openxmlformats.org/officeDocument/2006/relationships/hyperlink" Target="http://www.riss.kr/link?id=S85490" TargetMode="External"/><Relationship Id="rId330" Type="http://schemas.openxmlformats.org/officeDocument/2006/relationships/hyperlink" Target="http://www.riss.kr/link?id=S16573" TargetMode="External"/><Relationship Id="rId90" Type="http://schemas.openxmlformats.org/officeDocument/2006/relationships/hyperlink" Target="http://www.riss.kr/link?id=S24614" TargetMode="External"/><Relationship Id="rId165" Type="http://schemas.openxmlformats.org/officeDocument/2006/relationships/hyperlink" Target="http://www.riss.kr/link?id=S63537" TargetMode="External"/><Relationship Id="rId186" Type="http://schemas.openxmlformats.org/officeDocument/2006/relationships/hyperlink" Target="http://www.riss.kr/link?id=S413557" TargetMode="External"/><Relationship Id="rId211" Type="http://schemas.openxmlformats.org/officeDocument/2006/relationships/hyperlink" Target="http://www.riss.kr/link?id=S418336" TargetMode="External"/><Relationship Id="rId232" Type="http://schemas.openxmlformats.org/officeDocument/2006/relationships/hyperlink" Target="http://www.riss.kr/link?id=S11575031" TargetMode="External"/><Relationship Id="rId253" Type="http://schemas.openxmlformats.org/officeDocument/2006/relationships/hyperlink" Target="http://www.riss.kr/link?id=S411696" TargetMode="External"/><Relationship Id="rId274" Type="http://schemas.openxmlformats.org/officeDocument/2006/relationships/hyperlink" Target="http://www.riss.kr/link?id=S115750" TargetMode="External"/><Relationship Id="rId295" Type="http://schemas.openxmlformats.org/officeDocument/2006/relationships/hyperlink" Target="http://www.riss.kr/link?id=S405425" TargetMode="External"/><Relationship Id="rId309" Type="http://schemas.openxmlformats.org/officeDocument/2006/relationships/hyperlink" Target="http://www.riss.kr/link?id=S20012913" TargetMode="External"/><Relationship Id="rId27" Type="http://schemas.openxmlformats.org/officeDocument/2006/relationships/hyperlink" Target="http://www.riss.kr/link?id=S17539" TargetMode="External"/><Relationship Id="rId48" Type="http://schemas.openxmlformats.org/officeDocument/2006/relationships/hyperlink" Target="http://www.riss.kr/link?id=S16656" TargetMode="External"/><Relationship Id="rId69" Type="http://schemas.openxmlformats.org/officeDocument/2006/relationships/hyperlink" Target="http://www.riss.kr/link?id=S6600" TargetMode="External"/><Relationship Id="rId113" Type="http://schemas.openxmlformats.org/officeDocument/2006/relationships/hyperlink" Target="http://www.riss.kr/link?id=S410059" TargetMode="External"/><Relationship Id="rId134" Type="http://schemas.openxmlformats.org/officeDocument/2006/relationships/hyperlink" Target="http://www.riss.kr/link?id=S19748" TargetMode="External"/><Relationship Id="rId320" Type="http://schemas.openxmlformats.org/officeDocument/2006/relationships/hyperlink" Target="http://www.riss.kr/link?id=S30006959" TargetMode="External"/><Relationship Id="rId80" Type="http://schemas.openxmlformats.org/officeDocument/2006/relationships/hyperlink" Target="http://www.riss.kr/link?id=S15504" TargetMode="External"/><Relationship Id="rId155" Type="http://schemas.openxmlformats.org/officeDocument/2006/relationships/hyperlink" Target="http://www.riss.kr/link?id=S105323" TargetMode="External"/><Relationship Id="rId176" Type="http://schemas.openxmlformats.org/officeDocument/2006/relationships/hyperlink" Target="http://www.riss.kr/link?id=S16067" TargetMode="External"/><Relationship Id="rId197" Type="http://schemas.openxmlformats.org/officeDocument/2006/relationships/hyperlink" Target="http://www.riss.kr/link?id=S11572188" TargetMode="External"/><Relationship Id="rId341" Type="http://schemas.openxmlformats.org/officeDocument/2006/relationships/hyperlink" Target="http://www.riss.kr/link?id=S405844" TargetMode="External"/><Relationship Id="rId201" Type="http://schemas.openxmlformats.org/officeDocument/2006/relationships/hyperlink" Target="http://www.riss.kr/link?id=S417077" TargetMode="External"/><Relationship Id="rId222" Type="http://schemas.openxmlformats.org/officeDocument/2006/relationships/hyperlink" Target="http://www.riss.kr/link?id=S20886" TargetMode="External"/><Relationship Id="rId243" Type="http://schemas.openxmlformats.org/officeDocument/2006/relationships/hyperlink" Target="http://www.riss.kr/link?id=S15605" TargetMode="External"/><Relationship Id="rId264" Type="http://schemas.openxmlformats.org/officeDocument/2006/relationships/hyperlink" Target="http://www.riss.kr/link?id=S403110" TargetMode="External"/><Relationship Id="rId285" Type="http://schemas.openxmlformats.org/officeDocument/2006/relationships/hyperlink" Target="http://www.riss.kr/link?id=S404348" TargetMode="External"/><Relationship Id="rId17" Type="http://schemas.openxmlformats.org/officeDocument/2006/relationships/hyperlink" Target="http://www.riss.kr/link?id=S417317" TargetMode="External"/><Relationship Id="rId38" Type="http://schemas.openxmlformats.org/officeDocument/2006/relationships/hyperlink" Target="http://www.riss.kr/link?id=S108179" TargetMode="External"/><Relationship Id="rId59" Type="http://schemas.openxmlformats.org/officeDocument/2006/relationships/hyperlink" Target="http://www.riss.kr/link?id=S15591" TargetMode="External"/><Relationship Id="rId103" Type="http://schemas.openxmlformats.org/officeDocument/2006/relationships/hyperlink" Target="http://www.riss.kr/link?id=S7094" TargetMode="External"/><Relationship Id="rId124" Type="http://schemas.openxmlformats.org/officeDocument/2006/relationships/hyperlink" Target="http://www.riss.kr/link?id=S60898" TargetMode="External"/><Relationship Id="rId310" Type="http://schemas.openxmlformats.org/officeDocument/2006/relationships/hyperlink" Target="http://www.riss.kr/link?id=S31027708" TargetMode="External"/><Relationship Id="rId70" Type="http://schemas.openxmlformats.org/officeDocument/2006/relationships/hyperlink" Target="http://www.riss.kr/link?id=S416895" TargetMode="External"/><Relationship Id="rId91" Type="http://schemas.openxmlformats.org/officeDocument/2006/relationships/hyperlink" Target="http://www.riss.kr/link?id=S16191" TargetMode="External"/><Relationship Id="rId145" Type="http://schemas.openxmlformats.org/officeDocument/2006/relationships/hyperlink" Target="http://www.riss.kr/link?id=S63516" TargetMode="External"/><Relationship Id="rId166" Type="http://schemas.openxmlformats.org/officeDocument/2006/relationships/hyperlink" Target="http://www.riss.kr/link?id=S45160" TargetMode="External"/><Relationship Id="rId187" Type="http://schemas.openxmlformats.org/officeDocument/2006/relationships/hyperlink" Target="http://www.riss.kr/link?id=S414541" TargetMode="External"/><Relationship Id="rId331" Type="http://schemas.openxmlformats.org/officeDocument/2006/relationships/hyperlink" Target="http://www.riss.kr/link?id=S85559" TargetMode="External"/><Relationship Id="rId1" Type="http://schemas.openxmlformats.org/officeDocument/2006/relationships/hyperlink" Target="http://www.riss.kr/link?id=S418984" TargetMode="External"/><Relationship Id="rId212" Type="http://schemas.openxmlformats.org/officeDocument/2006/relationships/hyperlink" Target="http://www.riss.kr/link?id=S416272" TargetMode="External"/><Relationship Id="rId233" Type="http://schemas.openxmlformats.org/officeDocument/2006/relationships/hyperlink" Target="http://www.riss.kr/link?id=S401354" TargetMode="External"/><Relationship Id="rId254" Type="http://schemas.openxmlformats.org/officeDocument/2006/relationships/hyperlink" Target="http://www.riss.kr/link?id=S28869" TargetMode="External"/><Relationship Id="rId28" Type="http://schemas.openxmlformats.org/officeDocument/2006/relationships/hyperlink" Target="http://www.riss.kr/link?id=S115749" TargetMode="External"/><Relationship Id="rId49" Type="http://schemas.openxmlformats.org/officeDocument/2006/relationships/hyperlink" Target="http://www.riss.kr/link?id=S11645644" TargetMode="External"/><Relationship Id="rId114" Type="http://schemas.openxmlformats.org/officeDocument/2006/relationships/hyperlink" Target="http://www.riss.kr/link?id=S410183" TargetMode="External"/><Relationship Id="rId275" Type="http://schemas.openxmlformats.org/officeDocument/2006/relationships/hyperlink" Target="http://www.riss.kr/link?id=S20095138" TargetMode="External"/><Relationship Id="rId296" Type="http://schemas.openxmlformats.org/officeDocument/2006/relationships/hyperlink" Target="http://www.riss.kr/link?id=S405428" TargetMode="External"/><Relationship Id="rId300" Type="http://schemas.openxmlformats.org/officeDocument/2006/relationships/hyperlink" Target="http://www.riss.kr/link?id=S20011409" TargetMode="External"/><Relationship Id="rId60" Type="http://schemas.openxmlformats.org/officeDocument/2006/relationships/hyperlink" Target="http://www.riss.kr/link?id=S407616" TargetMode="External"/><Relationship Id="rId81" Type="http://schemas.openxmlformats.org/officeDocument/2006/relationships/hyperlink" Target="http://www.riss.kr/link?id=S35840" TargetMode="External"/><Relationship Id="rId135" Type="http://schemas.openxmlformats.org/officeDocument/2006/relationships/hyperlink" Target="http://www.riss.kr/link?id=S20070027" TargetMode="External"/><Relationship Id="rId156" Type="http://schemas.openxmlformats.org/officeDocument/2006/relationships/hyperlink" Target="http://www.riss.kr/link?id=S36561" TargetMode="External"/><Relationship Id="rId177" Type="http://schemas.openxmlformats.org/officeDocument/2006/relationships/hyperlink" Target="http://www.riss.kr/link?id=S16057" TargetMode="External"/><Relationship Id="rId198" Type="http://schemas.openxmlformats.org/officeDocument/2006/relationships/hyperlink" Target="http://www.riss.kr/link?id=S97822" TargetMode="External"/><Relationship Id="rId321" Type="http://schemas.openxmlformats.org/officeDocument/2006/relationships/hyperlink" Target="http://www.riss.kr/link?id=S31019601" TargetMode="External"/><Relationship Id="rId202" Type="http://schemas.openxmlformats.org/officeDocument/2006/relationships/hyperlink" Target="http://www.riss.kr/link?id=S19733" TargetMode="External"/><Relationship Id="rId223" Type="http://schemas.openxmlformats.org/officeDocument/2006/relationships/hyperlink" Target="http://www.riss.kr/link?id=S20890" TargetMode="External"/><Relationship Id="rId244" Type="http://schemas.openxmlformats.org/officeDocument/2006/relationships/hyperlink" Target="http://www.riss.kr/link?id=S28149" TargetMode="External"/><Relationship Id="rId18" Type="http://schemas.openxmlformats.org/officeDocument/2006/relationships/hyperlink" Target="http://www.riss.kr/link?id=S15663" TargetMode="External"/><Relationship Id="rId39" Type="http://schemas.openxmlformats.org/officeDocument/2006/relationships/hyperlink" Target="http://www.riss.kr/link?id=S45402" TargetMode="External"/><Relationship Id="rId265" Type="http://schemas.openxmlformats.org/officeDocument/2006/relationships/hyperlink" Target="http://www.riss.kr/link?id=S11575513" TargetMode="External"/><Relationship Id="rId286" Type="http://schemas.openxmlformats.org/officeDocument/2006/relationships/hyperlink" Target="http://www.riss.kr/link?id=S405999" TargetMode="External"/><Relationship Id="rId50" Type="http://schemas.openxmlformats.org/officeDocument/2006/relationships/hyperlink" Target="http://www.riss.kr/link?id=S20212" TargetMode="External"/><Relationship Id="rId104" Type="http://schemas.openxmlformats.org/officeDocument/2006/relationships/hyperlink" Target="http://www.riss.kr/link?id=S412793" TargetMode="External"/><Relationship Id="rId125" Type="http://schemas.openxmlformats.org/officeDocument/2006/relationships/hyperlink" Target="http://www.riss.kr/link?id=S28294" TargetMode="External"/><Relationship Id="rId146" Type="http://schemas.openxmlformats.org/officeDocument/2006/relationships/hyperlink" Target="http://www.riss.kr/link?id=S20109" TargetMode="External"/><Relationship Id="rId167" Type="http://schemas.openxmlformats.org/officeDocument/2006/relationships/hyperlink" Target="http://www.riss.kr/link?id=S417040" TargetMode="External"/><Relationship Id="rId188" Type="http://schemas.openxmlformats.org/officeDocument/2006/relationships/hyperlink" Target="http://www.riss.kr/link?id=S31001281" TargetMode="External"/><Relationship Id="rId311" Type="http://schemas.openxmlformats.org/officeDocument/2006/relationships/hyperlink" Target="http://www.riss.kr/link?id=S103626" TargetMode="External"/><Relationship Id="rId332" Type="http://schemas.openxmlformats.org/officeDocument/2006/relationships/hyperlink" Target="http://www.riss.kr/link?id=S15429" TargetMode="External"/><Relationship Id="rId71" Type="http://schemas.openxmlformats.org/officeDocument/2006/relationships/hyperlink" Target="http://www.riss.kr/link?id=S417589" TargetMode="External"/><Relationship Id="rId92" Type="http://schemas.openxmlformats.org/officeDocument/2006/relationships/hyperlink" Target="http://www.riss.kr/link?id=S16404" TargetMode="External"/><Relationship Id="rId213" Type="http://schemas.openxmlformats.org/officeDocument/2006/relationships/hyperlink" Target="http://www.riss.kr/link?id=S414391" TargetMode="External"/><Relationship Id="rId234" Type="http://schemas.openxmlformats.org/officeDocument/2006/relationships/hyperlink" Target="http://www.riss.kr/link?id=S29090" TargetMode="External"/><Relationship Id="rId2" Type="http://schemas.openxmlformats.org/officeDocument/2006/relationships/hyperlink" Target="http://www.riss.kr/link?id=S15668" TargetMode="External"/><Relationship Id="rId29" Type="http://schemas.openxmlformats.org/officeDocument/2006/relationships/hyperlink" Target="http://www.riss.kr/link?id=S29847" TargetMode="External"/><Relationship Id="rId255" Type="http://schemas.openxmlformats.org/officeDocument/2006/relationships/hyperlink" Target="http://www.riss.kr/link?id=S418665" TargetMode="External"/><Relationship Id="rId276" Type="http://schemas.openxmlformats.org/officeDocument/2006/relationships/hyperlink" Target="http://www.riss.kr/link?id=S14024" TargetMode="External"/><Relationship Id="rId297" Type="http://schemas.openxmlformats.org/officeDocument/2006/relationships/hyperlink" Target="http://www.riss.kr/link?id=S15954" TargetMode="External"/><Relationship Id="rId40" Type="http://schemas.openxmlformats.org/officeDocument/2006/relationships/hyperlink" Target="http://www.riss.kr/link?id=S19808" TargetMode="External"/><Relationship Id="rId115" Type="http://schemas.openxmlformats.org/officeDocument/2006/relationships/hyperlink" Target="http://www.riss.kr/link?id=S12901" TargetMode="External"/><Relationship Id="rId136" Type="http://schemas.openxmlformats.org/officeDocument/2006/relationships/hyperlink" Target="http://www.riss.kr/link?id=S19616" TargetMode="External"/><Relationship Id="rId157" Type="http://schemas.openxmlformats.org/officeDocument/2006/relationships/hyperlink" Target="http://www.riss.kr/link?id=S60986" TargetMode="External"/><Relationship Id="rId178" Type="http://schemas.openxmlformats.org/officeDocument/2006/relationships/hyperlink" Target="http://www.riss.kr/link?id=S21159" TargetMode="External"/><Relationship Id="rId301" Type="http://schemas.openxmlformats.org/officeDocument/2006/relationships/hyperlink" Target="http://www.riss.kr/link?id=S30000638" TargetMode="External"/><Relationship Id="rId322" Type="http://schemas.openxmlformats.org/officeDocument/2006/relationships/hyperlink" Target="http://www.riss.kr/link?id=S31016059" TargetMode="External"/><Relationship Id="rId61" Type="http://schemas.openxmlformats.org/officeDocument/2006/relationships/hyperlink" Target="http://www.riss.kr/link?id=S50051" TargetMode="External"/><Relationship Id="rId82" Type="http://schemas.openxmlformats.org/officeDocument/2006/relationships/hyperlink" Target="http://www.riss.kr/link?id=S6788" TargetMode="External"/><Relationship Id="rId199" Type="http://schemas.openxmlformats.org/officeDocument/2006/relationships/hyperlink" Target="http://www.riss.kr/link?id=S20215" TargetMode="External"/><Relationship Id="rId203" Type="http://schemas.openxmlformats.org/officeDocument/2006/relationships/hyperlink" Target="http://www.riss.kr/link?id=S417119" TargetMode="External"/><Relationship Id="rId19" Type="http://schemas.openxmlformats.org/officeDocument/2006/relationships/hyperlink" Target="http://www.riss.kr/link?id=S416801" TargetMode="External"/><Relationship Id="rId224" Type="http://schemas.openxmlformats.org/officeDocument/2006/relationships/hyperlink" Target="http://www.riss.kr/link?id=S31000857" TargetMode="External"/><Relationship Id="rId245" Type="http://schemas.openxmlformats.org/officeDocument/2006/relationships/hyperlink" Target="http://www.riss.kr/link?id=S14006" TargetMode="External"/><Relationship Id="rId266" Type="http://schemas.openxmlformats.org/officeDocument/2006/relationships/hyperlink" Target="http://www.riss.kr/link?id=S14380" TargetMode="External"/><Relationship Id="rId287" Type="http://schemas.openxmlformats.org/officeDocument/2006/relationships/hyperlink" Target="http://www.riss.kr/link?id=S14551" TargetMode="External"/><Relationship Id="rId30" Type="http://schemas.openxmlformats.org/officeDocument/2006/relationships/hyperlink" Target="http://www.riss.kr/link?id=S92049" TargetMode="External"/><Relationship Id="rId105" Type="http://schemas.openxmlformats.org/officeDocument/2006/relationships/hyperlink" Target="http://www.riss.kr/link?id=S413415" TargetMode="External"/><Relationship Id="rId126" Type="http://schemas.openxmlformats.org/officeDocument/2006/relationships/hyperlink" Target="http://www.riss.kr/link?id=S401473" TargetMode="External"/><Relationship Id="rId147" Type="http://schemas.openxmlformats.org/officeDocument/2006/relationships/hyperlink" Target="http://www.riss.kr/link?id=S80251" TargetMode="External"/><Relationship Id="rId168" Type="http://schemas.openxmlformats.org/officeDocument/2006/relationships/hyperlink" Target="http://www.riss.kr/link?id=S417050" TargetMode="External"/><Relationship Id="rId312" Type="http://schemas.openxmlformats.org/officeDocument/2006/relationships/hyperlink" Target="http://www.riss.kr/link?id=S30007669" TargetMode="External"/><Relationship Id="rId333" Type="http://schemas.openxmlformats.org/officeDocument/2006/relationships/hyperlink" Target="http://www.riss.kr/link?id=S31031955" TargetMode="External"/><Relationship Id="rId51" Type="http://schemas.openxmlformats.org/officeDocument/2006/relationships/hyperlink" Target="http://www.riss.kr/link?id=S36261" TargetMode="External"/><Relationship Id="rId72" Type="http://schemas.openxmlformats.org/officeDocument/2006/relationships/hyperlink" Target="http://www.riss.kr/link?id=S416847" TargetMode="External"/><Relationship Id="rId93" Type="http://schemas.openxmlformats.org/officeDocument/2006/relationships/hyperlink" Target="http://www.riss.kr/link?id=S17267" TargetMode="External"/><Relationship Id="rId189" Type="http://schemas.openxmlformats.org/officeDocument/2006/relationships/hyperlink" Target="http://www.riss.kr/link?id=S61261" TargetMode="External"/><Relationship Id="rId3" Type="http://schemas.openxmlformats.org/officeDocument/2006/relationships/hyperlink" Target="http://www.riss.kr/link?id=S16798" TargetMode="External"/><Relationship Id="rId214" Type="http://schemas.openxmlformats.org/officeDocument/2006/relationships/hyperlink" Target="http://www.riss.kr/link?id=S418445" TargetMode="External"/><Relationship Id="rId235" Type="http://schemas.openxmlformats.org/officeDocument/2006/relationships/hyperlink" Target="http://www.riss.kr/link?id=S20035778" TargetMode="External"/><Relationship Id="rId256" Type="http://schemas.openxmlformats.org/officeDocument/2006/relationships/hyperlink" Target="http://www.riss.kr/link?id=S57498" TargetMode="External"/><Relationship Id="rId277" Type="http://schemas.openxmlformats.org/officeDocument/2006/relationships/hyperlink" Target="http://www.riss.kr/link?id=S20012366" TargetMode="External"/><Relationship Id="rId298" Type="http://schemas.openxmlformats.org/officeDocument/2006/relationships/hyperlink" Target="http://www.riss.kr/link?id=S20011127" TargetMode="External"/><Relationship Id="rId116" Type="http://schemas.openxmlformats.org/officeDocument/2006/relationships/hyperlink" Target="http://www.riss.kr/link?id=S24599" TargetMode="External"/><Relationship Id="rId137" Type="http://schemas.openxmlformats.org/officeDocument/2006/relationships/hyperlink" Target="http://www.riss.kr/link?id=S12014" TargetMode="External"/><Relationship Id="rId158" Type="http://schemas.openxmlformats.org/officeDocument/2006/relationships/hyperlink" Target="http://www.riss.kr/link?id=S19593" TargetMode="External"/><Relationship Id="rId302" Type="http://schemas.openxmlformats.org/officeDocument/2006/relationships/hyperlink" Target="http://www.riss.kr/link?id=S20014915" TargetMode="External"/><Relationship Id="rId323" Type="http://schemas.openxmlformats.org/officeDocument/2006/relationships/hyperlink" Target="http://www.riss.kr/link?id=S31011779" TargetMode="External"/><Relationship Id="rId20" Type="http://schemas.openxmlformats.org/officeDocument/2006/relationships/hyperlink" Target="http://www.riss.kr/link?id=S17146" TargetMode="External"/><Relationship Id="rId41" Type="http://schemas.openxmlformats.org/officeDocument/2006/relationships/hyperlink" Target="http://www.riss.kr/link?id=S36958" TargetMode="External"/><Relationship Id="rId62" Type="http://schemas.openxmlformats.org/officeDocument/2006/relationships/hyperlink" Target="http://www.riss.kr/link?id=S17471" TargetMode="External"/><Relationship Id="rId83" Type="http://schemas.openxmlformats.org/officeDocument/2006/relationships/hyperlink" Target="http://www.riss.kr/link?id=S17577" TargetMode="External"/><Relationship Id="rId179" Type="http://schemas.openxmlformats.org/officeDocument/2006/relationships/hyperlink" Target="http://www.riss.kr/link?id=S21692" TargetMode="External"/><Relationship Id="rId190" Type="http://schemas.openxmlformats.org/officeDocument/2006/relationships/hyperlink" Target="http://www.riss.kr/link?id=S28117" TargetMode="External"/><Relationship Id="rId204" Type="http://schemas.openxmlformats.org/officeDocument/2006/relationships/hyperlink" Target="http://www.riss.kr/link?id=S19685" TargetMode="External"/><Relationship Id="rId225" Type="http://schemas.openxmlformats.org/officeDocument/2006/relationships/hyperlink" Target="http://www.riss.kr/link?id=S45501" TargetMode="External"/><Relationship Id="rId246" Type="http://schemas.openxmlformats.org/officeDocument/2006/relationships/hyperlink" Target="http://www.riss.kr/link?id=S20374" TargetMode="External"/><Relationship Id="rId267" Type="http://schemas.openxmlformats.org/officeDocument/2006/relationships/hyperlink" Target="http://www.riss.kr/link?id=S29114" TargetMode="External"/><Relationship Id="rId288" Type="http://schemas.openxmlformats.org/officeDocument/2006/relationships/hyperlink" Target="http://www.riss.kr/link?id=S405098" TargetMode="External"/><Relationship Id="rId106" Type="http://schemas.openxmlformats.org/officeDocument/2006/relationships/hyperlink" Target="http://www.riss.kr/link?id=S22129" TargetMode="External"/><Relationship Id="rId127" Type="http://schemas.openxmlformats.org/officeDocument/2006/relationships/hyperlink" Target="http://www.riss.kr/link?id=S28470" TargetMode="External"/><Relationship Id="rId313" Type="http://schemas.openxmlformats.org/officeDocument/2006/relationships/hyperlink" Target="http://www.riss.kr/link?id=S115994" TargetMode="External"/><Relationship Id="rId10" Type="http://schemas.openxmlformats.org/officeDocument/2006/relationships/hyperlink" Target="http://www.riss.kr/link?id=S43399" TargetMode="External"/><Relationship Id="rId31" Type="http://schemas.openxmlformats.org/officeDocument/2006/relationships/hyperlink" Target="http://www.riss.kr/link?id=S407845" TargetMode="External"/><Relationship Id="rId52" Type="http://schemas.openxmlformats.org/officeDocument/2006/relationships/hyperlink" Target="http://www.riss.kr/link?id=S13468" TargetMode="External"/><Relationship Id="rId73" Type="http://schemas.openxmlformats.org/officeDocument/2006/relationships/hyperlink" Target="http://www.riss.kr/link?id=S407287" TargetMode="External"/><Relationship Id="rId94" Type="http://schemas.openxmlformats.org/officeDocument/2006/relationships/hyperlink" Target="http://www.riss.kr/link?id=S16981" TargetMode="External"/><Relationship Id="rId148" Type="http://schemas.openxmlformats.org/officeDocument/2006/relationships/hyperlink" Target="http://www.riss.kr/link?id=S48936" TargetMode="External"/><Relationship Id="rId169" Type="http://schemas.openxmlformats.org/officeDocument/2006/relationships/hyperlink" Target="http://www.riss.kr/link?id=S20068237" TargetMode="External"/><Relationship Id="rId334" Type="http://schemas.openxmlformats.org/officeDocument/2006/relationships/hyperlink" Target="http://www.riss.kr/link?id=S83265" TargetMode="External"/><Relationship Id="rId4" Type="http://schemas.openxmlformats.org/officeDocument/2006/relationships/hyperlink" Target="http://www.riss.kr/link?id=S15539" TargetMode="External"/><Relationship Id="rId180" Type="http://schemas.openxmlformats.org/officeDocument/2006/relationships/hyperlink" Target="http://www.riss.kr/link?id=S16027" TargetMode="External"/><Relationship Id="rId215" Type="http://schemas.openxmlformats.org/officeDocument/2006/relationships/hyperlink" Target="http://www.riss.kr/link?id=S414544" TargetMode="External"/><Relationship Id="rId236" Type="http://schemas.openxmlformats.org/officeDocument/2006/relationships/hyperlink" Target="http://www.riss.kr/link?id=S401790" TargetMode="External"/><Relationship Id="rId257" Type="http://schemas.openxmlformats.org/officeDocument/2006/relationships/hyperlink" Target="http://www.riss.kr/link?id=S12588" TargetMode="External"/><Relationship Id="rId278" Type="http://schemas.openxmlformats.org/officeDocument/2006/relationships/hyperlink" Target="http://www.riss.kr/link?id=S50310" TargetMode="External"/><Relationship Id="rId303" Type="http://schemas.openxmlformats.org/officeDocument/2006/relationships/hyperlink" Target="http://www.riss.kr/link?id=S6141" TargetMode="External"/><Relationship Id="rId42" Type="http://schemas.openxmlformats.org/officeDocument/2006/relationships/hyperlink" Target="http://www.riss.kr/link?id=S416880" TargetMode="External"/><Relationship Id="rId84" Type="http://schemas.openxmlformats.org/officeDocument/2006/relationships/hyperlink" Target="http://www.riss.kr/link?id=S16074" TargetMode="External"/><Relationship Id="rId138" Type="http://schemas.openxmlformats.org/officeDocument/2006/relationships/hyperlink" Target="http://www.riss.kr/link?id=S410682" TargetMode="External"/><Relationship Id="rId191" Type="http://schemas.openxmlformats.org/officeDocument/2006/relationships/hyperlink" Target="http://www.riss.kr/link?id=S418178" TargetMode="External"/><Relationship Id="rId205" Type="http://schemas.openxmlformats.org/officeDocument/2006/relationships/hyperlink" Target="http://www.riss.kr/link?id=S417126" TargetMode="External"/><Relationship Id="rId247" Type="http://schemas.openxmlformats.org/officeDocument/2006/relationships/hyperlink" Target="http://www.riss.kr/link?id=S402120" TargetMode="External"/><Relationship Id="rId107" Type="http://schemas.openxmlformats.org/officeDocument/2006/relationships/hyperlink" Target="http://www.riss.kr/link?id=S31013729" TargetMode="External"/><Relationship Id="rId289" Type="http://schemas.openxmlformats.org/officeDocument/2006/relationships/hyperlink" Target="http://www.riss.kr/link?id=S115377" TargetMode="External"/><Relationship Id="rId11" Type="http://schemas.openxmlformats.org/officeDocument/2006/relationships/hyperlink" Target="http://www.riss.kr/link?id=S29226" TargetMode="External"/><Relationship Id="rId53" Type="http://schemas.openxmlformats.org/officeDocument/2006/relationships/hyperlink" Target="http://www.riss.kr/link?id=S16060" TargetMode="External"/><Relationship Id="rId149" Type="http://schemas.openxmlformats.org/officeDocument/2006/relationships/hyperlink" Target="http://www.riss.kr/link?id=S58112" TargetMode="External"/><Relationship Id="rId314" Type="http://schemas.openxmlformats.org/officeDocument/2006/relationships/hyperlink" Target="http://www.riss.kr/link?id=S90008450" TargetMode="External"/><Relationship Id="rId95" Type="http://schemas.openxmlformats.org/officeDocument/2006/relationships/hyperlink" Target="http://www.riss.kr/link?id=S17031" TargetMode="External"/><Relationship Id="rId160" Type="http://schemas.openxmlformats.org/officeDocument/2006/relationships/hyperlink" Target="http://www.riss.kr/link?id=S417018" TargetMode="External"/><Relationship Id="rId216" Type="http://schemas.openxmlformats.org/officeDocument/2006/relationships/hyperlink" Target="http://www.riss.kr/link?id=S28236" TargetMode="External"/><Relationship Id="rId258" Type="http://schemas.openxmlformats.org/officeDocument/2006/relationships/hyperlink" Target="http://www.riss.kr/link?id=S5099" TargetMode="External"/><Relationship Id="rId22" Type="http://schemas.openxmlformats.org/officeDocument/2006/relationships/hyperlink" Target="http://www.riss.kr/link?id=S400897" TargetMode="External"/><Relationship Id="rId64" Type="http://schemas.openxmlformats.org/officeDocument/2006/relationships/hyperlink" Target="http://www.riss.kr/link?id=S58540" TargetMode="External"/><Relationship Id="rId118" Type="http://schemas.openxmlformats.org/officeDocument/2006/relationships/hyperlink" Target="http://www.riss.kr/link?id=S43977" TargetMode="External"/><Relationship Id="rId325" Type="http://schemas.openxmlformats.org/officeDocument/2006/relationships/hyperlink" Target="http://www.riss.kr/link?id=S31026610" TargetMode="External"/><Relationship Id="rId171" Type="http://schemas.openxmlformats.org/officeDocument/2006/relationships/hyperlink" Target="http://www.riss.kr/link?id=S20411" TargetMode="External"/><Relationship Id="rId227" Type="http://schemas.openxmlformats.org/officeDocument/2006/relationships/hyperlink" Target="http://www.riss.kr/link?id=S416408" TargetMode="External"/><Relationship Id="rId269" Type="http://schemas.openxmlformats.org/officeDocument/2006/relationships/hyperlink" Target="http://www.riss.kr/link?id=S20085286" TargetMode="External"/><Relationship Id="rId33" Type="http://schemas.openxmlformats.org/officeDocument/2006/relationships/hyperlink" Target="http://www.riss.kr/link?id=S19712" TargetMode="External"/><Relationship Id="rId129" Type="http://schemas.openxmlformats.org/officeDocument/2006/relationships/hyperlink" Target="http://www.riss.kr/link?id=S5452" TargetMode="External"/><Relationship Id="rId280" Type="http://schemas.openxmlformats.org/officeDocument/2006/relationships/hyperlink" Target="http://www.riss.kr/link?id=S20069318" TargetMode="External"/><Relationship Id="rId336" Type="http://schemas.openxmlformats.org/officeDocument/2006/relationships/hyperlink" Target="http://www.riss.kr/link?id=S414099" TargetMode="External"/><Relationship Id="rId75" Type="http://schemas.openxmlformats.org/officeDocument/2006/relationships/hyperlink" Target="http://www.riss.kr/link?id=S16489" TargetMode="External"/><Relationship Id="rId140" Type="http://schemas.openxmlformats.org/officeDocument/2006/relationships/hyperlink" Target="http://www.riss.kr/link?id=S111037" TargetMode="External"/><Relationship Id="rId182" Type="http://schemas.openxmlformats.org/officeDocument/2006/relationships/hyperlink" Target="http://www.riss.kr/link?id=S15596" TargetMode="External"/><Relationship Id="rId6" Type="http://schemas.openxmlformats.org/officeDocument/2006/relationships/hyperlink" Target="http://www.riss.kr/link?id=S17168" TargetMode="External"/><Relationship Id="rId238" Type="http://schemas.openxmlformats.org/officeDocument/2006/relationships/hyperlink" Target="http://www.riss.kr/link?id=S21137" TargetMode="External"/><Relationship Id="rId291" Type="http://schemas.openxmlformats.org/officeDocument/2006/relationships/hyperlink" Target="http://www.riss.kr/link?id=S23595" TargetMode="External"/><Relationship Id="rId305" Type="http://schemas.openxmlformats.org/officeDocument/2006/relationships/hyperlink" Target="http://www.riss.kr/link?id=S405698" TargetMode="External"/><Relationship Id="rId44" Type="http://schemas.openxmlformats.org/officeDocument/2006/relationships/hyperlink" Target="http://www.riss.kr/link?id=S16083" TargetMode="External"/><Relationship Id="rId86" Type="http://schemas.openxmlformats.org/officeDocument/2006/relationships/hyperlink" Target="http://www.riss.kr/link?id=S60841" TargetMode="External"/><Relationship Id="rId151" Type="http://schemas.openxmlformats.org/officeDocument/2006/relationships/hyperlink" Target="http://www.riss.kr/link?id=S60957" TargetMode="External"/><Relationship Id="rId193" Type="http://schemas.openxmlformats.org/officeDocument/2006/relationships/hyperlink" Target="http://www.riss.kr/link?id=S15019" TargetMode="External"/><Relationship Id="rId207" Type="http://schemas.openxmlformats.org/officeDocument/2006/relationships/hyperlink" Target="http://www.riss.kr/link?id=S413798" TargetMode="External"/><Relationship Id="rId249" Type="http://schemas.openxmlformats.org/officeDocument/2006/relationships/hyperlink" Target="http://www.riss.kr/link?id=S402265" TargetMode="External"/><Relationship Id="rId13" Type="http://schemas.openxmlformats.org/officeDocument/2006/relationships/hyperlink" Target="http://www.riss.kr/link?id=S417245" TargetMode="External"/><Relationship Id="rId109" Type="http://schemas.openxmlformats.org/officeDocument/2006/relationships/hyperlink" Target="http://www.riss.kr/link?id=S24636" TargetMode="External"/><Relationship Id="rId260" Type="http://schemas.openxmlformats.org/officeDocument/2006/relationships/hyperlink" Target="http://www.riss.kr/link?id=S5542" TargetMode="External"/><Relationship Id="rId316" Type="http://schemas.openxmlformats.org/officeDocument/2006/relationships/hyperlink" Target="http://www.riss.kr/link?id=S31027851" TargetMode="External"/><Relationship Id="rId55" Type="http://schemas.openxmlformats.org/officeDocument/2006/relationships/hyperlink" Target="http://www.riss.kr/link?id=S24367" TargetMode="External"/><Relationship Id="rId97" Type="http://schemas.openxmlformats.org/officeDocument/2006/relationships/hyperlink" Target="http://www.riss.kr/link?id=S12733" TargetMode="External"/><Relationship Id="rId120" Type="http://schemas.openxmlformats.org/officeDocument/2006/relationships/hyperlink" Target="http://www.riss.kr/link?id=S20068215" TargetMode="External"/><Relationship Id="rId162" Type="http://schemas.openxmlformats.org/officeDocument/2006/relationships/hyperlink" Target="http://www.riss.kr/link?id=S60985" TargetMode="External"/><Relationship Id="rId218" Type="http://schemas.openxmlformats.org/officeDocument/2006/relationships/hyperlink" Target="http://www.riss.kr/link?id=S85287" TargetMode="External"/><Relationship Id="rId271" Type="http://schemas.openxmlformats.org/officeDocument/2006/relationships/hyperlink" Target="http://www.riss.kr/link?id=S19595" TargetMode="External"/><Relationship Id="rId24" Type="http://schemas.openxmlformats.org/officeDocument/2006/relationships/hyperlink" Target="http://www.riss.kr/link?id=S61578" TargetMode="External"/><Relationship Id="rId66" Type="http://schemas.openxmlformats.org/officeDocument/2006/relationships/hyperlink" Target="http://www.riss.kr/link?id=S58111" TargetMode="External"/><Relationship Id="rId131" Type="http://schemas.openxmlformats.org/officeDocument/2006/relationships/hyperlink" Target="http://www.riss.kr/link?id=S17550" TargetMode="External"/><Relationship Id="rId327" Type="http://schemas.openxmlformats.org/officeDocument/2006/relationships/hyperlink" Target="http://www.riss.kr/link?id=S31015676" TargetMode="External"/><Relationship Id="rId173" Type="http://schemas.openxmlformats.org/officeDocument/2006/relationships/hyperlink" Target="http://www.riss.kr/link?id=S16072" TargetMode="External"/><Relationship Id="rId229" Type="http://schemas.openxmlformats.org/officeDocument/2006/relationships/hyperlink" Target="http://www.riss.kr/link?id=S1157422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90482" TargetMode="External"/><Relationship Id="rId671" Type="http://schemas.openxmlformats.org/officeDocument/2006/relationships/hyperlink" Target="http://www.riss.kr/link?id=S43165" TargetMode="External"/><Relationship Id="rId769" Type="http://schemas.openxmlformats.org/officeDocument/2006/relationships/hyperlink" Target="http://www.riss.kr/link?id=S416102" TargetMode="External"/><Relationship Id="rId976" Type="http://schemas.openxmlformats.org/officeDocument/2006/relationships/hyperlink" Target="http://www.riss.kr/link?id=S35578" TargetMode="External"/><Relationship Id="rId21" Type="http://schemas.openxmlformats.org/officeDocument/2006/relationships/hyperlink" Target="http://www.riss.kr/link?id=S143755" TargetMode="External"/><Relationship Id="rId324" Type="http://schemas.openxmlformats.org/officeDocument/2006/relationships/hyperlink" Target="http://www.riss.kr/link?id=S405313" TargetMode="External"/><Relationship Id="rId531" Type="http://schemas.openxmlformats.org/officeDocument/2006/relationships/hyperlink" Target="http://www.riss.kr/link?id=S20069046" TargetMode="External"/><Relationship Id="rId629" Type="http://schemas.openxmlformats.org/officeDocument/2006/relationships/hyperlink" Target="http://www.riss.kr/link?id=S31015676" TargetMode="External"/><Relationship Id="rId170" Type="http://schemas.openxmlformats.org/officeDocument/2006/relationships/hyperlink" Target="http://www.riss.kr/link?id=S61578" TargetMode="External"/><Relationship Id="rId836" Type="http://schemas.openxmlformats.org/officeDocument/2006/relationships/hyperlink" Target="http://www.riss.kr/link?id=S35290" TargetMode="External"/><Relationship Id="rId268" Type="http://schemas.openxmlformats.org/officeDocument/2006/relationships/hyperlink" Target="http://www.riss.kr/link?id=S404348" TargetMode="External"/><Relationship Id="rId475" Type="http://schemas.openxmlformats.org/officeDocument/2006/relationships/hyperlink" Target="http://www.riss.kr/link?id=S20215" TargetMode="External"/><Relationship Id="rId682" Type="http://schemas.openxmlformats.org/officeDocument/2006/relationships/hyperlink" Target="http://www.riss.kr/link?id=S29090" TargetMode="External"/><Relationship Id="rId903" Type="http://schemas.openxmlformats.org/officeDocument/2006/relationships/hyperlink" Target="http://www.riss.kr/link?id=S62753" TargetMode="External"/><Relationship Id="rId32" Type="http://schemas.openxmlformats.org/officeDocument/2006/relationships/hyperlink" Target="http://www.riss.kr/link?id=S16316" TargetMode="External"/><Relationship Id="rId128" Type="http://schemas.openxmlformats.org/officeDocument/2006/relationships/hyperlink" Target="http://www.riss.kr/link?id=S15647" TargetMode="External"/><Relationship Id="rId335" Type="http://schemas.openxmlformats.org/officeDocument/2006/relationships/hyperlink" Target="http://www.riss.kr/link?id=S5079" TargetMode="External"/><Relationship Id="rId542" Type="http://schemas.openxmlformats.org/officeDocument/2006/relationships/hyperlink" Target="http://www.riss.kr/link?id=S14360" TargetMode="External"/><Relationship Id="rId181" Type="http://schemas.openxmlformats.org/officeDocument/2006/relationships/hyperlink" Target="http://www.riss.kr/link?id=S16953" TargetMode="External"/><Relationship Id="rId402" Type="http://schemas.openxmlformats.org/officeDocument/2006/relationships/hyperlink" Target="http://www.riss.kr/link?id=S21317" TargetMode="External"/><Relationship Id="rId847" Type="http://schemas.openxmlformats.org/officeDocument/2006/relationships/hyperlink" Target="http://www.riss.kr/link?id=S50135" TargetMode="External"/><Relationship Id="rId279" Type="http://schemas.openxmlformats.org/officeDocument/2006/relationships/hyperlink" Target="http://www.riss.kr/link?id=S31010133" TargetMode="External"/><Relationship Id="rId486" Type="http://schemas.openxmlformats.org/officeDocument/2006/relationships/hyperlink" Target="http://www.riss.kr/link?id=S16024" TargetMode="External"/><Relationship Id="rId693" Type="http://schemas.openxmlformats.org/officeDocument/2006/relationships/hyperlink" Target="http://www.riss.kr/link?id=S12262" TargetMode="External"/><Relationship Id="rId707" Type="http://schemas.openxmlformats.org/officeDocument/2006/relationships/hyperlink" Target="http://www.riss.kr/link?id=S53708" TargetMode="External"/><Relationship Id="rId914" Type="http://schemas.openxmlformats.org/officeDocument/2006/relationships/hyperlink" Target="http://www.riss.kr/link?id=S80221" TargetMode="External"/><Relationship Id="rId43" Type="http://schemas.openxmlformats.org/officeDocument/2006/relationships/hyperlink" Target="http://www.riss.kr/link?id=S83265" TargetMode="External"/><Relationship Id="rId139" Type="http://schemas.openxmlformats.org/officeDocument/2006/relationships/hyperlink" Target="http://www.riss.kr/link?id=S16969" TargetMode="External"/><Relationship Id="rId346" Type="http://schemas.openxmlformats.org/officeDocument/2006/relationships/hyperlink" Target="http://www.riss.kr/link?id=S15020" TargetMode="External"/><Relationship Id="rId553" Type="http://schemas.openxmlformats.org/officeDocument/2006/relationships/hyperlink" Target="http://www.riss.kr/link?id=S20951" TargetMode="External"/><Relationship Id="rId760" Type="http://schemas.openxmlformats.org/officeDocument/2006/relationships/hyperlink" Target="http://www.riss.kr/link?id=S115391" TargetMode="External"/><Relationship Id="rId192" Type="http://schemas.openxmlformats.org/officeDocument/2006/relationships/hyperlink" Target="http://www.riss.kr/link?id=S13455" TargetMode="External"/><Relationship Id="rId206" Type="http://schemas.openxmlformats.org/officeDocument/2006/relationships/hyperlink" Target="http://www.riss.kr/link?id=S63720" TargetMode="External"/><Relationship Id="rId413" Type="http://schemas.openxmlformats.org/officeDocument/2006/relationships/hyperlink" Target="http://www.riss.kr/link?id=S16907" TargetMode="External"/><Relationship Id="rId858" Type="http://schemas.openxmlformats.org/officeDocument/2006/relationships/hyperlink" Target="http://www.riss.kr/link?id=S115749" TargetMode="External"/><Relationship Id="rId497" Type="http://schemas.openxmlformats.org/officeDocument/2006/relationships/hyperlink" Target="http://www.riss.kr/link?id=S407614" TargetMode="External"/><Relationship Id="rId620" Type="http://schemas.openxmlformats.org/officeDocument/2006/relationships/hyperlink" Target="http://www.riss.kr/link?id=S17210" TargetMode="External"/><Relationship Id="rId718" Type="http://schemas.openxmlformats.org/officeDocument/2006/relationships/hyperlink" Target="http://www.riss.kr/link?id=S115374" TargetMode="External"/><Relationship Id="rId925" Type="http://schemas.openxmlformats.org/officeDocument/2006/relationships/hyperlink" Target="http://www.riss.kr/link?id=S19733" TargetMode="External"/><Relationship Id="rId357" Type="http://schemas.openxmlformats.org/officeDocument/2006/relationships/hyperlink" Target="http://www.riss.kr/link?id=S16077" TargetMode="External"/><Relationship Id="rId54" Type="http://schemas.openxmlformats.org/officeDocument/2006/relationships/hyperlink" Target="http://www.riss.kr/link?id=S6788" TargetMode="External"/><Relationship Id="rId217" Type="http://schemas.openxmlformats.org/officeDocument/2006/relationships/hyperlink" Target="http://www.riss.kr/link?id=S414544" TargetMode="External"/><Relationship Id="rId564" Type="http://schemas.openxmlformats.org/officeDocument/2006/relationships/hyperlink" Target="http://www.riss.kr/link?id=S58540" TargetMode="External"/><Relationship Id="rId771" Type="http://schemas.openxmlformats.org/officeDocument/2006/relationships/hyperlink" Target="http://www.riss.kr/link?id=S58267" TargetMode="External"/><Relationship Id="rId869" Type="http://schemas.openxmlformats.org/officeDocument/2006/relationships/hyperlink" Target="http://www.riss.kr/link?id=S85462" TargetMode="External"/><Relationship Id="rId424" Type="http://schemas.openxmlformats.org/officeDocument/2006/relationships/hyperlink" Target="http://www.riss.kr/link?id=S12915" TargetMode="External"/><Relationship Id="rId631" Type="http://schemas.openxmlformats.org/officeDocument/2006/relationships/hyperlink" Target="http://www.riss.kr/link?id=S416272" TargetMode="External"/><Relationship Id="rId729" Type="http://schemas.openxmlformats.org/officeDocument/2006/relationships/hyperlink" Target="http://www.riss.kr/link?id=S20015069" TargetMode="External"/><Relationship Id="rId270" Type="http://schemas.openxmlformats.org/officeDocument/2006/relationships/hyperlink" Target="http://www.riss.kr/link?id=S405412" TargetMode="External"/><Relationship Id="rId936" Type="http://schemas.openxmlformats.org/officeDocument/2006/relationships/hyperlink" Target="http://www.riss.kr/link?id=S62819" TargetMode="External"/><Relationship Id="rId65" Type="http://schemas.openxmlformats.org/officeDocument/2006/relationships/hyperlink" Target="http://www.riss.kr/link?id=S29072" TargetMode="External"/><Relationship Id="rId130" Type="http://schemas.openxmlformats.org/officeDocument/2006/relationships/hyperlink" Target="http://www.riss.kr/link?id=S60957" TargetMode="External"/><Relationship Id="rId368" Type="http://schemas.openxmlformats.org/officeDocument/2006/relationships/hyperlink" Target="http://www.riss.kr/link?id=S24593" TargetMode="External"/><Relationship Id="rId575" Type="http://schemas.openxmlformats.org/officeDocument/2006/relationships/hyperlink" Target="http://www.riss.kr/link?id=S24135" TargetMode="External"/><Relationship Id="rId782" Type="http://schemas.openxmlformats.org/officeDocument/2006/relationships/hyperlink" Target="http://www.riss.kr/link?id=S114439" TargetMode="External"/><Relationship Id="rId228" Type="http://schemas.openxmlformats.org/officeDocument/2006/relationships/hyperlink" Target="http://www.riss.kr/link?id=S92049" TargetMode="External"/><Relationship Id="rId435" Type="http://schemas.openxmlformats.org/officeDocument/2006/relationships/hyperlink" Target="http://www.riss.kr/link?id=S414984" TargetMode="External"/><Relationship Id="rId642" Type="http://schemas.openxmlformats.org/officeDocument/2006/relationships/hyperlink" Target="http://www.riss.kr/link?id=S417604" TargetMode="External"/><Relationship Id="rId281" Type="http://schemas.openxmlformats.org/officeDocument/2006/relationships/hyperlink" Target="http://www.riss.kr/link?id=S31011616" TargetMode="External"/><Relationship Id="rId502" Type="http://schemas.openxmlformats.org/officeDocument/2006/relationships/hyperlink" Target="http://www.riss.kr/link?id=S50051" TargetMode="External"/><Relationship Id="rId947" Type="http://schemas.openxmlformats.org/officeDocument/2006/relationships/hyperlink" Target="http://www.riss.kr/link?id=S61680" TargetMode="External"/><Relationship Id="rId76" Type="http://schemas.openxmlformats.org/officeDocument/2006/relationships/hyperlink" Target="http://www.riss.kr/link?id=S13034" TargetMode="External"/><Relationship Id="rId141" Type="http://schemas.openxmlformats.org/officeDocument/2006/relationships/hyperlink" Target="http://www.riss.kr/link?id=S30000666" TargetMode="External"/><Relationship Id="rId379" Type="http://schemas.openxmlformats.org/officeDocument/2006/relationships/hyperlink" Target="http://www.riss.kr/link?id=S103752" TargetMode="External"/><Relationship Id="rId586" Type="http://schemas.openxmlformats.org/officeDocument/2006/relationships/hyperlink" Target="http://www.riss.kr/link?id=S13243" TargetMode="External"/><Relationship Id="rId793" Type="http://schemas.openxmlformats.org/officeDocument/2006/relationships/hyperlink" Target="http://www.riss.kr/link?id=S20010476" TargetMode="External"/><Relationship Id="rId807" Type="http://schemas.openxmlformats.org/officeDocument/2006/relationships/hyperlink" Target="http://www.riss.kr/link?id=S7757" TargetMode="External"/><Relationship Id="rId7" Type="http://schemas.openxmlformats.org/officeDocument/2006/relationships/hyperlink" Target="http://www.riss.kr/link?id=S11597808" TargetMode="External"/><Relationship Id="rId239" Type="http://schemas.openxmlformats.org/officeDocument/2006/relationships/hyperlink" Target="http://www.riss.kr/link?id=S16189" TargetMode="External"/><Relationship Id="rId446" Type="http://schemas.openxmlformats.org/officeDocument/2006/relationships/hyperlink" Target="http://www.riss.kr/link?id=S13259" TargetMode="External"/><Relationship Id="rId653" Type="http://schemas.openxmlformats.org/officeDocument/2006/relationships/hyperlink" Target="http://www.riss.kr/link?id=S6600" TargetMode="External"/><Relationship Id="rId292" Type="http://schemas.openxmlformats.org/officeDocument/2006/relationships/hyperlink" Target="http://www.riss.kr/link?id=S136637" TargetMode="External"/><Relationship Id="rId306" Type="http://schemas.openxmlformats.org/officeDocument/2006/relationships/hyperlink" Target="http://www.riss.kr/link?id=S103439" TargetMode="External"/><Relationship Id="rId860" Type="http://schemas.openxmlformats.org/officeDocument/2006/relationships/hyperlink" Target="http://www.riss.kr/link?id=S104164" TargetMode="External"/><Relationship Id="rId958" Type="http://schemas.openxmlformats.org/officeDocument/2006/relationships/hyperlink" Target="http://www.riss.kr/link?id=S104204" TargetMode="External"/><Relationship Id="rId87" Type="http://schemas.openxmlformats.org/officeDocument/2006/relationships/hyperlink" Target="http://www.riss.kr/link?id=S11582253" TargetMode="External"/><Relationship Id="rId513" Type="http://schemas.openxmlformats.org/officeDocument/2006/relationships/hyperlink" Target="http://www.riss.kr/link?id=S83171" TargetMode="External"/><Relationship Id="rId597" Type="http://schemas.openxmlformats.org/officeDocument/2006/relationships/hyperlink" Target="http://www.riss.kr/link?id=S13542" TargetMode="External"/><Relationship Id="rId720" Type="http://schemas.openxmlformats.org/officeDocument/2006/relationships/hyperlink" Target="http://www.riss.kr/link?id=S13026" TargetMode="External"/><Relationship Id="rId818" Type="http://schemas.openxmlformats.org/officeDocument/2006/relationships/hyperlink" Target="http://www.riss.kr/link?id=S60897" TargetMode="External"/><Relationship Id="rId152" Type="http://schemas.openxmlformats.org/officeDocument/2006/relationships/hyperlink" Target="http://www.riss.kr/link?id=S403698" TargetMode="External"/><Relationship Id="rId457" Type="http://schemas.openxmlformats.org/officeDocument/2006/relationships/hyperlink" Target="http://www.riss.kr/link?id=S11927" TargetMode="External"/><Relationship Id="rId664" Type="http://schemas.openxmlformats.org/officeDocument/2006/relationships/hyperlink" Target="http://www.riss.kr/link?id=S17423" TargetMode="External"/><Relationship Id="rId871" Type="http://schemas.openxmlformats.org/officeDocument/2006/relationships/hyperlink" Target="http://www.riss.kr/link?id=S116123" TargetMode="External"/><Relationship Id="rId969" Type="http://schemas.openxmlformats.org/officeDocument/2006/relationships/hyperlink" Target="http://www.riss.kr/link?id=S63728" TargetMode="External"/><Relationship Id="rId14" Type="http://schemas.openxmlformats.org/officeDocument/2006/relationships/hyperlink" Target="http://www.riss.kr/link?id=S418336" TargetMode="External"/><Relationship Id="rId317" Type="http://schemas.openxmlformats.org/officeDocument/2006/relationships/hyperlink" Target="http://www.riss.kr/link?id=S13700" TargetMode="External"/><Relationship Id="rId524" Type="http://schemas.openxmlformats.org/officeDocument/2006/relationships/hyperlink" Target="http://www.riss.kr/link?id=S28869" TargetMode="External"/><Relationship Id="rId731" Type="http://schemas.openxmlformats.org/officeDocument/2006/relationships/hyperlink" Target="http://www.riss.kr/link?id=S16670" TargetMode="External"/><Relationship Id="rId98" Type="http://schemas.openxmlformats.org/officeDocument/2006/relationships/hyperlink" Target="http://www.riss.kr/link?id=S405354" TargetMode="External"/><Relationship Id="rId163" Type="http://schemas.openxmlformats.org/officeDocument/2006/relationships/hyperlink" Target="http://www.riss.kr/link?id=S408343" TargetMode="External"/><Relationship Id="rId370" Type="http://schemas.openxmlformats.org/officeDocument/2006/relationships/hyperlink" Target="http://www.riss.kr/link?id=S11645644" TargetMode="External"/><Relationship Id="rId829" Type="http://schemas.openxmlformats.org/officeDocument/2006/relationships/hyperlink" Target="http://www.riss.kr/link?id=S67352" TargetMode="External"/><Relationship Id="rId230" Type="http://schemas.openxmlformats.org/officeDocument/2006/relationships/hyperlink" Target="http://www.riss.kr/link?id=S31157" TargetMode="External"/><Relationship Id="rId468" Type="http://schemas.openxmlformats.org/officeDocument/2006/relationships/hyperlink" Target="http://www.riss.kr/link?id=S60909" TargetMode="External"/><Relationship Id="rId675" Type="http://schemas.openxmlformats.org/officeDocument/2006/relationships/hyperlink" Target="http://www.riss.kr/link?id=S13525" TargetMode="External"/><Relationship Id="rId882" Type="http://schemas.openxmlformats.org/officeDocument/2006/relationships/hyperlink" Target="http://www.riss.kr/link?id=S20085286" TargetMode="External"/><Relationship Id="rId25" Type="http://schemas.openxmlformats.org/officeDocument/2006/relationships/hyperlink" Target="http://www.riss.kr/link?id=S11644176" TargetMode="External"/><Relationship Id="rId328" Type="http://schemas.openxmlformats.org/officeDocument/2006/relationships/hyperlink" Target="http://www.riss.kr/link?id=S30000647" TargetMode="External"/><Relationship Id="rId535" Type="http://schemas.openxmlformats.org/officeDocument/2006/relationships/hyperlink" Target="http://www.riss.kr/link?id=S114686" TargetMode="External"/><Relationship Id="rId742" Type="http://schemas.openxmlformats.org/officeDocument/2006/relationships/hyperlink" Target="http://www.riss.kr/link?id=S17458" TargetMode="External"/><Relationship Id="rId174" Type="http://schemas.openxmlformats.org/officeDocument/2006/relationships/hyperlink" Target="http://www.riss.kr/link?id=S20417" TargetMode="External"/><Relationship Id="rId381" Type="http://schemas.openxmlformats.org/officeDocument/2006/relationships/hyperlink" Target="http://www.riss.kr/link?id=S15726" TargetMode="External"/><Relationship Id="rId602" Type="http://schemas.openxmlformats.org/officeDocument/2006/relationships/hyperlink" Target="http://www.riss.kr/link?id=S20886" TargetMode="External"/><Relationship Id="rId241" Type="http://schemas.openxmlformats.org/officeDocument/2006/relationships/hyperlink" Target="http://www.riss.kr/link?id=S21143" TargetMode="External"/><Relationship Id="rId479" Type="http://schemas.openxmlformats.org/officeDocument/2006/relationships/hyperlink" Target="http://www.riss.kr/link?id=S31013729" TargetMode="External"/><Relationship Id="rId686" Type="http://schemas.openxmlformats.org/officeDocument/2006/relationships/hyperlink" Target="http://www.riss.kr/link?id=S14380" TargetMode="External"/><Relationship Id="rId893" Type="http://schemas.openxmlformats.org/officeDocument/2006/relationships/hyperlink" Target="http://www.riss.kr/link?id=S19681" TargetMode="External"/><Relationship Id="rId907" Type="http://schemas.openxmlformats.org/officeDocument/2006/relationships/hyperlink" Target="http://www.riss.kr/link?id=S60119" TargetMode="External"/><Relationship Id="rId36" Type="http://schemas.openxmlformats.org/officeDocument/2006/relationships/hyperlink" Target="http://www.riss.kr/link?id=S31002771" TargetMode="External"/><Relationship Id="rId339" Type="http://schemas.openxmlformats.org/officeDocument/2006/relationships/hyperlink" Target="http://www.riss.kr/link?id=S15023" TargetMode="External"/><Relationship Id="rId546" Type="http://schemas.openxmlformats.org/officeDocument/2006/relationships/hyperlink" Target="http://www.riss.kr/link?id=S105342" TargetMode="External"/><Relationship Id="rId753" Type="http://schemas.openxmlformats.org/officeDocument/2006/relationships/hyperlink" Target="http://www.riss.kr/link?id=S61686" TargetMode="External"/><Relationship Id="rId101" Type="http://schemas.openxmlformats.org/officeDocument/2006/relationships/hyperlink" Target="http://www.riss.kr/link?id=S16573" TargetMode="External"/><Relationship Id="rId185" Type="http://schemas.openxmlformats.org/officeDocument/2006/relationships/hyperlink" Target="http://www.riss.kr/link?id=S29119" TargetMode="External"/><Relationship Id="rId406" Type="http://schemas.openxmlformats.org/officeDocument/2006/relationships/hyperlink" Target="http://www.riss.kr/link?id=S29059" TargetMode="External"/><Relationship Id="rId960" Type="http://schemas.openxmlformats.org/officeDocument/2006/relationships/hyperlink" Target="http://www.riss.kr/link?id=S104122" TargetMode="External"/><Relationship Id="rId392" Type="http://schemas.openxmlformats.org/officeDocument/2006/relationships/hyperlink" Target="http://www.riss.kr/link?id=S36261" TargetMode="External"/><Relationship Id="rId613" Type="http://schemas.openxmlformats.org/officeDocument/2006/relationships/hyperlink" Target="http://www.riss.kr/link?id=S11644259" TargetMode="External"/><Relationship Id="rId697" Type="http://schemas.openxmlformats.org/officeDocument/2006/relationships/hyperlink" Target="http://www.riss.kr/link?id=S68638" TargetMode="External"/><Relationship Id="rId820" Type="http://schemas.openxmlformats.org/officeDocument/2006/relationships/hyperlink" Target="http://www.riss.kr/link?id=S27803" TargetMode="External"/><Relationship Id="rId918" Type="http://schemas.openxmlformats.org/officeDocument/2006/relationships/hyperlink" Target="http://www.riss.kr/link?id=S61209" TargetMode="External"/><Relationship Id="rId252" Type="http://schemas.openxmlformats.org/officeDocument/2006/relationships/hyperlink" Target="http://www.riss.kr/link?id=S29360" TargetMode="External"/><Relationship Id="rId47" Type="http://schemas.openxmlformats.org/officeDocument/2006/relationships/hyperlink" Target="http://www.riss.kr/link?id=S16589" TargetMode="External"/><Relationship Id="rId112" Type="http://schemas.openxmlformats.org/officeDocument/2006/relationships/hyperlink" Target="http://www.riss.kr/link?id=S17150" TargetMode="External"/><Relationship Id="rId557" Type="http://schemas.openxmlformats.org/officeDocument/2006/relationships/hyperlink" Target="http://www.riss.kr/link?id=S415066" TargetMode="External"/><Relationship Id="rId764" Type="http://schemas.openxmlformats.org/officeDocument/2006/relationships/hyperlink" Target="http://www.riss.kr/link?id=S11574764" TargetMode="External"/><Relationship Id="rId971" Type="http://schemas.openxmlformats.org/officeDocument/2006/relationships/hyperlink" Target="http://www.riss.kr/link?id=S63688" TargetMode="External"/><Relationship Id="rId196" Type="http://schemas.openxmlformats.org/officeDocument/2006/relationships/hyperlink" Target="http://www.riss.kr/link?id=S30007518" TargetMode="External"/><Relationship Id="rId417" Type="http://schemas.openxmlformats.org/officeDocument/2006/relationships/hyperlink" Target="http://www.riss.kr/link?id=S24597" TargetMode="External"/><Relationship Id="rId624" Type="http://schemas.openxmlformats.org/officeDocument/2006/relationships/hyperlink" Target="http://www.riss.kr/link?id=S143757" TargetMode="External"/><Relationship Id="rId831" Type="http://schemas.openxmlformats.org/officeDocument/2006/relationships/hyperlink" Target="http://www.riss.kr/link?id=S54489" TargetMode="External"/><Relationship Id="rId263" Type="http://schemas.openxmlformats.org/officeDocument/2006/relationships/hyperlink" Target="http://www.riss.kr/link?id=S30006757" TargetMode="External"/><Relationship Id="rId470" Type="http://schemas.openxmlformats.org/officeDocument/2006/relationships/hyperlink" Target="http://www.riss.kr/link?id=S57498" TargetMode="External"/><Relationship Id="rId929" Type="http://schemas.openxmlformats.org/officeDocument/2006/relationships/hyperlink" Target="http://www.riss.kr/link?id=S20069376" TargetMode="External"/><Relationship Id="rId58" Type="http://schemas.openxmlformats.org/officeDocument/2006/relationships/hyperlink" Target="http://www.riss.kr/link?id=S16306" TargetMode="External"/><Relationship Id="rId123" Type="http://schemas.openxmlformats.org/officeDocument/2006/relationships/hyperlink" Target="http://www.riss.kr/link?id=S15658" TargetMode="External"/><Relationship Id="rId330" Type="http://schemas.openxmlformats.org/officeDocument/2006/relationships/hyperlink" Target="http://www.riss.kr/link?id=S418178" TargetMode="External"/><Relationship Id="rId568" Type="http://schemas.openxmlformats.org/officeDocument/2006/relationships/hyperlink" Target="http://www.riss.kr/link?id=S406197" TargetMode="External"/><Relationship Id="rId775" Type="http://schemas.openxmlformats.org/officeDocument/2006/relationships/hyperlink" Target="http://www.riss.kr/link?id=S417506" TargetMode="External"/><Relationship Id="rId428" Type="http://schemas.openxmlformats.org/officeDocument/2006/relationships/hyperlink" Target="http://www.riss.kr/link?id=S66354" TargetMode="External"/><Relationship Id="rId635" Type="http://schemas.openxmlformats.org/officeDocument/2006/relationships/hyperlink" Target="http://www.riss.kr/link?id=S72024" TargetMode="External"/><Relationship Id="rId842" Type="http://schemas.openxmlformats.org/officeDocument/2006/relationships/hyperlink" Target="http://www.riss.kr/link?id=S67972" TargetMode="External"/><Relationship Id="rId274" Type="http://schemas.openxmlformats.org/officeDocument/2006/relationships/hyperlink" Target="http://www.riss.kr/link?id=S418684" TargetMode="External"/><Relationship Id="rId481" Type="http://schemas.openxmlformats.org/officeDocument/2006/relationships/hyperlink" Target="http://www.riss.kr/link?id=S15441" TargetMode="External"/><Relationship Id="rId702" Type="http://schemas.openxmlformats.org/officeDocument/2006/relationships/hyperlink" Target="http://www.riss.kr/link?id=S410779" TargetMode="External"/><Relationship Id="rId69" Type="http://schemas.openxmlformats.org/officeDocument/2006/relationships/hyperlink" Target="http://www.riss.kr/link?id=S407021" TargetMode="External"/><Relationship Id="rId134" Type="http://schemas.openxmlformats.org/officeDocument/2006/relationships/hyperlink" Target="http://www.riss.kr/link?id=S414163" TargetMode="External"/><Relationship Id="rId579" Type="http://schemas.openxmlformats.org/officeDocument/2006/relationships/hyperlink" Target="http://www.riss.kr/link?id=S16542" TargetMode="External"/><Relationship Id="rId786" Type="http://schemas.openxmlformats.org/officeDocument/2006/relationships/hyperlink" Target="http://www.riss.kr/link?id=S88228" TargetMode="External"/><Relationship Id="rId341" Type="http://schemas.openxmlformats.org/officeDocument/2006/relationships/hyperlink" Target="http://www.riss.kr/link?id=S16081" TargetMode="External"/><Relationship Id="rId439" Type="http://schemas.openxmlformats.org/officeDocument/2006/relationships/hyperlink" Target="http://www.riss.kr/link?id=S23468" TargetMode="External"/><Relationship Id="rId646" Type="http://schemas.openxmlformats.org/officeDocument/2006/relationships/hyperlink" Target="http://www.riss.kr/link?id=S20099271" TargetMode="External"/><Relationship Id="rId201" Type="http://schemas.openxmlformats.org/officeDocument/2006/relationships/hyperlink" Target="http://www.riss.kr/link?id=S60840" TargetMode="External"/><Relationship Id="rId285" Type="http://schemas.openxmlformats.org/officeDocument/2006/relationships/hyperlink" Target="http://www.riss.kr/link?id=S401790" TargetMode="External"/><Relationship Id="rId506" Type="http://schemas.openxmlformats.org/officeDocument/2006/relationships/hyperlink" Target="http://www.riss.kr/link?id=S402424" TargetMode="External"/><Relationship Id="rId853" Type="http://schemas.openxmlformats.org/officeDocument/2006/relationships/hyperlink" Target="http://www.riss.kr/link?id=S20068237" TargetMode="External"/><Relationship Id="rId492" Type="http://schemas.openxmlformats.org/officeDocument/2006/relationships/hyperlink" Target="http://www.riss.kr/link?id=S20095808" TargetMode="External"/><Relationship Id="rId713" Type="http://schemas.openxmlformats.org/officeDocument/2006/relationships/hyperlink" Target="http://www.riss.kr/link?id=S17577" TargetMode="External"/><Relationship Id="rId797" Type="http://schemas.openxmlformats.org/officeDocument/2006/relationships/hyperlink" Target="http://www.riss.kr/link?id=S61213" TargetMode="External"/><Relationship Id="rId920" Type="http://schemas.openxmlformats.org/officeDocument/2006/relationships/hyperlink" Target="http://www.riss.kr/link?id=S27664" TargetMode="External"/><Relationship Id="rId145" Type="http://schemas.openxmlformats.org/officeDocument/2006/relationships/hyperlink" Target="http://www.riss.kr/link?id=S15636" TargetMode="External"/><Relationship Id="rId352" Type="http://schemas.openxmlformats.org/officeDocument/2006/relationships/hyperlink" Target="http://www.riss.kr/link?id=S29016" TargetMode="External"/><Relationship Id="rId212" Type="http://schemas.openxmlformats.org/officeDocument/2006/relationships/hyperlink" Target="http://www.riss.kr/link?id=S38401" TargetMode="External"/><Relationship Id="rId657" Type="http://schemas.openxmlformats.org/officeDocument/2006/relationships/hyperlink" Target="http://www.riss.kr/link?id=S418358" TargetMode="External"/><Relationship Id="rId864" Type="http://schemas.openxmlformats.org/officeDocument/2006/relationships/hyperlink" Target="http://www.riss.kr/link?id=S21959" TargetMode="External"/><Relationship Id="rId296" Type="http://schemas.openxmlformats.org/officeDocument/2006/relationships/hyperlink" Target="http://www.riss.kr/link?id=S401473" TargetMode="External"/><Relationship Id="rId517" Type="http://schemas.openxmlformats.org/officeDocument/2006/relationships/hyperlink" Target="http://www.riss.kr/link?id=S20010588" TargetMode="External"/><Relationship Id="rId724" Type="http://schemas.openxmlformats.org/officeDocument/2006/relationships/hyperlink" Target="http://www.riss.kr/link?id=S28261" TargetMode="External"/><Relationship Id="rId931" Type="http://schemas.openxmlformats.org/officeDocument/2006/relationships/hyperlink" Target="http://www.riss.kr/link?id=S61212" TargetMode="External"/><Relationship Id="rId60" Type="http://schemas.openxmlformats.org/officeDocument/2006/relationships/hyperlink" Target="http://www.riss.kr/link?id=S45403" TargetMode="External"/><Relationship Id="rId156" Type="http://schemas.openxmlformats.org/officeDocument/2006/relationships/hyperlink" Target="http://www.riss.kr/link?id=S31027851" TargetMode="External"/><Relationship Id="rId363" Type="http://schemas.openxmlformats.org/officeDocument/2006/relationships/hyperlink" Target="http://www.riss.kr/link?id=S16565" TargetMode="External"/><Relationship Id="rId570" Type="http://schemas.openxmlformats.org/officeDocument/2006/relationships/hyperlink" Target="http://www.riss.kr/link?id=S17230" TargetMode="External"/><Relationship Id="rId223" Type="http://schemas.openxmlformats.org/officeDocument/2006/relationships/hyperlink" Target="http://www.riss.kr/link?id=S16941" TargetMode="External"/><Relationship Id="rId430" Type="http://schemas.openxmlformats.org/officeDocument/2006/relationships/hyperlink" Target="http://www.riss.kr/link?id=S49464" TargetMode="External"/><Relationship Id="rId668" Type="http://schemas.openxmlformats.org/officeDocument/2006/relationships/hyperlink" Target="http://www.riss.kr/link?id=S113997" TargetMode="External"/><Relationship Id="rId875" Type="http://schemas.openxmlformats.org/officeDocument/2006/relationships/hyperlink" Target="http://www.riss.kr/link?id=S19685" TargetMode="External"/><Relationship Id="rId18" Type="http://schemas.openxmlformats.org/officeDocument/2006/relationships/hyperlink" Target="http://www.riss.kr/link?id=S90500" TargetMode="External"/><Relationship Id="rId528" Type="http://schemas.openxmlformats.org/officeDocument/2006/relationships/hyperlink" Target="http://www.riss.kr/link?id=S59777" TargetMode="External"/><Relationship Id="rId735" Type="http://schemas.openxmlformats.org/officeDocument/2006/relationships/hyperlink" Target="http://www.riss.kr/link?id=S43048" TargetMode="External"/><Relationship Id="rId942" Type="http://schemas.openxmlformats.org/officeDocument/2006/relationships/hyperlink" Target="http://www.riss.kr/link?id=S144142" TargetMode="External"/><Relationship Id="rId167" Type="http://schemas.openxmlformats.org/officeDocument/2006/relationships/hyperlink" Target="http://www.riss.kr/link?id=S412559" TargetMode="External"/><Relationship Id="rId374" Type="http://schemas.openxmlformats.org/officeDocument/2006/relationships/hyperlink" Target="http://www.riss.kr/link?id=S405339" TargetMode="External"/><Relationship Id="rId581" Type="http://schemas.openxmlformats.org/officeDocument/2006/relationships/hyperlink" Target="http://www.riss.kr/link?id=S23595" TargetMode="External"/><Relationship Id="rId71" Type="http://schemas.openxmlformats.org/officeDocument/2006/relationships/hyperlink" Target="http://www.riss.kr/link?id=S23637" TargetMode="External"/><Relationship Id="rId234" Type="http://schemas.openxmlformats.org/officeDocument/2006/relationships/hyperlink" Target="http://www.riss.kr/link?id=S403172" TargetMode="External"/><Relationship Id="rId679" Type="http://schemas.openxmlformats.org/officeDocument/2006/relationships/hyperlink" Target="http://www.riss.kr/link?id=S403200" TargetMode="External"/><Relationship Id="rId802" Type="http://schemas.openxmlformats.org/officeDocument/2006/relationships/hyperlink" Target="http://www.riss.kr/link?id=S80195" TargetMode="External"/><Relationship Id="rId886" Type="http://schemas.openxmlformats.org/officeDocument/2006/relationships/hyperlink" Target="http://www.riss.kr/link?id=S35765" TargetMode="External"/><Relationship Id="rId2" Type="http://schemas.openxmlformats.org/officeDocument/2006/relationships/hyperlink" Target="http://www.riss.kr/link?id=S16981" TargetMode="External"/><Relationship Id="rId29" Type="http://schemas.openxmlformats.org/officeDocument/2006/relationships/hyperlink" Target="http://www.riss.kr/link?id=S16319" TargetMode="External"/><Relationship Id="rId441" Type="http://schemas.openxmlformats.org/officeDocument/2006/relationships/hyperlink" Target="http://www.riss.kr/link?id=S15539" TargetMode="External"/><Relationship Id="rId539" Type="http://schemas.openxmlformats.org/officeDocument/2006/relationships/hyperlink" Target="http://www.riss.kr/link?id=S31027366" TargetMode="External"/><Relationship Id="rId746" Type="http://schemas.openxmlformats.org/officeDocument/2006/relationships/hyperlink" Target="http://www.riss.kr/link?id=S15953" TargetMode="External"/><Relationship Id="rId178" Type="http://schemas.openxmlformats.org/officeDocument/2006/relationships/hyperlink" Target="http://www.riss.kr/link?id=S405425" TargetMode="External"/><Relationship Id="rId301" Type="http://schemas.openxmlformats.org/officeDocument/2006/relationships/hyperlink" Target="http://www.riss.kr/link?id=S16089" TargetMode="External"/><Relationship Id="rId953" Type="http://schemas.openxmlformats.org/officeDocument/2006/relationships/hyperlink" Target="http://www.riss.kr/link?id=S104125" TargetMode="External"/><Relationship Id="rId82" Type="http://schemas.openxmlformats.org/officeDocument/2006/relationships/hyperlink" Target="http://www.riss.kr/link?id=S112893" TargetMode="External"/><Relationship Id="rId385" Type="http://schemas.openxmlformats.org/officeDocument/2006/relationships/hyperlink" Target="http://www.riss.kr/link?id=S16910" TargetMode="External"/><Relationship Id="rId592" Type="http://schemas.openxmlformats.org/officeDocument/2006/relationships/hyperlink" Target="http://www.riss.kr/link?id=S410425" TargetMode="External"/><Relationship Id="rId606" Type="http://schemas.openxmlformats.org/officeDocument/2006/relationships/hyperlink" Target="http://www.riss.kr/link?id=S45501" TargetMode="External"/><Relationship Id="rId813" Type="http://schemas.openxmlformats.org/officeDocument/2006/relationships/hyperlink" Target="http://www.riss.kr/link?id=S411199" TargetMode="External"/><Relationship Id="rId245" Type="http://schemas.openxmlformats.org/officeDocument/2006/relationships/hyperlink" Target="http://www.riss.kr/link?id=S115381" TargetMode="External"/><Relationship Id="rId452" Type="http://schemas.openxmlformats.org/officeDocument/2006/relationships/hyperlink" Target="http://www.riss.kr/link?id=S16897" TargetMode="External"/><Relationship Id="rId897" Type="http://schemas.openxmlformats.org/officeDocument/2006/relationships/hyperlink" Target="http://www.riss.kr/link?id=S36924" TargetMode="External"/><Relationship Id="rId105" Type="http://schemas.openxmlformats.org/officeDocument/2006/relationships/hyperlink" Target="http://www.riss.kr/link?id=S24636" TargetMode="External"/><Relationship Id="rId312" Type="http://schemas.openxmlformats.org/officeDocument/2006/relationships/hyperlink" Target="http://www.riss.kr/link?id=S416809" TargetMode="External"/><Relationship Id="rId757" Type="http://schemas.openxmlformats.org/officeDocument/2006/relationships/hyperlink" Target="http://www.riss.kr/link?id=S407845" TargetMode="External"/><Relationship Id="rId964" Type="http://schemas.openxmlformats.org/officeDocument/2006/relationships/hyperlink" Target="http://www.riss.kr/link?id=S11643948" TargetMode="External"/><Relationship Id="rId93" Type="http://schemas.openxmlformats.org/officeDocument/2006/relationships/hyperlink" Target="http://www.riss.kr/link?id=S60409" TargetMode="External"/><Relationship Id="rId189" Type="http://schemas.openxmlformats.org/officeDocument/2006/relationships/hyperlink" Target="http://www.riss.kr/link?id=S115377" TargetMode="External"/><Relationship Id="rId396" Type="http://schemas.openxmlformats.org/officeDocument/2006/relationships/hyperlink" Target="http://www.riss.kr/link?id=S12949" TargetMode="External"/><Relationship Id="rId617" Type="http://schemas.openxmlformats.org/officeDocument/2006/relationships/hyperlink" Target="http://www.riss.kr/link?id=S39035" TargetMode="External"/><Relationship Id="rId824" Type="http://schemas.openxmlformats.org/officeDocument/2006/relationships/hyperlink" Target="http://www.riss.kr/link?id=S19734" TargetMode="External"/><Relationship Id="rId256" Type="http://schemas.openxmlformats.org/officeDocument/2006/relationships/hyperlink" Target="http://www.riss.kr/link?id=S115379" TargetMode="External"/><Relationship Id="rId463" Type="http://schemas.openxmlformats.org/officeDocument/2006/relationships/hyperlink" Target="http://www.riss.kr/link?id=S11572188" TargetMode="External"/><Relationship Id="rId670" Type="http://schemas.openxmlformats.org/officeDocument/2006/relationships/hyperlink" Target="http://www.riss.kr/link?id=S405698" TargetMode="External"/><Relationship Id="rId116" Type="http://schemas.openxmlformats.org/officeDocument/2006/relationships/hyperlink" Target="http://www.riss.kr/link?id=S15663" TargetMode="External"/><Relationship Id="rId323" Type="http://schemas.openxmlformats.org/officeDocument/2006/relationships/hyperlink" Target="http://www.riss.kr/link?id=S16084" TargetMode="External"/><Relationship Id="rId530" Type="http://schemas.openxmlformats.org/officeDocument/2006/relationships/hyperlink" Target="http://www.riss.kr/link?id=S97869" TargetMode="External"/><Relationship Id="rId768" Type="http://schemas.openxmlformats.org/officeDocument/2006/relationships/hyperlink" Target="http://www.riss.kr/link?id=S11621370" TargetMode="External"/><Relationship Id="rId975" Type="http://schemas.openxmlformats.org/officeDocument/2006/relationships/hyperlink" Target="http://www.riss.kr/link?id=S19811" TargetMode="External"/><Relationship Id="rId20" Type="http://schemas.openxmlformats.org/officeDocument/2006/relationships/hyperlink" Target="http://www.riss.kr/link?id=S90021094" TargetMode="External"/><Relationship Id="rId628" Type="http://schemas.openxmlformats.org/officeDocument/2006/relationships/hyperlink" Target="http://www.riss.kr/link?id=S404213" TargetMode="External"/><Relationship Id="rId835" Type="http://schemas.openxmlformats.org/officeDocument/2006/relationships/hyperlink" Target="http://www.riss.kr/link?id=S111037" TargetMode="External"/><Relationship Id="rId267" Type="http://schemas.openxmlformats.org/officeDocument/2006/relationships/hyperlink" Target="http://www.riss.kr/link?id=S11644049" TargetMode="External"/><Relationship Id="rId474" Type="http://schemas.openxmlformats.org/officeDocument/2006/relationships/hyperlink" Target="http://www.riss.kr/link?id=S24599" TargetMode="External"/><Relationship Id="rId127" Type="http://schemas.openxmlformats.org/officeDocument/2006/relationships/hyperlink" Target="http://www.riss.kr/link?id=S15648" TargetMode="External"/><Relationship Id="rId681" Type="http://schemas.openxmlformats.org/officeDocument/2006/relationships/hyperlink" Target="http://www.riss.kr/link?id=S115388" TargetMode="External"/><Relationship Id="rId779" Type="http://schemas.openxmlformats.org/officeDocument/2006/relationships/hyperlink" Target="http://www.riss.kr/link?id=S29114" TargetMode="External"/><Relationship Id="rId902" Type="http://schemas.openxmlformats.org/officeDocument/2006/relationships/hyperlink" Target="http://www.riss.kr/link?id=S114746" TargetMode="External"/><Relationship Id="rId31" Type="http://schemas.openxmlformats.org/officeDocument/2006/relationships/hyperlink" Target="http://www.riss.kr/link?id=S29073" TargetMode="External"/><Relationship Id="rId334" Type="http://schemas.openxmlformats.org/officeDocument/2006/relationships/hyperlink" Target="http://www.riss.kr/link?id=S402922" TargetMode="External"/><Relationship Id="rId541" Type="http://schemas.openxmlformats.org/officeDocument/2006/relationships/hyperlink" Target="http://www.riss.kr/link?id=S31025348" TargetMode="External"/><Relationship Id="rId639" Type="http://schemas.openxmlformats.org/officeDocument/2006/relationships/hyperlink" Target="http://www.riss.kr/link?id=S402427" TargetMode="External"/><Relationship Id="rId180" Type="http://schemas.openxmlformats.org/officeDocument/2006/relationships/hyperlink" Target="http://www.riss.kr/link?id=S16713" TargetMode="External"/><Relationship Id="rId278" Type="http://schemas.openxmlformats.org/officeDocument/2006/relationships/hyperlink" Target="http://www.riss.kr/link?id=S31027196" TargetMode="External"/><Relationship Id="rId401" Type="http://schemas.openxmlformats.org/officeDocument/2006/relationships/hyperlink" Target="http://www.riss.kr/link?id=S31000238" TargetMode="External"/><Relationship Id="rId846" Type="http://schemas.openxmlformats.org/officeDocument/2006/relationships/hyperlink" Target="http://www.riss.kr/link?id=S417589" TargetMode="External"/><Relationship Id="rId485" Type="http://schemas.openxmlformats.org/officeDocument/2006/relationships/hyperlink" Target="http://www.riss.kr/link?id=S28375" TargetMode="External"/><Relationship Id="rId692" Type="http://schemas.openxmlformats.org/officeDocument/2006/relationships/hyperlink" Target="http://www.riss.kr/link?id=S405210" TargetMode="External"/><Relationship Id="rId706" Type="http://schemas.openxmlformats.org/officeDocument/2006/relationships/hyperlink" Target="http://www.riss.kr/link?id=S415882" TargetMode="External"/><Relationship Id="rId913" Type="http://schemas.openxmlformats.org/officeDocument/2006/relationships/hyperlink" Target="http://www.riss.kr/link?id=S61475" TargetMode="External"/><Relationship Id="rId42" Type="http://schemas.openxmlformats.org/officeDocument/2006/relationships/hyperlink" Target="http://www.riss.kr/link?id=S11587025" TargetMode="External"/><Relationship Id="rId138" Type="http://schemas.openxmlformats.org/officeDocument/2006/relationships/hyperlink" Target="http://www.riss.kr/link?id=S24641" TargetMode="External"/><Relationship Id="rId345" Type="http://schemas.openxmlformats.org/officeDocument/2006/relationships/hyperlink" Target="http://www.riss.kr/link?id=S20010946" TargetMode="External"/><Relationship Id="rId552" Type="http://schemas.openxmlformats.org/officeDocument/2006/relationships/hyperlink" Target="http://www.riss.kr/link?id=S16616" TargetMode="External"/><Relationship Id="rId191" Type="http://schemas.openxmlformats.org/officeDocument/2006/relationships/hyperlink" Target="http://www.riss.kr/link?id=S13454" TargetMode="External"/><Relationship Id="rId205" Type="http://schemas.openxmlformats.org/officeDocument/2006/relationships/hyperlink" Target="http://www.riss.kr/link?id=S20411" TargetMode="External"/><Relationship Id="rId412" Type="http://schemas.openxmlformats.org/officeDocument/2006/relationships/hyperlink" Target="http://www.riss.kr/link?id=S15019" TargetMode="External"/><Relationship Id="rId857" Type="http://schemas.openxmlformats.org/officeDocument/2006/relationships/hyperlink" Target="http://www.riss.kr/link?id=S35840" TargetMode="External"/><Relationship Id="rId289" Type="http://schemas.openxmlformats.org/officeDocument/2006/relationships/hyperlink" Target="http://www.riss.kr/link?id=S90008279" TargetMode="External"/><Relationship Id="rId496" Type="http://schemas.openxmlformats.org/officeDocument/2006/relationships/hyperlink" Target="http://www.riss.kr/link?id=S16890" TargetMode="External"/><Relationship Id="rId717" Type="http://schemas.openxmlformats.org/officeDocument/2006/relationships/hyperlink" Target="http://www.riss.kr/link?id=S48354" TargetMode="External"/><Relationship Id="rId924" Type="http://schemas.openxmlformats.org/officeDocument/2006/relationships/hyperlink" Target="http://www.riss.kr/link?id=S91440" TargetMode="External"/><Relationship Id="rId53" Type="http://schemas.openxmlformats.org/officeDocument/2006/relationships/hyperlink" Target="http://www.riss.kr/link?id=S11640488" TargetMode="External"/><Relationship Id="rId149" Type="http://schemas.openxmlformats.org/officeDocument/2006/relationships/hyperlink" Target="http://www.riss.kr/link?id=S17550" TargetMode="External"/><Relationship Id="rId356" Type="http://schemas.openxmlformats.org/officeDocument/2006/relationships/hyperlink" Target="http://www.riss.kr/link?id=S415749" TargetMode="External"/><Relationship Id="rId563" Type="http://schemas.openxmlformats.org/officeDocument/2006/relationships/hyperlink" Target="http://www.riss.kr/link?id=S20010431" TargetMode="External"/><Relationship Id="rId770" Type="http://schemas.openxmlformats.org/officeDocument/2006/relationships/hyperlink" Target="http://www.riss.kr/link?id=S115748" TargetMode="External"/><Relationship Id="rId216" Type="http://schemas.openxmlformats.org/officeDocument/2006/relationships/hyperlink" Target="http://www.riss.kr/link?id=S412775" TargetMode="External"/><Relationship Id="rId423" Type="http://schemas.openxmlformats.org/officeDocument/2006/relationships/hyperlink" Target="http://www.riss.kr/link?id=S20557" TargetMode="External"/><Relationship Id="rId868" Type="http://schemas.openxmlformats.org/officeDocument/2006/relationships/hyperlink" Target="http://www.riss.kr/link?id=S49427" TargetMode="External"/><Relationship Id="rId630" Type="http://schemas.openxmlformats.org/officeDocument/2006/relationships/hyperlink" Target="http://www.riss.kr/link?id=S410682" TargetMode="External"/><Relationship Id="rId728" Type="http://schemas.openxmlformats.org/officeDocument/2006/relationships/hyperlink" Target="http://www.riss.kr/link?id=S405999" TargetMode="External"/><Relationship Id="rId935" Type="http://schemas.openxmlformats.org/officeDocument/2006/relationships/hyperlink" Target="http://www.riss.kr/link?id=S20066775" TargetMode="External"/><Relationship Id="rId64" Type="http://schemas.openxmlformats.org/officeDocument/2006/relationships/hyperlink" Target="http://www.riss.kr/link?id=S29226" TargetMode="External"/><Relationship Id="rId367" Type="http://schemas.openxmlformats.org/officeDocument/2006/relationships/hyperlink" Target="http://www.riss.kr/link?id=S96424" TargetMode="External"/><Relationship Id="rId574" Type="http://schemas.openxmlformats.org/officeDocument/2006/relationships/hyperlink" Target="http://www.riss.kr/link?id=S28226" TargetMode="External"/><Relationship Id="rId227" Type="http://schemas.openxmlformats.org/officeDocument/2006/relationships/hyperlink" Target="http://www.riss.kr/link?id=S16196" TargetMode="External"/><Relationship Id="rId781" Type="http://schemas.openxmlformats.org/officeDocument/2006/relationships/hyperlink" Target="http://www.riss.kr/link?id=S11581308" TargetMode="External"/><Relationship Id="rId879" Type="http://schemas.openxmlformats.org/officeDocument/2006/relationships/hyperlink" Target="http://www.riss.kr/link?id=S417050" TargetMode="External"/><Relationship Id="rId434" Type="http://schemas.openxmlformats.org/officeDocument/2006/relationships/hyperlink" Target="http://www.riss.kr/link?id=S16058" TargetMode="External"/><Relationship Id="rId641" Type="http://schemas.openxmlformats.org/officeDocument/2006/relationships/hyperlink" Target="http://www.riss.kr/link?id=S16998" TargetMode="External"/><Relationship Id="rId739" Type="http://schemas.openxmlformats.org/officeDocument/2006/relationships/hyperlink" Target="http://www.riss.kr/link?id=S414717" TargetMode="External"/><Relationship Id="rId280" Type="http://schemas.openxmlformats.org/officeDocument/2006/relationships/hyperlink" Target="http://www.riss.kr/link?id=S31031955" TargetMode="External"/><Relationship Id="rId501" Type="http://schemas.openxmlformats.org/officeDocument/2006/relationships/hyperlink" Target="http://www.riss.kr/link?id=S416408" TargetMode="External"/><Relationship Id="rId946" Type="http://schemas.openxmlformats.org/officeDocument/2006/relationships/hyperlink" Target="http://www.riss.kr/link?id=S63540" TargetMode="External"/><Relationship Id="rId75" Type="http://schemas.openxmlformats.org/officeDocument/2006/relationships/hyperlink" Target="http://www.riss.kr/link?id=S410895" TargetMode="External"/><Relationship Id="rId140" Type="http://schemas.openxmlformats.org/officeDocument/2006/relationships/hyperlink" Target="http://www.riss.kr/link?id=S13442" TargetMode="External"/><Relationship Id="rId378" Type="http://schemas.openxmlformats.org/officeDocument/2006/relationships/hyperlink" Target="http://www.riss.kr/link?id=S16065" TargetMode="External"/><Relationship Id="rId585" Type="http://schemas.openxmlformats.org/officeDocument/2006/relationships/hyperlink" Target="http://www.riss.kr/link?id=S411588" TargetMode="External"/><Relationship Id="rId792" Type="http://schemas.openxmlformats.org/officeDocument/2006/relationships/hyperlink" Target="http://www.riss.kr/link?id=S48720" TargetMode="External"/><Relationship Id="rId806" Type="http://schemas.openxmlformats.org/officeDocument/2006/relationships/hyperlink" Target="http://www.riss.kr/link?id=S68575" TargetMode="External"/><Relationship Id="rId6" Type="http://schemas.openxmlformats.org/officeDocument/2006/relationships/hyperlink" Target="http://www.riss.kr/link?id=S11597824" TargetMode="External"/><Relationship Id="rId238" Type="http://schemas.openxmlformats.org/officeDocument/2006/relationships/hyperlink" Target="http://www.riss.kr/link?id=S16688" TargetMode="External"/><Relationship Id="rId445" Type="http://schemas.openxmlformats.org/officeDocument/2006/relationships/hyperlink" Target="http://www.riss.kr/link?id=S6854" TargetMode="External"/><Relationship Id="rId652" Type="http://schemas.openxmlformats.org/officeDocument/2006/relationships/hyperlink" Target="http://www.riss.kr/link?id=S143758" TargetMode="External"/><Relationship Id="rId291" Type="http://schemas.openxmlformats.org/officeDocument/2006/relationships/hyperlink" Target="http://www.riss.kr/link?id=S21281" TargetMode="External"/><Relationship Id="rId305" Type="http://schemas.openxmlformats.org/officeDocument/2006/relationships/hyperlink" Target="http://www.riss.kr/link?id=S416811" TargetMode="External"/><Relationship Id="rId512" Type="http://schemas.openxmlformats.org/officeDocument/2006/relationships/hyperlink" Target="http://www.riss.kr/link?id=S17464" TargetMode="External"/><Relationship Id="rId957" Type="http://schemas.openxmlformats.org/officeDocument/2006/relationships/hyperlink" Target="http://www.riss.kr/link?id=S104203" TargetMode="External"/><Relationship Id="rId86" Type="http://schemas.openxmlformats.org/officeDocument/2006/relationships/hyperlink" Target="http://www.riss.kr/link?id=S20703" TargetMode="External"/><Relationship Id="rId151" Type="http://schemas.openxmlformats.org/officeDocument/2006/relationships/hyperlink" Target="http://www.riss.kr/link?id=S31014477" TargetMode="External"/><Relationship Id="rId389" Type="http://schemas.openxmlformats.org/officeDocument/2006/relationships/hyperlink" Target="http://www.riss.kr/link?id=S90023683" TargetMode="External"/><Relationship Id="rId596" Type="http://schemas.openxmlformats.org/officeDocument/2006/relationships/hyperlink" Target="http://www.riss.kr/link?id=S13527" TargetMode="External"/><Relationship Id="rId817" Type="http://schemas.openxmlformats.org/officeDocument/2006/relationships/hyperlink" Target="http://www.riss.kr/link?id=S60981" TargetMode="External"/><Relationship Id="rId249" Type="http://schemas.openxmlformats.org/officeDocument/2006/relationships/hyperlink" Target="http://www.riss.kr/link?id=S11574592" TargetMode="External"/><Relationship Id="rId456" Type="http://schemas.openxmlformats.org/officeDocument/2006/relationships/hyperlink" Target="http://www.riss.kr/link?id=S410763" TargetMode="External"/><Relationship Id="rId663" Type="http://schemas.openxmlformats.org/officeDocument/2006/relationships/hyperlink" Target="http://www.riss.kr/link?id=S18795" TargetMode="External"/><Relationship Id="rId870" Type="http://schemas.openxmlformats.org/officeDocument/2006/relationships/hyperlink" Target="http://www.riss.kr/link?id=S31000872" TargetMode="External"/><Relationship Id="rId13" Type="http://schemas.openxmlformats.org/officeDocument/2006/relationships/hyperlink" Target="http://www.riss.kr/link?id=S30006959" TargetMode="External"/><Relationship Id="rId109" Type="http://schemas.openxmlformats.org/officeDocument/2006/relationships/hyperlink" Target="http://www.riss.kr/link?id=S417040" TargetMode="External"/><Relationship Id="rId316" Type="http://schemas.openxmlformats.org/officeDocument/2006/relationships/hyperlink" Target="http://www.riss.kr/link?id=S28130" TargetMode="External"/><Relationship Id="rId523" Type="http://schemas.openxmlformats.org/officeDocument/2006/relationships/hyperlink" Target="http://www.riss.kr/link?id=S15584" TargetMode="External"/><Relationship Id="rId968" Type="http://schemas.openxmlformats.org/officeDocument/2006/relationships/hyperlink" Target="http://www.riss.kr/link?id=S24367" TargetMode="External"/><Relationship Id="rId97" Type="http://schemas.openxmlformats.org/officeDocument/2006/relationships/hyperlink" Target="http://www.riss.kr/link?id=S13000" TargetMode="External"/><Relationship Id="rId730" Type="http://schemas.openxmlformats.org/officeDocument/2006/relationships/hyperlink" Target="http://www.riss.kr/link?id=S86061" TargetMode="External"/><Relationship Id="rId828" Type="http://schemas.openxmlformats.org/officeDocument/2006/relationships/hyperlink" Target="http://www.riss.kr/link?id=S19817" TargetMode="External"/><Relationship Id="rId162" Type="http://schemas.openxmlformats.org/officeDocument/2006/relationships/hyperlink" Target="http://www.riss.kr/link?id=S11575588" TargetMode="External"/><Relationship Id="rId467" Type="http://schemas.openxmlformats.org/officeDocument/2006/relationships/hyperlink" Target="http://www.riss.kr/link?id=S20402" TargetMode="External"/><Relationship Id="rId674" Type="http://schemas.openxmlformats.org/officeDocument/2006/relationships/hyperlink" Target="http://www.riss.kr/link?id=S417596" TargetMode="External"/><Relationship Id="rId881" Type="http://schemas.openxmlformats.org/officeDocument/2006/relationships/hyperlink" Target="http://www.riss.kr/link?id=S36930" TargetMode="External"/><Relationship Id="rId24" Type="http://schemas.openxmlformats.org/officeDocument/2006/relationships/hyperlink" Target="http://www.riss.kr/link?id=S143756" TargetMode="External"/><Relationship Id="rId327" Type="http://schemas.openxmlformats.org/officeDocument/2006/relationships/hyperlink" Target="http://www.riss.kr/link?id=S24546" TargetMode="External"/><Relationship Id="rId534" Type="http://schemas.openxmlformats.org/officeDocument/2006/relationships/hyperlink" Target="http://www.riss.kr/link?id=S48092" TargetMode="External"/><Relationship Id="rId741" Type="http://schemas.openxmlformats.org/officeDocument/2006/relationships/hyperlink" Target="http://www.riss.kr/link?id=S15537" TargetMode="External"/><Relationship Id="rId839" Type="http://schemas.openxmlformats.org/officeDocument/2006/relationships/hyperlink" Target="http://www.riss.kr/link?id=S93244" TargetMode="External"/><Relationship Id="rId173" Type="http://schemas.openxmlformats.org/officeDocument/2006/relationships/hyperlink" Target="http://www.riss.kr/link?id=S11575509" TargetMode="External"/><Relationship Id="rId380" Type="http://schemas.openxmlformats.org/officeDocument/2006/relationships/hyperlink" Target="http://www.riss.kr/link?id=S13020" TargetMode="External"/><Relationship Id="rId601" Type="http://schemas.openxmlformats.org/officeDocument/2006/relationships/hyperlink" Target="http://www.riss.kr/link?id=S30006165" TargetMode="External"/><Relationship Id="rId240" Type="http://schemas.openxmlformats.org/officeDocument/2006/relationships/hyperlink" Target="http://www.riss.kr/link?id=S115378" TargetMode="External"/><Relationship Id="rId478" Type="http://schemas.openxmlformats.org/officeDocument/2006/relationships/hyperlink" Target="http://www.riss.kr/link?id=S115899" TargetMode="External"/><Relationship Id="rId685" Type="http://schemas.openxmlformats.org/officeDocument/2006/relationships/hyperlink" Target="http://www.riss.kr/link?id=S85659" TargetMode="External"/><Relationship Id="rId892" Type="http://schemas.openxmlformats.org/officeDocument/2006/relationships/hyperlink" Target="http://www.riss.kr/link?id=S416936" TargetMode="External"/><Relationship Id="rId906" Type="http://schemas.openxmlformats.org/officeDocument/2006/relationships/hyperlink" Target="http://www.riss.kr/link?id=S61535" TargetMode="External"/><Relationship Id="rId35" Type="http://schemas.openxmlformats.org/officeDocument/2006/relationships/hyperlink" Target="http://www.riss.kr/link?id=S13692" TargetMode="External"/><Relationship Id="rId100" Type="http://schemas.openxmlformats.org/officeDocument/2006/relationships/hyperlink" Target="http://www.riss.kr/link?id=S12338" TargetMode="External"/><Relationship Id="rId338" Type="http://schemas.openxmlformats.org/officeDocument/2006/relationships/hyperlink" Target="http://www.riss.kr/link?id=S21308" TargetMode="External"/><Relationship Id="rId545" Type="http://schemas.openxmlformats.org/officeDocument/2006/relationships/hyperlink" Target="http://www.riss.kr/link?id=S417089" TargetMode="External"/><Relationship Id="rId752" Type="http://schemas.openxmlformats.org/officeDocument/2006/relationships/hyperlink" Target="http://www.riss.kr/link?id=S411651" TargetMode="External"/><Relationship Id="rId184" Type="http://schemas.openxmlformats.org/officeDocument/2006/relationships/hyperlink" Target="http://www.riss.kr/link?id=S405708" TargetMode="External"/><Relationship Id="rId391" Type="http://schemas.openxmlformats.org/officeDocument/2006/relationships/hyperlink" Target="http://www.riss.kr/link?id=S28117" TargetMode="External"/><Relationship Id="rId405" Type="http://schemas.openxmlformats.org/officeDocument/2006/relationships/hyperlink" Target="http://www.riss.kr/link?id=S17285" TargetMode="External"/><Relationship Id="rId612" Type="http://schemas.openxmlformats.org/officeDocument/2006/relationships/hyperlink" Target="http://www.riss.kr/link?id=S31026610" TargetMode="External"/><Relationship Id="rId251" Type="http://schemas.openxmlformats.org/officeDocument/2006/relationships/hyperlink" Target="http://www.riss.kr/link?id=S17525" TargetMode="External"/><Relationship Id="rId489" Type="http://schemas.openxmlformats.org/officeDocument/2006/relationships/hyperlink" Target="http://www.riss.kr/link?id=S15591" TargetMode="External"/><Relationship Id="rId696" Type="http://schemas.openxmlformats.org/officeDocument/2006/relationships/hyperlink" Target="http://www.riss.kr/link?id=S11645053" TargetMode="External"/><Relationship Id="rId917" Type="http://schemas.openxmlformats.org/officeDocument/2006/relationships/hyperlink" Target="http://www.riss.kr/link?id=S49446" TargetMode="External"/><Relationship Id="rId46" Type="http://schemas.openxmlformats.org/officeDocument/2006/relationships/hyperlink" Target="http://www.riss.kr/link?id=S20012637" TargetMode="External"/><Relationship Id="rId349" Type="http://schemas.openxmlformats.org/officeDocument/2006/relationships/hyperlink" Target="http://www.riss.kr/link?id=S17509" TargetMode="External"/><Relationship Id="rId556" Type="http://schemas.openxmlformats.org/officeDocument/2006/relationships/hyperlink" Target="http://www.riss.kr/link?id=S414260" TargetMode="External"/><Relationship Id="rId763" Type="http://schemas.openxmlformats.org/officeDocument/2006/relationships/hyperlink" Target="http://www.riss.kr/link?id=S21137" TargetMode="External"/><Relationship Id="rId111" Type="http://schemas.openxmlformats.org/officeDocument/2006/relationships/hyperlink" Target="http://www.riss.kr/link?id=S16973" TargetMode="External"/><Relationship Id="rId195" Type="http://schemas.openxmlformats.org/officeDocument/2006/relationships/hyperlink" Target="http://www.riss.kr/link?id=S14891" TargetMode="External"/><Relationship Id="rId209" Type="http://schemas.openxmlformats.org/officeDocument/2006/relationships/hyperlink" Target="http://www.riss.kr/link?id=S28951" TargetMode="External"/><Relationship Id="rId416" Type="http://schemas.openxmlformats.org/officeDocument/2006/relationships/hyperlink" Target="http://www.riss.kr/link?id=S85287" TargetMode="External"/><Relationship Id="rId970" Type="http://schemas.openxmlformats.org/officeDocument/2006/relationships/hyperlink" Target="http://www.riss.kr/link?id=S20069318" TargetMode="External"/><Relationship Id="rId623" Type="http://schemas.openxmlformats.org/officeDocument/2006/relationships/hyperlink" Target="http://www.riss.kr/link?id=S12821" TargetMode="External"/><Relationship Id="rId830" Type="http://schemas.openxmlformats.org/officeDocument/2006/relationships/hyperlink" Target="http://www.riss.kr/link?id=S48399" TargetMode="External"/><Relationship Id="rId928" Type="http://schemas.openxmlformats.org/officeDocument/2006/relationships/hyperlink" Target="http://www.riss.kr/link?id=S60986" TargetMode="External"/><Relationship Id="rId57" Type="http://schemas.openxmlformats.org/officeDocument/2006/relationships/hyperlink" Target="http://www.riss.kr/link?id=S31000997" TargetMode="External"/><Relationship Id="rId262" Type="http://schemas.openxmlformats.org/officeDocument/2006/relationships/hyperlink" Target="http://www.riss.kr/link?id=S30006261" TargetMode="External"/><Relationship Id="rId567" Type="http://schemas.openxmlformats.org/officeDocument/2006/relationships/hyperlink" Target="http://www.riss.kr/link?id=S403127" TargetMode="External"/><Relationship Id="rId122" Type="http://schemas.openxmlformats.org/officeDocument/2006/relationships/hyperlink" Target="http://www.riss.kr/link?id=S416801" TargetMode="External"/><Relationship Id="rId774" Type="http://schemas.openxmlformats.org/officeDocument/2006/relationships/hyperlink" Target="http://www.riss.kr/link?id=S24498" TargetMode="External"/><Relationship Id="rId427" Type="http://schemas.openxmlformats.org/officeDocument/2006/relationships/hyperlink" Target="http://www.riss.kr/link?id=S403288" TargetMode="External"/><Relationship Id="rId634" Type="http://schemas.openxmlformats.org/officeDocument/2006/relationships/hyperlink" Target="http://www.riss.kr/link?id=S31002774" TargetMode="External"/><Relationship Id="rId841" Type="http://schemas.openxmlformats.org/officeDocument/2006/relationships/hyperlink" Target="http://www.riss.kr/link?id=S60896" TargetMode="External"/><Relationship Id="rId273" Type="http://schemas.openxmlformats.org/officeDocument/2006/relationships/hyperlink" Target="http://www.riss.kr/link?id=S14551" TargetMode="External"/><Relationship Id="rId480" Type="http://schemas.openxmlformats.org/officeDocument/2006/relationships/hyperlink" Target="http://www.riss.kr/link?id=S18154" TargetMode="External"/><Relationship Id="rId701" Type="http://schemas.openxmlformats.org/officeDocument/2006/relationships/hyperlink" Target="http://www.riss.kr/link?id=S11574145" TargetMode="External"/><Relationship Id="rId939" Type="http://schemas.openxmlformats.org/officeDocument/2006/relationships/hyperlink" Target="http://www.riss.kr/link?id=S80251" TargetMode="External"/><Relationship Id="rId68" Type="http://schemas.openxmlformats.org/officeDocument/2006/relationships/hyperlink" Target="http://www.riss.kr/link?id=S17573" TargetMode="External"/><Relationship Id="rId133" Type="http://schemas.openxmlformats.org/officeDocument/2006/relationships/hyperlink" Target="http://www.riss.kr/link?id=S16729" TargetMode="External"/><Relationship Id="rId340" Type="http://schemas.openxmlformats.org/officeDocument/2006/relationships/hyperlink" Target="http://www.riss.kr/link?id=S15021" TargetMode="External"/><Relationship Id="rId578" Type="http://schemas.openxmlformats.org/officeDocument/2006/relationships/hyperlink" Target="http://www.riss.kr/link?id=S5799" TargetMode="External"/><Relationship Id="rId785" Type="http://schemas.openxmlformats.org/officeDocument/2006/relationships/hyperlink" Target="http://www.riss.kr/link?id=S20095138" TargetMode="External"/><Relationship Id="rId200" Type="http://schemas.openxmlformats.org/officeDocument/2006/relationships/hyperlink" Target="http://www.riss.kr/link?id=S405428" TargetMode="External"/><Relationship Id="rId438" Type="http://schemas.openxmlformats.org/officeDocument/2006/relationships/hyperlink" Target="http://www.riss.kr/link?id=S48296" TargetMode="External"/><Relationship Id="rId645" Type="http://schemas.openxmlformats.org/officeDocument/2006/relationships/hyperlink" Target="http://www.riss.kr/link?id=S408997" TargetMode="External"/><Relationship Id="rId852" Type="http://schemas.openxmlformats.org/officeDocument/2006/relationships/hyperlink" Target="http://www.riss.kr/link?id=S78202" TargetMode="External"/><Relationship Id="rId284" Type="http://schemas.openxmlformats.org/officeDocument/2006/relationships/hyperlink" Target="http://www.riss.kr/link?id=S31019599" TargetMode="External"/><Relationship Id="rId491" Type="http://schemas.openxmlformats.org/officeDocument/2006/relationships/hyperlink" Target="http://www.riss.kr/link?id=S50057" TargetMode="External"/><Relationship Id="rId505" Type="http://schemas.openxmlformats.org/officeDocument/2006/relationships/hyperlink" Target="http://www.riss.kr/link?id=S22129" TargetMode="External"/><Relationship Id="rId712" Type="http://schemas.openxmlformats.org/officeDocument/2006/relationships/hyperlink" Target="http://www.riss.kr/link?id=S17168" TargetMode="External"/><Relationship Id="rId79" Type="http://schemas.openxmlformats.org/officeDocument/2006/relationships/hyperlink" Target="http://www.riss.kr/link?id=S16996" TargetMode="External"/><Relationship Id="rId144" Type="http://schemas.openxmlformats.org/officeDocument/2006/relationships/hyperlink" Target="http://www.riss.kr/link?id=S17067" TargetMode="External"/><Relationship Id="rId589" Type="http://schemas.openxmlformats.org/officeDocument/2006/relationships/hyperlink" Target="http://www.riss.kr/link?id=S414990" TargetMode="External"/><Relationship Id="rId796" Type="http://schemas.openxmlformats.org/officeDocument/2006/relationships/hyperlink" Target="http://www.riss.kr/link?id=S108985" TargetMode="External"/><Relationship Id="rId351" Type="http://schemas.openxmlformats.org/officeDocument/2006/relationships/hyperlink" Target="http://www.riss.kr/link?id=S404893" TargetMode="External"/><Relationship Id="rId449" Type="http://schemas.openxmlformats.org/officeDocument/2006/relationships/hyperlink" Target="http://www.riss.kr/link?id=S14961" TargetMode="External"/><Relationship Id="rId656" Type="http://schemas.openxmlformats.org/officeDocument/2006/relationships/hyperlink" Target="http://www.riss.kr/link?id=S103626" TargetMode="External"/><Relationship Id="rId863" Type="http://schemas.openxmlformats.org/officeDocument/2006/relationships/hyperlink" Target="http://www.riss.kr/link?id=S36958" TargetMode="External"/><Relationship Id="rId211" Type="http://schemas.openxmlformats.org/officeDocument/2006/relationships/hyperlink" Target="http://www.riss.kr/link?id=S15630" TargetMode="External"/><Relationship Id="rId295" Type="http://schemas.openxmlformats.org/officeDocument/2006/relationships/hyperlink" Target="http://www.riss.kr/link?id=S410059" TargetMode="External"/><Relationship Id="rId309" Type="http://schemas.openxmlformats.org/officeDocument/2006/relationships/hyperlink" Target="http://www.riss.kr/link?id=S15605" TargetMode="External"/><Relationship Id="rId516" Type="http://schemas.openxmlformats.org/officeDocument/2006/relationships/hyperlink" Target="http://www.riss.kr/link?id=S20010548" TargetMode="External"/><Relationship Id="rId723" Type="http://schemas.openxmlformats.org/officeDocument/2006/relationships/hyperlink" Target="http://www.riss.kr/link?id=S17539" TargetMode="External"/><Relationship Id="rId930" Type="http://schemas.openxmlformats.org/officeDocument/2006/relationships/hyperlink" Target="http://www.riss.kr/link?id=S416813" TargetMode="External"/><Relationship Id="rId155" Type="http://schemas.openxmlformats.org/officeDocument/2006/relationships/hyperlink" Target="http://www.riss.kr/link?id=S19535" TargetMode="External"/><Relationship Id="rId362" Type="http://schemas.openxmlformats.org/officeDocument/2006/relationships/hyperlink" Target="http://www.riss.kr/link?id=S13168" TargetMode="External"/><Relationship Id="rId222" Type="http://schemas.openxmlformats.org/officeDocument/2006/relationships/hyperlink" Target="http://www.riss.kr/link?id=S11575031" TargetMode="External"/><Relationship Id="rId667" Type="http://schemas.openxmlformats.org/officeDocument/2006/relationships/hyperlink" Target="http://www.riss.kr/link?id=S20067228" TargetMode="External"/><Relationship Id="rId874" Type="http://schemas.openxmlformats.org/officeDocument/2006/relationships/hyperlink" Target="http://www.riss.kr/link?id=S104199" TargetMode="External"/><Relationship Id="rId17" Type="http://schemas.openxmlformats.org/officeDocument/2006/relationships/hyperlink" Target="http://www.riss.kr/link?id=S20035778" TargetMode="External"/><Relationship Id="rId527" Type="http://schemas.openxmlformats.org/officeDocument/2006/relationships/hyperlink" Target="http://www.riss.kr/link?id=S405098" TargetMode="External"/><Relationship Id="rId734" Type="http://schemas.openxmlformats.org/officeDocument/2006/relationships/hyperlink" Target="http://www.riss.kr/link?id=S16656" TargetMode="External"/><Relationship Id="rId941" Type="http://schemas.openxmlformats.org/officeDocument/2006/relationships/hyperlink" Target="http://www.riss.kr/link?id=S27656" TargetMode="External"/><Relationship Id="rId70" Type="http://schemas.openxmlformats.org/officeDocument/2006/relationships/hyperlink" Target="http://www.riss.kr/link?id=S104401" TargetMode="External"/><Relationship Id="rId166" Type="http://schemas.openxmlformats.org/officeDocument/2006/relationships/hyperlink" Target="http://www.riss.kr/link?id=S57882" TargetMode="External"/><Relationship Id="rId373" Type="http://schemas.openxmlformats.org/officeDocument/2006/relationships/hyperlink" Target="http://www.riss.kr/link?id=S20212" TargetMode="External"/><Relationship Id="rId580" Type="http://schemas.openxmlformats.org/officeDocument/2006/relationships/hyperlink" Target="http://www.riss.kr/link?id=S13269" TargetMode="External"/><Relationship Id="rId801" Type="http://schemas.openxmlformats.org/officeDocument/2006/relationships/hyperlink" Target="http://www.riss.kr/link?id=S87980" TargetMode="External"/><Relationship Id="rId1" Type="http://schemas.openxmlformats.org/officeDocument/2006/relationships/hyperlink" Target="http://www.riss.kr/link?id=S19593" TargetMode="External"/><Relationship Id="rId233" Type="http://schemas.openxmlformats.org/officeDocument/2006/relationships/hyperlink" Target="http://www.riss.kr/link?id=S11574028" TargetMode="External"/><Relationship Id="rId440" Type="http://schemas.openxmlformats.org/officeDocument/2006/relationships/hyperlink" Target="http://www.riss.kr/link?id=S16049" TargetMode="External"/><Relationship Id="rId678" Type="http://schemas.openxmlformats.org/officeDocument/2006/relationships/hyperlink" Target="http://www.riss.kr/link?id=S402361" TargetMode="External"/><Relationship Id="rId885" Type="http://schemas.openxmlformats.org/officeDocument/2006/relationships/hyperlink" Target="http://www.riss.kr/link?id=S80194" TargetMode="External"/><Relationship Id="rId28" Type="http://schemas.openxmlformats.org/officeDocument/2006/relationships/hyperlink" Target="http://www.riss.kr/link?id=S414099" TargetMode="External"/><Relationship Id="rId300" Type="http://schemas.openxmlformats.org/officeDocument/2006/relationships/hyperlink" Target="http://www.riss.kr/link?id=S28236" TargetMode="External"/><Relationship Id="rId538" Type="http://schemas.openxmlformats.org/officeDocument/2006/relationships/hyperlink" Target="http://www.riss.kr/link?id=S49062" TargetMode="External"/><Relationship Id="rId745" Type="http://schemas.openxmlformats.org/officeDocument/2006/relationships/hyperlink" Target="http://www.riss.kr/link?id=S12296" TargetMode="External"/><Relationship Id="rId952" Type="http://schemas.openxmlformats.org/officeDocument/2006/relationships/hyperlink" Target="http://www.riss.kr/link?id=S104124" TargetMode="External"/><Relationship Id="rId81" Type="http://schemas.openxmlformats.org/officeDocument/2006/relationships/hyperlink" Target="http://www.riss.kr/link?id=S115372" TargetMode="External"/><Relationship Id="rId177" Type="http://schemas.openxmlformats.org/officeDocument/2006/relationships/hyperlink" Target="http://www.riss.kr/link?id=S14879" TargetMode="External"/><Relationship Id="rId384" Type="http://schemas.openxmlformats.org/officeDocument/2006/relationships/hyperlink" Target="http://www.riss.kr/link?id=S103340" TargetMode="External"/><Relationship Id="rId591" Type="http://schemas.openxmlformats.org/officeDocument/2006/relationships/hyperlink" Target="http://www.riss.kr/link?id=S5090" TargetMode="External"/><Relationship Id="rId605" Type="http://schemas.openxmlformats.org/officeDocument/2006/relationships/hyperlink" Target="http://www.riss.kr/link?id=S31000857" TargetMode="External"/><Relationship Id="rId812" Type="http://schemas.openxmlformats.org/officeDocument/2006/relationships/hyperlink" Target="http://www.riss.kr/link?id=S41124" TargetMode="External"/><Relationship Id="rId244" Type="http://schemas.openxmlformats.org/officeDocument/2006/relationships/hyperlink" Target="http://www.riss.kr/link?id=S31016059" TargetMode="External"/><Relationship Id="rId689" Type="http://schemas.openxmlformats.org/officeDocument/2006/relationships/hyperlink" Target="http://www.riss.kr/link?id=S115390" TargetMode="External"/><Relationship Id="rId896" Type="http://schemas.openxmlformats.org/officeDocument/2006/relationships/hyperlink" Target="http://www.riss.kr/link?id=S60895" TargetMode="External"/><Relationship Id="rId39" Type="http://schemas.openxmlformats.org/officeDocument/2006/relationships/hyperlink" Target="http://www.riss.kr/link?id=S13541" TargetMode="External"/><Relationship Id="rId451" Type="http://schemas.openxmlformats.org/officeDocument/2006/relationships/hyperlink" Target="http://www.riss.kr/link?id=S14875" TargetMode="External"/><Relationship Id="rId549" Type="http://schemas.openxmlformats.org/officeDocument/2006/relationships/hyperlink" Target="http://www.riss.kr/link?id=S416149" TargetMode="External"/><Relationship Id="rId756" Type="http://schemas.openxmlformats.org/officeDocument/2006/relationships/hyperlink" Target="http://www.riss.kr/link?id=S97926" TargetMode="External"/><Relationship Id="rId104" Type="http://schemas.openxmlformats.org/officeDocument/2006/relationships/hyperlink" Target="http://www.riss.kr/link?id=S31024384" TargetMode="External"/><Relationship Id="rId188" Type="http://schemas.openxmlformats.org/officeDocument/2006/relationships/hyperlink" Target="http://www.riss.kr/link?id=S13463" TargetMode="External"/><Relationship Id="rId311" Type="http://schemas.openxmlformats.org/officeDocument/2006/relationships/hyperlink" Target="http://www.riss.kr/link?id=S11584132" TargetMode="External"/><Relationship Id="rId395" Type="http://schemas.openxmlformats.org/officeDocument/2006/relationships/hyperlink" Target="http://www.riss.kr/link?id=S20013675" TargetMode="External"/><Relationship Id="rId409" Type="http://schemas.openxmlformats.org/officeDocument/2006/relationships/hyperlink" Target="http://www.riss.kr/link?id=S17499" TargetMode="External"/><Relationship Id="rId963" Type="http://schemas.openxmlformats.org/officeDocument/2006/relationships/hyperlink" Target="http://www.riss.kr/link?id=S104177" TargetMode="External"/><Relationship Id="rId92" Type="http://schemas.openxmlformats.org/officeDocument/2006/relationships/hyperlink" Target="http://www.riss.kr/link?id=S16751" TargetMode="External"/><Relationship Id="rId616" Type="http://schemas.openxmlformats.org/officeDocument/2006/relationships/hyperlink" Target="http://www.riss.kr/link?id=S21812" TargetMode="External"/><Relationship Id="rId823" Type="http://schemas.openxmlformats.org/officeDocument/2006/relationships/hyperlink" Target="http://www.riss.kr/link?id=S48402" TargetMode="External"/><Relationship Id="rId255" Type="http://schemas.openxmlformats.org/officeDocument/2006/relationships/hyperlink" Target="http://www.riss.kr/link?id=S411436" TargetMode="External"/><Relationship Id="rId462" Type="http://schemas.openxmlformats.org/officeDocument/2006/relationships/hyperlink" Target="http://www.riss.kr/link?id=S15596" TargetMode="External"/><Relationship Id="rId115" Type="http://schemas.openxmlformats.org/officeDocument/2006/relationships/hyperlink" Target="http://www.riss.kr/link?id=S16735" TargetMode="External"/><Relationship Id="rId322" Type="http://schemas.openxmlformats.org/officeDocument/2006/relationships/hyperlink" Target="http://www.riss.kr/link?id=S24433" TargetMode="External"/><Relationship Id="rId767" Type="http://schemas.openxmlformats.org/officeDocument/2006/relationships/hyperlink" Target="http://www.riss.kr/link?id=S15780" TargetMode="External"/><Relationship Id="rId974" Type="http://schemas.openxmlformats.org/officeDocument/2006/relationships/hyperlink" Target="http://www.riss.kr/link?id=S60985" TargetMode="External"/><Relationship Id="rId61" Type="http://schemas.openxmlformats.org/officeDocument/2006/relationships/hyperlink" Target="http://www.riss.kr/link?id=S406089" TargetMode="External"/><Relationship Id="rId199" Type="http://schemas.openxmlformats.org/officeDocument/2006/relationships/hyperlink" Target="http://www.riss.kr/link?id=S31014183" TargetMode="External"/><Relationship Id="rId571" Type="http://schemas.openxmlformats.org/officeDocument/2006/relationships/hyperlink" Target="http://www.riss.kr/link?id=S20010854" TargetMode="External"/><Relationship Id="rId627" Type="http://schemas.openxmlformats.org/officeDocument/2006/relationships/hyperlink" Target="http://www.riss.kr/link?id=S402100" TargetMode="External"/><Relationship Id="rId669" Type="http://schemas.openxmlformats.org/officeDocument/2006/relationships/hyperlink" Target="http://www.riss.kr/link?id=S20012913" TargetMode="External"/><Relationship Id="rId834" Type="http://schemas.openxmlformats.org/officeDocument/2006/relationships/hyperlink" Target="http://www.riss.kr/link?id=S45160" TargetMode="External"/><Relationship Id="rId876" Type="http://schemas.openxmlformats.org/officeDocument/2006/relationships/hyperlink" Target="http://www.riss.kr/link?id=S72786" TargetMode="External"/><Relationship Id="rId19" Type="http://schemas.openxmlformats.org/officeDocument/2006/relationships/hyperlink" Target="http://www.riss.kr/link?id=S115371" TargetMode="External"/><Relationship Id="rId224" Type="http://schemas.openxmlformats.org/officeDocument/2006/relationships/hyperlink" Target="http://www.riss.kr/link?id=S29847" TargetMode="External"/><Relationship Id="rId266" Type="http://schemas.openxmlformats.org/officeDocument/2006/relationships/hyperlink" Target="http://www.riss.kr/link?id=S64816" TargetMode="External"/><Relationship Id="rId431" Type="http://schemas.openxmlformats.org/officeDocument/2006/relationships/hyperlink" Target="http://www.riss.kr/link?id=S20404" TargetMode="External"/><Relationship Id="rId473" Type="http://schemas.openxmlformats.org/officeDocument/2006/relationships/hyperlink" Target="http://www.riss.kr/link?id=S16027" TargetMode="External"/><Relationship Id="rId529" Type="http://schemas.openxmlformats.org/officeDocument/2006/relationships/hyperlink" Target="http://www.riss.kr/link?id=S414541" TargetMode="External"/><Relationship Id="rId680" Type="http://schemas.openxmlformats.org/officeDocument/2006/relationships/hyperlink" Target="http://www.riss.kr/link?id=S15236" TargetMode="External"/><Relationship Id="rId736" Type="http://schemas.openxmlformats.org/officeDocument/2006/relationships/hyperlink" Target="http://www.riss.kr/link?id=S18502" TargetMode="External"/><Relationship Id="rId901" Type="http://schemas.openxmlformats.org/officeDocument/2006/relationships/hyperlink" Target="http://www.riss.kr/link?id=S19819" TargetMode="External"/><Relationship Id="rId30" Type="http://schemas.openxmlformats.org/officeDocument/2006/relationships/hyperlink" Target="http://www.riss.kr/link?id=S60413" TargetMode="External"/><Relationship Id="rId126" Type="http://schemas.openxmlformats.org/officeDocument/2006/relationships/hyperlink" Target="http://www.riss.kr/link?id=S5004" TargetMode="External"/><Relationship Id="rId168" Type="http://schemas.openxmlformats.org/officeDocument/2006/relationships/hyperlink" Target="http://www.riss.kr/link?id=S417181" TargetMode="External"/><Relationship Id="rId333" Type="http://schemas.openxmlformats.org/officeDocument/2006/relationships/hyperlink" Target="http://www.riss.kr/link?id=S30007669" TargetMode="External"/><Relationship Id="rId540" Type="http://schemas.openxmlformats.org/officeDocument/2006/relationships/hyperlink" Target="http://www.riss.kr/link?id=S90009813" TargetMode="External"/><Relationship Id="rId778" Type="http://schemas.openxmlformats.org/officeDocument/2006/relationships/hyperlink" Target="http://www.riss.kr/link?id=S115392" TargetMode="External"/><Relationship Id="rId943" Type="http://schemas.openxmlformats.org/officeDocument/2006/relationships/hyperlink" Target="http://www.riss.kr/link?id=S19719" TargetMode="External"/><Relationship Id="rId72" Type="http://schemas.openxmlformats.org/officeDocument/2006/relationships/hyperlink" Target="http://www.riss.kr/link?id=S28902" TargetMode="External"/><Relationship Id="rId375" Type="http://schemas.openxmlformats.org/officeDocument/2006/relationships/hyperlink" Target="http://www.riss.kr/link?id=S5099" TargetMode="External"/><Relationship Id="rId582" Type="http://schemas.openxmlformats.org/officeDocument/2006/relationships/hyperlink" Target="http://www.riss.kr/link?id=S13936" TargetMode="External"/><Relationship Id="rId638" Type="http://schemas.openxmlformats.org/officeDocument/2006/relationships/hyperlink" Target="http://www.riss.kr/link?id=S91311" TargetMode="External"/><Relationship Id="rId803" Type="http://schemas.openxmlformats.org/officeDocument/2006/relationships/hyperlink" Target="http://www.riss.kr/link?id=S30780" TargetMode="External"/><Relationship Id="rId845" Type="http://schemas.openxmlformats.org/officeDocument/2006/relationships/hyperlink" Target="http://www.riss.kr/link?id=S416895" TargetMode="External"/><Relationship Id="rId3" Type="http://schemas.openxmlformats.org/officeDocument/2006/relationships/hyperlink" Target="http://www.riss.kr/link?id=S405713" TargetMode="External"/><Relationship Id="rId235" Type="http://schemas.openxmlformats.org/officeDocument/2006/relationships/hyperlink" Target="http://www.riss.kr/link?id=S401504" TargetMode="External"/><Relationship Id="rId277" Type="http://schemas.openxmlformats.org/officeDocument/2006/relationships/hyperlink" Target="http://www.riss.kr/link?id=S410183" TargetMode="External"/><Relationship Id="rId400" Type="http://schemas.openxmlformats.org/officeDocument/2006/relationships/hyperlink" Target="http://www.riss.kr/link?id=S403985" TargetMode="External"/><Relationship Id="rId442" Type="http://schemas.openxmlformats.org/officeDocument/2006/relationships/hyperlink" Target="http://www.riss.kr/link?id=S17078" TargetMode="External"/><Relationship Id="rId484" Type="http://schemas.openxmlformats.org/officeDocument/2006/relationships/hyperlink" Target="http://www.riss.kr/link?id=S16895" TargetMode="External"/><Relationship Id="rId705" Type="http://schemas.openxmlformats.org/officeDocument/2006/relationships/hyperlink" Target="http://www.riss.kr/link?id=S15907" TargetMode="External"/><Relationship Id="rId887" Type="http://schemas.openxmlformats.org/officeDocument/2006/relationships/hyperlink" Target="http://www.riss.kr/link?id=S60956" TargetMode="External"/><Relationship Id="rId137" Type="http://schemas.openxmlformats.org/officeDocument/2006/relationships/hyperlink" Target="http://www.riss.kr/link?id=S416689" TargetMode="External"/><Relationship Id="rId302" Type="http://schemas.openxmlformats.org/officeDocument/2006/relationships/hyperlink" Target="http://www.riss.kr/link?id=S20022179" TargetMode="External"/><Relationship Id="rId344" Type="http://schemas.openxmlformats.org/officeDocument/2006/relationships/hyperlink" Target="http://www.riss.kr/link?id=S12876" TargetMode="External"/><Relationship Id="rId691" Type="http://schemas.openxmlformats.org/officeDocument/2006/relationships/hyperlink" Target="http://www.riss.kr/link?id=S407287" TargetMode="External"/><Relationship Id="rId747" Type="http://schemas.openxmlformats.org/officeDocument/2006/relationships/hyperlink" Target="http://www.riss.kr/link?id=S29694" TargetMode="External"/><Relationship Id="rId789" Type="http://schemas.openxmlformats.org/officeDocument/2006/relationships/hyperlink" Target="http://www.riss.kr/link?id=S25143" TargetMode="External"/><Relationship Id="rId912" Type="http://schemas.openxmlformats.org/officeDocument/2006/relationships/hyperlink" Target="http://www.riss.kr/link?id=S417133" TargetMode="External"/><Relationship Id="rId954" Type="http://schemas.openxmlformats.org/officeDocument/2006/relationships/hyperlink" Target="http://www.riss.kr/link?id=S104126" TargetMode="External"/><Relationship Id="rId41" Type="http://schemas.openxmlformats.org/officeDocument/2006/relationships/hyperlink" Target="http://www.riss.kr/link?id=S17586" TargetMode="External"/><Relationship Id="rId83" Type="http://schemas.openxmlformats.org/officeDocument/2006/relationships/hyperlink" Target="http://www.riss.kr/link?id=S115393" TargetMode="External"/><Relationship Id="rId179" Type="http://schemas.openxmlformats.org/officeDocument/2006/relationships/hyperlink" Target="http://www.riss.kr/link?id=S15001" TargetMode="External"/><Relationship Id="rId386" Type="http://schemas.openxmlformats.org/officeDocument/2006/relationships/hyperlink" Target="http://www.riss.kr/link?id=S12896" TargetMode="External"/><Relationship Id="rId551" Type="http://schemas.openxmlformats.org/officeDocument/2006/relationships/hyperlink" Target="http://www.riss.kr/link?id=S410619" TargetMode="External"/><Relationship Id="rId593" Type="http://schemas.openxmlformats.org/officeDocument/2006/relationships/hyperlink" Target="http://www.riss.kr/link?id=S103468" TargetMode="External"/><Relationship Id="rId607" Type="http://schemas.openxmlformats.org/officeDocument/2006/relationships/hyperlink" Target="http://www.riss.kr/link?id=S20888" TargetMode="External"/><Relationship Id="rId649" Type="http://schemas.openxmlformats.org/officeDocument/2006/relationships/hyperlink" Target="http://www.riss.kr/link?id=S413600" TargetMode="External"/><Relationship Id="rId814" Type="http://schemas.openxmlformats.org/officeDocument/2006/relationships/hyperlink" Target="http://www.riss.kr/link?id=S31658" TargetMode="External"/><Relationship Id="rId856" Type="http://schemas.openxmlformats.org/officeDocument/2006/relationships/hyperlink" Target="http://www.riss.kr/link?id=S115750" TargetMode="External"/><Relationship Id="rId190" Type="http://schemas.openxmlformats.org/officeDocument/2006/relationships/hyperlink" Target="http://www.riss.kr/link?id=S16220" TargetMode="External"/><Relationship Id="rId204" Type="http://schemas.openxmlformats.org/officeDocument/2006/relationships/hyperlink" Target="http://www.riss.kr/link?id=S14978" TargetMode="External"/><Relationship Id="rId246" Type="http://schemas.openxmlformats.org/officeDocument/2006/relationships/hyperlink" Target="http://www.riss.kr/link?id=S15740" TargetMode="External"/><Relationship Id="rId288" Type="http://schemas.openxmlformats.org/officeDocument/2006/relationships/hyperlink" Target="http://www.riss.kr/link?id=S60845" TargetMode="External"/><Relationship Id="rId411" Type="http://schemas.openxmlformats.org/officeDocument/2006/relationships/hyperlink" Target="http://www.riss.kr/link?id=S13468" TargetMode="External"/><Relationship Id="rId453" Type="http://schemas.openxmlformats.org/officeDocument/2006/relationships/hyperlink" Target="http://www.riss.kr/link?id=S28842" TargetMode="External"/><Relationship Id="rId509" Type="http://schemas.openxmlformats.org/officeDocument/2006/relationships/hyperlink" Target="http://www.riss.kr/link?id=S17471" TargetMode="External"/><Relationship Id="rId660" Type="http://schemas.openxmlformats.org/officeDocument/2006/relationships/hyperlink" Target="http://www.riss.kr/link?id=S5102" TargetMode="External"/><Relationship Id="rId898" Type="http://schemas.openxmlformats.org/officeDocument/2006/relationships/hyperlink" Target="http://www.riss.kr/link?id=S19712" TargetMode="External"/><Relationship Id="rId106" Type="http://schemas.openxmlformats.org/officeDocument/2006/relationships/hyperlink" Target="http://www.riss.kr/link?id=S16980" TargetMode="External"/><Relationship Id="rId313" Type="http://schemas.openxmlformats.org/officeDocument/2006/relationships/hyperlink" Target="http://www.riss.kr/link?id=S61263" TargetMode="External"/><Relationship Id="rId495" Type="http://schemas.openxmlformats.org/officeDocument/2006/relationships/hyperlink" Target="http://www.riss.kr/link?id=S16019" TargetMode="External"/><Relationship Id="rId716" Type="http://schemas.openxmlformats.org/officeDocument/2006/relationships/hyperlink" Target="http://www.riss.kr/link?id=S22287" TargetMode="External"/><Relationship Id="rId758" Type="http://schemas.openxmlformats.org/officeDocument/2006/relationships/hyperlink" Target="http://www.riss.kr/link?id=S30006830" TargetMode="External"/><Relationship Id="rId923" Type="http://schemas.openxmlformats.org/officeDocument/2006/relationships/hyperlink" Target="http://www.riss.kr/link?id=S417126" TargetMode="External"/><Relationship Id="rId965" Type="http://schemas.openxmlformats.org/officeDocument/2006/relationships/hyperlink" Target="http://www.riss.kr/link?id=S20085282" TargetMode="External"/><Relationship Id="rId10" Type="http://schemas.openxmlformats.org/officeDocument/2006/relationships/hyperlink" Target="http://www.riss.kr/link?id=S18823" TargetMode="External"/><Relationship Id="rId52" Type="http://schemas.openxmlformats.org/officeDocument/2006/relationships/hyperlink" Target="http://www.riss.kr/link?id=S17339" TargetMode="External"/><Relationship Id="rId94" Type="http://schemas.openxmlformats.org/officeDocument/2006/relationships/hyperlink" Target="http://www.riss.kr/link?id=S31020998" TargetMode="External"/><Relationship Id="rId148" Type="http://schemas.openxmlformats.org/officeDocument/2006/relationships/hyperlink" Target="http://www.riss.kr/link?id=S17549" TargetMode="External"/><Relationship Id="rId355" Type="http://schemas.openxmlformats.org/officeDocument/2006/relationships/hyperlink" Target="http://www.riss.kr/link?id=S14353" TargetMode="External"/><Relationship Id="rId397" Type="http://schemas.openxmlformats.org/officeDocument/2006/relationships/hyperlink" Target="http://www.riss.kr/link?id=S14006" TargetMode="External"/><Relationship Id="rId520" Type="http://schemas.openxmlformats.org/officeDocument/2006/relationships/hyperlink" Target="http://www.riss.kr/link?id=S418445" TargetMode="External"/><Relationship Id="rId562" Type="http://schemas.openxmlformats.org/officeDocument/2006/relationships/hyperlink" Target="http://www.riss.kr/link?id=S20345" TargetMode="External"/><Relationship Id="rId618" Type="http://schemas.openxmlformats.org/officeDocument/2006/relationships/hyperlink" Target="http://www.riss.kr/link?id=S30000694" TargetMode="External"/><Relationship Id="rId825" Type="http://schemas.openxmlformats.org/officeDocument/2006/relationships/hyperlink" Target="http://www.riss.kr/link?id=S40376" TargetMode="External"/><Relationship Id="rId215" Type="http://schemas.openxmlformats.org/officeDocument/2006/relationships/hyperlink" Target="http://www.riss.kr/link?id=S36561" TargetMode="External"/><Relationship Id="rId257" Type="http://schemas.openxmlformats.org/officeDocument/2006/relationships/hyperlink" Target="http://www.riss.kr/link?id=S404178" TargetMode="External"/><Relationship Id="rId422" Type="http://schemas.openxmlformats.org/officeDocument/2006/relationships/hyperlink" Target="http://www.riss.kr/link?id=S16063" TargetMode="External"/><Relationship Id="rId464" Type="http://schemas.openxmlformats.org/officeDocument/2006/relationships/hyperlink" Target="http://www.riss.kr/link?id=S61982" TargetMode="External"/><Relationship Id="rId867" Type="http://schemas.openxmlformats.org/officeDocument/2006/relationships/hyperlink" Target="http://www.riss.kr/link?id=S6194" TargetMode="External"/><Relationship Id="rId299" Type="http://schemas.openxmlformats.org/officeDocument/2006/relationships/hyperlink" Target="http://www.riss.kr/link?id=S413557" TargetMode="External"/><Relationship Id="rId727" Type="http://schemas.openxmlformats.org/officeDocument/2006/relationships/hyperlink" Target="http://www.riss.kr/link?id=S415890" TargetMode="External"/><Relationship Id="rId934" Type="http://schemas.openxmlformats.org/officeDocument/2006/relationships/hyperlink" Target="http://www.riss.kr/link?id=S35910" TargetMode="External"/><Relationship Id="rId63" Type="http://schemas.openxmlformats.org/officeDocument/2006/relationships/hyperlink" Target="http://www.riss.kr/link?id=S15429" TargetMode="External"/><Relationship Id="rId159" Type="http://schemas.openxmlformats.org/officeDocument/2006/relationships/hyperlink" Target="http://www.riss.kr/link?id=S12733" TargetMode="External"/><Relationship Id="rId366" Type="http://schemas.openxmlformats.org/officeDocument/2006/relationships/hyperlink" Target="http://www.riss.kr/link?id=S416697" TargetMode="External"/><Relationship Id="rId573" Type="http://schemas.openxmlformats.org/officeDocument/2006/relationships/hyperlink" Target="http://www.riss.kr/link?id=S12901" TargetMode="External"/><Relationship Id="rId780" Type="http://schemas.openxmlformats.org/officeDocument/2006/relationships/hyperlink" Target="http://www.riss.kr/link?id=S24586" TargetMode="External"/><Relationship Id="rId226" Type="http://schemas.openxmlformats.org/officeDocument/2006/relationships/hyperlink" Target="http://www.riss.kr/link?id=S48034" TargetMode="External"/><Relationship Id="rId433" Type="http://schemas.openxmlformats.org/officeDocument/2006/relationships/hyperlink" Target="http://www.riss.kr/link?id=S12745" TargetMode="External"/><Relationship Id="rId878" Type="http://schemas.openxmlformats.org/officeDocument/2006/relationships/hyperlink" Target="http://www.riss.kr/link?id=S20084641" TargetMode="External"/><Relationship Id="rId640" Type="http://schemas.openxmlformats.org/officeDocument/2006/relationships/hyperlink" Target="http://www.riss.kr/link?id=S15519" TargetMode="External"/><Relationship Id="rId738" Type="http://schemas.openxmlformats.org/officeDocument/2006/relationships/hyperlink" Target="http://www.riss.kr/link?id=S15785" TargetMode="External"/><Relationship Id="rId945" Type="http://schemas.openxmlformats.org/officeDocument/2006/relationships/hyperlink" Target="http://www.riss.kr/link?id=S116014" TargetMode="External"/><Relationship Id="rId74" Type="http://schemas.openxmlformats.org/officeDocument/2006/relationships/hyperlink" Target="http://www.riss.kr/link?id=S15489" TargetMode="External"/><Relationship Id="rId377" Type="http://schemas.openxmlformats.org/officeDocument/2006/relationships/hyperlink" Target="http://www.riss.kr/link?id=S61275" TargetMode="External"/><Relationship Id="rId500" Type="http://schemas.openxmlformats.org/officeDocument/2006/relationships/hyperlink" Target="http://www.riss.kr/link?id=S71144" TargetMode="External"/><Relationship Id="rId584" Type="http://schemas.openxmlformats.org/officeDocument/2006/relationships/hyperlink" Target="http://www.riss.kr/link?id=S17042" TargetMode="External"/><Relationship Id="rId805" Type="http://schemas.openxmlformats.org/officeDocument/2006/relationships/hyperlink" Target="http://www.riss.kr/link?id=S64125" TargetMode="External"/><Relationship Id="rId5" Type="http://schemas.openxmlformats.org/officeDocument/2006/relationships/hyperlink" Target="http://www.riss.kr/link?id=S38813" TargetMode="External"/><Relationship Id="rId237" Type="http://schemas.openxmlformats.org/officeDocument/2006/relationships/hyperlink" Target="http://www.riss.kr/link?id=S21270" TargetMode="External"/><Relationship Id="rId791" Type="http://schemas.openxmlformats.org/officeDocument/2006/relationships/hyperlink" Target="http://www.riss.kr/link?id=S20190" TargetMode="External"/><Relationship Id="rId889" Type="http://schemas.openxmlformats.org/officeDocument/2006/relationships/hyperlink" Target="http://www.riss.kr/link?id=S31000567" TargetMode="External"/><Relationship Id="rId444" Type="http://schemas.openxmlformats.org/officeDocument/2006/relationships/hyperlink" Target="http://www.riss.kr/link?id=S10522" TargetMode="External"/><Relationship Id="rId651" Type="http://schemas.openxmlformats.org/officeDocument/2006/relationships/hyperlink" Target="http://www.riss.kr/link?id=S11574962" TargetMode="External"/><Relationship Id="rId749" Type="http://schemas.openxmlformats.org/officeDocument/2006/relationships/hyperlink" Target="http://www.riss.kr/link?id=S79897" TargetMode="External"/><Relationship Id="rId290" Type="http://schemas.openxmlformats.org/officeDocument/2006/relationships/hyperlink" Target="http://www.riss.kr/link?id=S16091" TargetMode="External"/><Relationship Id="rId304" Type="http://schemas.openxmlformats.org/officeDocument/2006/relationships/hyperlink" Target="http://www.riss.kr/link?id=S45402" TargetMode="External"/><Relationship Id="rId388" Type="http://schemas.openxmlformats.org/officeDocument/2006/relationships/hyperlink" Target="http://www.riss.kr/link?id=S90023890" TargetMode="External"/><Relationship Id="rId511" Type="http://schemas.openxmlformats.org/officeDocument/2006/relationships/hyperlink" Target="http://www.riss.kr/link?id=S418638" TargetMode="External"/><Relationship Id="rId609" Type="http://schemas.openxmlformats.org/officeDocument/2006/relationships/hyperlink" Target="http://www.riss.kr/link?id=S103925" TargetMode="External"/><Relationship Id="rId956" Type="http://schemas.openxmlformats.org/officeDocument/2006/relationships/hyperlink" Target="http://www.riss.kr/link?id=S104127" TargetMode="External"/><Relationship Id="rId85" Type="http://schemas.openxmlformats.org/officeDocument/2006/relationships/hyperlink" Target="http://www.riss.kr/link?id=S115373" TargetMode="External"/><Relationship Id="rId150" Type="http://schemas.openxmlformats.org/officeDocument/2006/relationships/hyperlink" Target="http://www.riss.kr/link?id=S418984" TargetMode="External"/><Relationship Id="rId595" Type="http://schemas.openxmlformats.org/officeDocument/2006/relationships/hyperlink" Target="http://www.riss.kr/link?id=S103490" TargetMode="External"/><Relationship Id="rId816" Type="http://schemas.openxmlformats.org/officeDocument/2006/relationships/hyperlink" Target="http://www.riss.kr/link?id=S36945" TargetMode="External"/><Relationship Id="rId248" Type="http://schemas.openxmlformats.org/officeDocument/2006/relationships/hyperlink" Target="http://www.riss.kr/link?id=S103354" TargetMode="External"/><Relationship Id="rId455" Type="http://schemas.openxmlformats.org/officeDocument/2006/relationships/hyperlink" Target="http://www.riss.kr/link?id=S58111" TargetMode="External"/><Relationship Id="rId662" Type="http://schemas.openxmlformats.org/officeDocument/2006/relationships/hyperlink" Target="http://www.riss.kr/link?id=S11575494" TargetMode="External"/><Relationship Id="rId12" Type="http://schemas.openxmlformats.org/officeDocument/2006/relationships/hyperlink" Target="http://www.riss.kr/link?id=S50310" TargetMode="External"/><Relationship Id="rId108" Type="http://schemas.openxmlformats.org/officeDocument/2006/relationships/hyperlink" Target="http://www.riss.kr/link?id=S60873" TargetMode="External"/><Relationship Id="rId315" Type="http://schemas.openxmlformats.org/officeDocument/2006/relationships/hyperlink" Target="http://www.riss.kr/link?id=S417119" TargetMode="External"/><Relationship Id="rId522" Type="http://schemas.openxmlformats.org/officeDocument/2006/relationships/hyperlink" Target="http://www.riss.kr/link?id=S115382" TargetMode="External"/><Relationship Id="rId967" Type="http://schemas.openxmlformats.org/officeDocument/2006/relationships/hyperlink" Target="http://www.riss.kr/link?id=S60888" TargetMode="External"/><Relationship Id="rId96" Type="http://schemas.openxmlformats.org/officeDocument/2006/relationships/hyperlink" Target="http://www.riss.kr/link?id=S6860" TargetMode="External"/><Relationship Id="rId161" Type="http://schemas.openxmlformats.org/officeDocument/2006/relationships/hyperlink" Target="http://www.riss.kr/link?id=S410926" TargetMode="External"/><Relationship Id="rId399" Type="http://schemas.openxmlformats.org/officeDocument/2006/relationships/hyperlink" Target="http://www.riss.kr/link?id=S20010539" TargetMode="External"/><Relationship Id="rId827" Type="http://schemas.openxmlformats.org/officeDocument/2006/relationships/hyperlink" Target="http://www.riss.kr/link?id=S20068215" TargetMode="External"/><Relationship Id="rId259" Type="http://schemas.openxmlformats.org/officeDocument/2006/relationships/hyperlink" Target="http://www.riss.kr/link?id=S418665" TargetMode="External"/><Relationship Id="rId466" Type="http://schemas.openxmlformats.org/officeDocument/2006/relationships/hyperlink" Target="http://www.riss.kr/link?id=S17257" TargetMode="External"/><Relationship Id="rId673" Type="http://schemas.openxmlformats.org/officeDocument/2006/relationships/hyperlink" Target="http://www.riss.kr/link?id=S415705" TargetMode="External"/><Relationship Id="rId880" Type="http://schemas.openxmlformats.org/officeDocument/2006/relationships/hyperlink" Target="http://www.riss.kr/link?id=S60960" TargetMode="External"/><Relationship Id="rId23" Type="http://schemas.openxmlformats.org/officeDocument/2006/relationships/hyperlink" Target="http://www.riss.kr/link?id=S415162" TargetMode="External"/><Relationship Id="rId119" Type="http://schemas.openxmlformats.org/officeDocument/2006/relationships/hyperlink" Target="http://www.riss.kr/link?id=S409678" TargetMode="External"/><Relationship Id="rId326" Type="http://schemas.openxmlformats.org/officeDocument/2006/relationships/hyperlink" Target="http://www.riss.kr/link?id=S14962" TargetMode="External"/><Relationship Id="rId533" Type="http://schemas.openxmlformats.org/officeDocument/2006/relationships/hyperlink" Target="http://www.riss.kr/link?id=S85996" TargetMode="External"/><Relationship Id="rId978" Type="http://schemas.openxmlformats.org/officeDocument/2006/relationships/hyperlink" Target="http://www.riss.kr/link?id=S40112" TargetMode="External"/><Relationship Id="rId740" Type="http://schemas.openxmlformats.org/officeDocument/2006/relationships/hyperlink" Target="http://www.riss.kr/link?id=S12402" TargetMode="External"/><Relationship Id="rId838" Type="http://schemas.openxmlformats.org/officeDocument/2006/relationships/hyperlink" Target="http://www.riss.kr/link?id=S25096" TargetMode="External"/><Relationship Id="rId172" Type="http://schemas.openxmlformats.org/officeDocument/2006/relationships/hyperlink" Target="http://www.riss.kr/link?id=S115376" TargetMode="External"/><Relationship Id="rId477" Type="http://schemas.openxmlformats.org/officeDocument/2006/relationships/hyperlink" Target="http://www.riss.kr/link?id=S43758" TargetMode="External"/><Relationship Id="rId600" Type="http://schemas.openxmlformats.org/officeDocument/2006/relationships/hyperlink" Target="http://www.riss.kr/link?id=S15959" TargetMode="External"/><Relationship Id="rId684" Type="http://schemas.openxmlformats.org/officeDocument/2006/relationships/hyperlink" Target="http://www.riss.kr/link?id=S11640555" TargetMode="External"/><Relationship Id="rId337" Type="http://schemas.openxmlformats.org/officeDocument/2006/relationships/hyperlink" Target="http://www.riss.kr/link?id=S38215" TargetMode="External"/><Relationship Id="rId891" Type="http://schemas.openxmlformats.org/officeDocument/2006/relationships/hyperlink" Target="http://www.riss.kr/link?id=S70667" TargetMode="External"/><Relationship Id="rId905" Type="http://schemas.openxmlformats.org/officeDocument/2006/relationships/hyperlink" Target="http://www.riss.kr/link?id=S411233" TargetMode="External"/><Relationship Id="rId34" Type="http://schemas.openxmlformats.org/officeDocument/2006/relationships/hyperlink" Target="http://www.riss.kr/link?id=S17589" TargetMode="External"/><Relationship Id="rId544" Type="http://schemas.openxmlformats.org/officeDocument/2006/relationships/hyperlink" Target="http://www.riss.kr/link?id=S31001902" TargetMode="External"/><Relationship Id="rId751" Type="http://schemas.openxmlformats.org/officeDocument/2006/relationships/hyperlink" Target="http://www.riss.kr/link?id=S21690" TargetMode="External"/><Relationship Id="rId849" Type="http://schemas.openxmlformats.org/officeDocument/2006/relationships/hyperlink" Target="http://www.riss.kr/link?id=S19714" TargetMode="External"/><Relationship Id="rId183" Type="http://schemas.openxmlformats.org/officeDocument/2006/relationships/hyperlink" Target="http://www.riss.kr/link?id=S7094" TargetMode="External"/><Relationship Id="rId390" Type="http://schemas.openxmlformats.org/officeDocument/2006/relationships/hyperlink" Target="http://www.riss.kr/link?id=S21147" TargetMode="External"/><Relationship Id="rId404" Type="http://schemas.openxmlformats.org/officeDocument/2006/relationships/hyperlink" Target="http://www.riss.kr/link?id=S31027708" TargetMode="External"/><Relationship Id="rId611" Type="http://schemas.openxmlformats.org/officeDocument/2006/relationships/hyperlink" Target="http://www.riss.kr/link?id=S20010735" TargetMode="External"/><Relationship Id="rId250" Type="http://schemas.openxmlformats.org/officeDocument/2006/relationships/hyperlink" Target="http://www.riss.kr/link?id=S11574570" TargetMode="External"/><Relationship Id="rId488" Type="http://schemas.openxmlformats.org/officeDocument/2006/relationships/hyperlink" Target="http://www.riss.kr/link?id=S403110" TargetMode="External"/><Relationship Id="rId695" Type="http://schemas.openxmlformats.org/officeDocument/2006/relationships/hyperlink" Target="http://www.riss.kr/link?id=S20011380" TargetMode="External"/><Relationship Id="rId709" Type="http://schemas.openxmlformats.org/officeDocument/2006/relationships/hyperlink" Target="http://www.riss.kr/link?id=S16479" TargetMode="External"/><Relationship Id="rId916" Type="http://schemas.openxmlformats.org/officeDocument/2006/relationships/hyperlink" Target="http://www.riss.kr/link?id=S37341" TargetMode="External"/><Relationship Id="rId45" Type="http://schemas.openxmlformats.org/officeDocument/2006/relationships/hyperlink" Target="http://www.riss.kr/link?id=S407270" TargetMode="External"/><Relationship Id="rId110" Type="http://schemas.openxmlformats.org/officeDocument/2006/relationships/hyperlink" Target="http://www.riss.kr/link?id=S17329" TargetMode="External"/><Relationship Id="rId348" Type="http://schemas.openxmlformats.org/officeDocument/2006/relationships/hyperlink" Target="http://www.riss.kr/link?id=S60908" TargetMode="External"/><Relationship Id="rId555" Type="http://schemas.openxmlformats.org/officeDocument/2006/relationships/hyperlink" Target="http://www.riss.kr/link?id=S115386" TargetMode="External"/><Relationship Id="rId762" Type="http://schemas.openxmlformats.org/officeDocument/2006/relationships/hyperlink" Target="http://www.riss.kr/link?id=S104898" TargetMode="External"/><Relationship Id="rId194" Type="http://schemas.openxmlformats.org/officeDocument/2006/relationships/hyperlink" Target="http://www.riss.kr/link?id=S23513" TargetMode="External"/><Relationship Id="rId208" Type="http://schemas.openxmlformats.org/officeDocument/2006/relationships/hyperlink" Target="http://www.riss.kr/link?id=S104991" TargetMode="External"/><Relationship Id="rId415" Type="http://schemas.openxmlformats.org/officeDocument/2006/relationships/hyperlink" Target="http://www.riss.kr/link?id=S16389" TargetMode="External"/><Relationship Id="rId622" Type="http://schemas.openxmlformats.org/officeDocument/2006/relationships/hyperlink" Target="http://www.riss.kr/link?id=S17357" TargetMode="External"/><Relationship Id="rId261" Type="http://schemas.openxmlformats.org/officeDocument/2006/relationships/hyperlink" Target="http://www.riss.kr/link?id=S15737" TargetMode="External"/><Relationship Id="rId499" Type="http://schemas.openxmlformats.org/officeDocument/2006/relationships/hyperlink" Target="http://www.riss.kr/link?id=S416735" TargetMode="External"/><Relationship Id="rId927" Type="http://schemas.openxmlformats.org/officeDocument/2006/relationships/hyperlink" Target="http://www.riss.kr/link?id=S63124" TargetMode="External"/><Relationship Id="rId56" Type="http://schemas.openxmlformats.org/officeDocument/2006/relationships/hyperlink" Target="http://www.riss.kr/link?id=S400756" TargetMode="External"/><Relationship Id="rId359" Type="http://schemas.openxmlformats.org/officeDocument/2006/relationships/hyperlink" Target="http://www.riss.kr/link?id=S87729" TargetMode="External"/><Relationship Id="rId566" Type="http://schemas.openxmlformats.org/officeDocument/2006/relationships/hyperlink" Target="http://www.riss.kr/link?id=S404171" TargetMode="External"/><Relationship Id="rId773" Type="http://schemas.openxmlformats.org/officeDocument/2006/relationships/hyperlink" Target="http://www.riss.kr/link?id=S413415" TargetMode="External"/><Relationship Id="rId121" Type="http://schemas.openxmlformats.org/officeDocument/2006/relationships/hyperlink" Target="http://www.riss.kr/link?id=S410933" TargetMode="External"/><Relationship Id="rId219" Type="http://schemas.openxmlformats.org/officeDocument/2006/relationships/hyperlink" Target="http://www.riss.kr/link?id=S16697" TargetMode="External"/><Relationship Id="rId426" Type="http://schemas.openxmlformats.org/officeDocument/2006/relationships/hyperlink" Target="http://www.riss.kr/link?id=S17267" TargetMode="External"/><Relationship Id="rId633" Type="http://schemas.openxmlformats.org/officeDocument/2006/relationships/hyperlink" Target="http://www.riss.kr/link?id=S403964" TargetMode="External"/><Relationship Id="rId840" Type="http://schemas.openxmlformats.org/officeDocument/2006/relationships/hyperlink" Target="http://www.riss.kr/link?id=S19748" TargetMode="External"/><Relationship Id="rId938" Type="http://schemas.openxmlformats.org/officeDocument/2006/relationships/hyperlink" Target="http://www.riss.kr/link?id=S43977" TargetMode="External"/><Relationship Id="rId67" Type="http://schemas.openxmlformats.org/officeDocument/2006/relationships/hyperlink" Target="http://www.riss.kr/link?id=S15430" TargetMode="External"/><Relationship Id="rId272" Type="http://schemas.openxmlformats.org/officeDocument/2006/relationships/hyperlink" Target="http://www.riss.kr/link?id=S16097" TargetMode="External"/><Relationship Id="rId577" Type="http://schemas.openxmlformats.org/officeDocument/2006/relationships/hyperlink" Target="http://www.riss.kr/link?id=S16546" TargetMode="External"/><Relationship Id="rId700" Type="http://schemas.openxmlformats.org/officeDocument/2006/relationships/hyperlink" Target="http://www.riss.kr/link?id=S407398" TargetMode="External"/><Relationship Id="rId132" Type="http://schemas.openxmlformats.org/officeDocument/2006/relationships/hyperlink" Target="http://www.riss.kr/link?id=S17133" TargetMode="External"/><Relationship Id="rId784" Type="http://schemas.openxmlformats.org/officeDocument/2006/relationships/hyperlink" Target="http://www.riss.kr/link?id=S60910" TargetMode="External"/><Relationship Id="rId437" Type="http://schemas.openxmlformats.org/officeDocument/2006/relationships/hyperlink" Target="http://www.riss.kr/link?id=S16056" TargetMode="External"/><Relationship Id="rId644" Type="http://schemas.openxmlformats.org/officeDocument/2006/relationships/hyperlink" Target="http://www.riss.kr/link?id=S15933" TargetMode="External"/><Relationship Id="rId851" Type="http://schemas.openxmlformats.org/officeDocument/2006/relationships/hyperlink" Target="http://www.riss.kr/link?id=S87108" TargetMode="External"/><Relationship Id="rId283" Type="http://schemas.openxmlformats.org/officeDocument/2006/relationships/hyperlink" Target="http://www.riss.kr/link?id=S20374" TargetMode="External"/><Relationship Id="rId490" Type="http://schemas.openxmlformats.org/officeDocument/2006/relationships/hyperlink" Target="http://www.riss.kr/link?id=S87400" TargetMode="External"/><Relationship Id="rId504" Type="http://schemas.openxmlformats.org/officeDocument/2006/relationships/hyperlink" Target="http://www.riss.kr/link?id=S15590" TargetMode="External"/><Relationship Id="rId711" Type="http://schemas.openxmlformats.org/officeDocument/2006/relationships/hyperlink" Target="http://www.riss.kr/link?id=S42967" TargetMode="External"/><Relationship Id="rId949" Type="http://schemas.openxmlformats.org/officeDocument/2006/relationships/hyperlink" Target="http://www.riss.kr/link?id=S85459" TargetMode="External"/><Relationship Id="rId78" Type="http://schemas.openxmlformats.org/officeDocument/2006/relationships/hyperlink" Target="http://www.riss.kr/link?id=S12866" TargetMode="External"/><Relationship Id="rId143" Type="http://schemas.openxmlformats.org/officeDocument/2006/relationships/hyperlink" Target="http://www.riss.kr/link?id=S418044" TargetMode="External"/><Relationship Id="rId350" Type="http://schemas.openxmlformats.org/officeDocument/2006/relationships/hyperlink" Target="http://www.riss.kr/link?id=S80605" TargetMode="External"/><Relationship Id="rId588" Type="http://schemas.openxmlformats.org/officeDocument/2006/relationships/hyperlink" Target="http://www.riss.kr/link?id=S60691" TargetMode="External"/><Relationship Id="rId795" Type="http://schemas.openxmlformats.org/officeDocument/2006/relationships/hyperlink" Target="http://www.riss.kr/link?id=S144775" TargetMode="External"/><Relationship Id="rId809" Type="http://schemas.openxmlformats.org/officeDocument/2006/relationships/hyperlink" Target="http://www.riss.kr/link?id=S104265" TargetMode="External"/><Relationship Id="rId9" Type="http://schemas.openxmlformats.org/officeDocument/2006/relationships/hyperlink" Target="http://www.riss.kr/link?id=S18822" TargetMode="External"/><Relationship Id="rId210" Type="http://schemas.openxmlformats.org/officeDocument/2006/relationships/hyperlink" Target="http://www.riss.kr/link?id=S416807" TargetMode="External"/><Relationship Id="rId448" Type="http://schemas.openxmlformats.org/officeDocument/2006/relationships/hyperlink" Target="http://www.riss.kr/link?id=S14916" TargetMode="External"/><Relationship Id="rId655" Type="http://schemas.openxmlformats.org/officeDocument/2006/relationships/hyperlink" Target="http://www.riss.kr/link?id=S410797" TargetMode="External"/><Relationship Id="rId862" Type="http://schemas.openxmlformats.org/officeDocument/2006/relationships/hyperlink" Target="http://www.riss.kr/link?id=S115754" TargetMode="External"/><Relationship Id="rId294" Type="http://schemas.openxmlformats.org/officeDocument/2006/relationships/hyperlink" Target="http://www.riss.kr/link?id=S407942" TargetMode="External"/><Relationship Id="rId308" Type="http://schemas.openxmlformats.org/officeDocument/2006/relationships/hyperlink" Target="http://www.riss.kr/link?id=S38346" TargetMode="External"/><Relationship Id="rId515" Type="http://schemas.openxmlformats.org/officeDocument/2006/relationships/hyperlink" Target="http://www.riss.kr/link?id=S16015" TargetMode="External"/><Relationship Id="rId722" Type="http://schemas.openxmlformats.org/officeDocument/2006/relationships/hyperlink" Target="http://www.riss.kr/link?id=S30007494" TargetMode="External"/><Relationship Id="rId89" Type="http://schemas.openxmlformats.org/officeDocument/2006/relationships/hyperlink" Target="http://www.riss.kr/link?id=S410185" TargetMode="External"/><Relationship Id="rId154" Type="http://schemas.openxmlformats.org/officeDocument/2006/relationships/hyperlink" Target="http://www.riss.kr/link?id=S405626" TargetMode="External"/><Relationship Id="rId361" Type="http://schemas.openxmlformats.org/officeDocument/2006/relationships/hyperlink" Target="http://www.riss.kr/link?id=S16072" TargetMode="External"/><Relationship Id="rId599" Type="http://schemas.openxmlformats.org/officeDocument/2006/relationships/hyperlink" Target="http://www.riss.kr/link?id=S20881" TargetMode="External"/><Relationship Id="rId459" Type="http://schemas.openxmlformats.org/officeDocument/2006/relationships/hyperlink" Target="http://www.riss.kr/link?id=S90006683" TargetMode="External"/><Relationship Id="rId666" Type="http://schemas.openxmlformats.org/officeDocument/2006/relationships/hyperlink" Target="http://www.riss.kr/link?id=S409282" TargetMode="External"/><Relationship Id="rId873" Type="http://schemas.openxmlformats.org/officeDocument/2006/relationships/hyperlink" Target="http://www.riss.kr/link?id=S60898" TargetMode="External"/><Relationship Id="rId16" Type="http://schemas.openxmlformats.org/officeDocument/2006/relationships/hyperlink" Target="http://www.riss.kr/link?id=S90019138" TargetMode="External"/><Relationship Id="rId221" Type="http://schemas.openxmlformats.org/officeDocument/2006/relationships/hyperlink" Target="http://www.riss.kr/link?id=S23469" TargetMode="External"/><Relationship Id="rId319" Type="http://schemas.openxmlformats.org/officeDocument/2006/relationships/hyperlink" Target="http://www.riss.kr/link?id=S104527" TargetMode="External"/><Relationship Id="rId526" Type="http://schemas.openxmlformats.org/officeDocument/2006/relationships/hyperlink" Target="http://www.riss.kr/link?id=S16627" TargetMode="External"/><Relationship Id="rId733" Type="http://schemas.openxmlformats.org/officeDocument/2006/relationships/hyperlink" Target="http://www.riss.kr/link?id=S411666" TargetMode="External"/><Relationship Id="rId940" Type="http://schemas.openxmlformats.org/officeDocument/2006/relationships/hyperlink" Target="http://www.riss.kr/link?id=S40249" TargetMode="External"/><Relationship Id="rId165" Type="http://schemas.openxmlformats.org/officeDocument/2006/relationships/hyperlink" Target="http://www.riss.kr/link?id=S16252" TargetMode="External"/><Relationship Id="rId372" Type="http://schemas.openxmlformats.org/officeDocument/2006/relationships/hyperlink" Target="http://www.riss.kr/link?id=S16067" TargetMode="External"/><Relationship Id="rId677" Type="http://schemas.openxmlformats.org/officeDocument/2006/relationships/hyperlink" Target="http://www.riss.kr/link?id=S402996" TargetMode="External"/><Relationship Id="rId800" Type="http://schemas.openxmlformats.org/officeDocument/2006/relationships/hyperlink" Target="http://www.riss.kr/link?id=S63516" TargetMode="External"/><Relationship Id="rId232" Type="http://schemas.openxmlformats.org/officeDocument/2006/relationships/hyperlink" Target="http://www.riss.kr/link?id=S11926" TargetMode="External"/><Relationship Id="rId884" Type="http://schemas.openxmlformats.org/officeDocument/2006/relationships/hyperlink" Target="http://www.riss.kr/link?id=S80312" TargetMode="External"/><Relationship Id="rId27" Type="http://schemas.openxmlformats.org/officeDocument/2006/relationships/hyperlink" Target="http://www.riss.kr/link?id=S14693" TargetMode="External"/><Relationship Id="rId537" Type="http://schemas.openxmlformats.org/officeDocument/2006/relationships/hyperlink" Target="http://www.riss.kr/link?id=S16558" TargetMode="External"/><Relationship Id="rId744" Type="http://schemas.openxmlformats.org/officeDocument/2006/relationships/hyperlink" Target="http://www.riss.kr/link?id=S15576" TargetMode="External"/><Relationship Id="rId951" Type="http://schemas.openxmlformats.org/officeDocument/2006/relationships/hyperlink" Target="http://www.riss.kr/link?id=S104123" TargetMode="External"/><Relationship Id="rId80" Type="http://schemas.openxmlformats.org/officeDocument/2006/relationships/hyperlink" Target="http://www.riss.kr/link?id=S20013054" TargetMode="External"/><Relationship Id="rId176" Type="http://schemas.openxmlformats.org/officeDocument/2006/relationships/hyperlink" Target="http://www.riss.kr/link?id=S16432" TargetMode="External"/><Relationship Id="rId383" Type="http://schemas.openxmlformats.org/officeDocument/2006/relationships/hyperlink" Target="http://www.riss.kr/link?id=S12868" TargetMode="External"/><Relationship Id="rId590" Type="http://schemas.openxmlformats.org/officeDocument/2006/relationships/hyperlink" Target="http://www.riss.kr/link?id=S31023689" TargetMode="External"/><Relationship Id="rId604" Type="http://schemas.openxmlformats.org/officeDocument/2006/relationships/hyperlink" Target="http://www.riss.kr/link?id=S20890" TargetMode="External"/><Relationship Id="rId811" Type="http://schemas.openxmlformats.org/officeDocument/2006/relationships/hyperlink" Target="http://www.riss.kr/link?id=S417041" TargetMode="External"/><Relationship Id="rId243" Type="http://schemas.openxmlformats.org/officeDocument/2006/relationships/hyperlink" Target="http://www.riss.kr/link?id=S20867" TargetMode="External"/><Relationship Id="rId450" Type="http://schemas.openxmlformats.org/officeDocument/2006/relationships/hyperlink" Target="http://www.riss.kr/link?id=S416806" TargetMode="External"/><Relationship Id="rId688" Type="http://schemas.openxmlformats.org/officeDocument/2006/relationships/hyperlink" Target="http://www.riss.kr/link?id=S20014915" TargetMode="External"/><Relationship Id="rId895" Type="http://schemas.openxmlformats.org/officeDocument/2006/relationships/hyperlink" Target="http://www.riss.kr/link?id=S44714" TargetMode="External"/><Relationship Id="rId909" Type="http://schemas.openxmlformats.org/officeDocument/2006/relationships/hyperlink" Target="http://www.riss.kr/link?id=S84178" TargetMode="External"/><Relationship Id="rId38" Type="http://schemas.openxmlformats.org/officeDocument/2006/relationships/hyperlink" Target="http://www.riss.kr/link?id=S70826" TargetMode="External"/><Relationship Id="rId103" Type="http://schemas.openxmlformats.org/officeDocument/2006/relationships/hyperlink" Target="http://www.riss.kr/link?id=S400716" TargetMode="External"/><Relationship Id="rId310" Type="http://schemas.openxmlformats.org/officeDocument/2006/relationships/hyperlink" Target="http://www.riss.kr/link?id=S31025232" TargetMode="External"/><Relationship Id="rId548" Type="http://schemas.openxmlformats.org/officeDocument/2006/relationships/hyperlink" Target="http://www.riss.kr/link?id=S108179" TargetMode="External"/><Relationship Id="rId755" Type="http://schemas.openxmlformats.org/officeDocument/2006/relationships/hyperlink" Target="http://www.riss.kr/link?id=S28534" TargetMode="External"/><Relationship Id="rId962" Type="http://schemas.openxmlformats.org/officeDocument/2006/relationships/hyperlink" Target="http://www.riss.kr/link?id=S104181" TargetMode="External"/><Relationship Id="rId91" Type="http://schemas.openxmlformats.org/officeDocument/2006/relationships/hyperlink" Target="http://www.riss.kr/link?id=S85045" TargetMode="External"/><Relationship Id="rId187" Type="http://schemas.openxmlformats.org/officeDocument/2006/relationships/hyperlink" Target="http://www.riss.kr/link?id=S60526" TargetMode="External"/><Relationship Id="rId394" Type="http://schemas.openxmlformats.org/officeDocument/2006/relationships/hyperlink" Target="http://www.riss.kr/link?id=S13555" TargetMode="External"/><Relationship Id="rId408" Type="http://schemas.openxmlformats.org/officeDocument/2006/relationships/hyperlink" Target="http://www.riss.kr/link?id=S14024" TargetMode="External"/><Relationship Id="rId615" Type="http://schemas.openxmlformats.org/officeDocument/2006/relationships/hyperlink" Target="http://www.riss.kr/link?id=S28961" TargetMode="External"/><Relationship Id="rId822" Type="http://schemas.openxmlformats.org/officeDocument/2006/relationships/hyperlink" Target="http://www.riss.kr/link?id=S20070027" TargetMode="External"/><Relationship Id="rId254" Type="http://schemas.openxmlformats.org/officeDocument/2006/relationships/hyperlink" Target="http://www.riss.kr/link?id=S408115" TargetMode="External"/><Relationship Id="rId699" Type="http://schemas.openxmlformats.org/officeDocument/2006/relationships/hyperlink" Target="http://www.riss.kr/link?id=S20085548" TargetMode="External"/><Relationship Id="rId49" Type="http://schemas.openxmlformats.org/officeDocument/2006/relationships/hyperlink" Target="http://www.riss.kr/link?id=S29089" TargetMode="External"/><Relationship Id="rId114" Type="http://schemas.openxmlformats.org/officeDocument/2006/relationships/hyperlink" Target="http://www.riss.kr/link?id=S417317" TargetMode="External"/><Relationship Id="rId461" Type="http://schemas.openxmlformats.org/officeDocument/2006/relationships/hyperlink" Target="http://www.riss.kr/link?id=S21696" TargetMode="External"/><Relationship Id="rId559" Type="http://schemas.openxmlformats.org/officeDocument/2006/relationships/hyperlink" Target="http://www.riss.kr/link?id=S403685" TargetMode="External"/><Relationship Id="rId766" Type="http://schemas.openxmlformats.org/officeDocument/2006/relationships/hyperlink" Target="http://www.riss.kr/link?id=S12927" TargetMode="External"/><Relationship Id="rId198" Type="http://schemas.openxmlformats.org/officeDocument/2006/relationships/hyperlink" Target="http://www.riss.kr/link?id=S31011779" TargetMode="External"/><Relationship Id="rId321" Type="http://schemas.openxmlformats.org/officeDocument/2006/relationships/hyperlink" Target="http://www.riss.kr/link?id=S31031409" TargetMode="External"/><Relationship Id="rId419" Type="http://schemas.openxmlformats.org/officeDocument/2006/relationships/hyperlink" Target="http://www.riss.kr/link?id=S405844" TargetMode="External"/><Relationship Id="rId626" Type="http://schemas.openxmlformats.org/officeDocument/2006/relationships/hyperlink" Target="http://www.riss.kr/link?id=S416464" TargetMode="External"/><Relationship Id="rId973" Type="http://schemas.openxmlformats.org/officeDocument/2006/relationships/hyperlink" Target="http://www.riss.kr/link?id=S58112" TargetMode="External"/><Relationship Id="rId833" Type="http://schemas.openxmlformats.org/officeDocument/2006/relationships/hyperlink" Target="http://www.riss.kr/link?id=S45128" TargetMode="External"/><Relationship Id="rId265" Type="http://schemas.openxmlformats.org/officeDocument/2006/relationships/hyperlink" Target="http://www.riss.kr/link?id=S42441" TargetMode="External"/><Relationship Id="rId472" Type="http://schemas.openxmlformats.org/officeDocument/2006/relationships/hyperlink" Target="http://www.riss.kr/link?id=S68611" TargetMode="External"/><Relationship Id="rId900" Type="http://schemas.openxmlformats.org/officeDocument/2006/relationships/hyperlink" Target="http://www.riss.kr/link?id=S63727" TargetMode="External"/><Relationship Id="rId125" Type="http://schemas.openxmlformats.org/officeDocument/2006/relationships/hyperlink" Target="http://www.riss.kr/link?id=S17146" TargetMode="External"/><Relationship Id="rId332" Type="http://schemas.openxmlformats.org/officeDocument/2006/relationships/hyperlink" Target="http://www.riss.kr/link?id=S16404" TargetMode="External"/><Relationship Id="rId777" Type="http://schemas.openxmlformats.org/officeDocument/2006/relationships/hyperlink" Target="http://www.riss.kr/link?id=S15504" TargetMode="External"/><Relationship Id="rId637" Type="http://schemas.openxmlformats.org/officeDocument/2006/relationships/hyperlink" Target="http://www.riss.kr/link?id=S31023273" TargetMode="External"/><Relationship Id="rId844" Type="http://schemas.openxmlformats.org/officeDocument/2006/relationships/hyperlink" Target="http://www.riss.kr/link?id=S19616" TargetMode="External"/><Relationship Id="rId276" Type="http://schemas.openxmlformats.org/officeDocument/2006/relationships/hyperlink" Target="http://www.riss.kr/link?id=S104848" TargetMode="External"/><Relationship Id="rId483" Type="http://schemas.openxmlformats.org/officeDocument/2006/relationships/hyperlink" Target="http://www.riss.kr/link?id=S105345" TargetMode="External"/><Relationship Id="rId690" Type="http://schemas.openxmlformats.org/officeDocument/2006/relationships/hyperlink" Target="http://www.riss.kr/link?id=S31002302" TargetMode="External"/><Relationship Id="rId704" Type="http://schemas.openxmlformats.org/officeDocument/2006/relationships/hyperlink" Target="http://www.riss.kr/link?id=S16489" TargetMode="External"/><Relationship Id="rId911" Type="http://schemas.openxmlformats.org/officeDocument/2006/relationships/hyperlink" Target="http://www.riss.kr/link?id=S43699" TargetMode="External"/><Relationship Id="rId40" Type="http://schemas.openxmlformats.org/officeDocument/2006/relationships/hyperlink" Target="http://www.riss.kr/link?id=S16798" TargetMode="External"/><Relationship Id="rId136" Type="http://schemas.openxmlformats.org/officeDocument/2006/relationships/hyperlink" Target="http://www.riss.kr/link?id=S414978" TargetMode="External"/><Relationship Id="rId343" Type="http://schemas.openxmlformats.org/officeDocument/2006/relationships/hyperlink" Target="http://www.riss.kr/link?id=S115994" TargetMode="External"/><Relationship Id="rId550" Type="http://schemas.openxmlformats.org/officeDocument/2006/relationships/hyperlink" Target="http://www.riss.kr/link?id=S402182" TargetMode="External"/><Relationship Id="rId788" Type="http://schemas.openxmlformats.org/officeDocument/2006/relationships/hyperlink" Target="http://www.riss.kr/link?id=S63539" TargetMode="External"/><Relationship Id="rId203" Type="http://schemas.openxmlformats.org/officeDocument/2006/relationships/hyperlink" Target="http://www.riss.kr/link?id=S16206" TargetMode="External"/><Relationship Id="rId648" Type="http://schemas.openxmlformats.org/officeDocument/2006/relationships/hyperlink" Target="http://www.riss.kr/link?id=S6601" TargetMode="External"/><Relationship Id="rId855" Type="http://schemas.openxmlformats.org/officeDocument/2006/relationships/hyperlink" Target="http://www.riss.kr/link?id=S19595" TargetMode="External"/><Relationship Id="rId287" Type="http://schemas.openxmlformats.org/officeDocument/2006/relationships/hyperlink" Target="http://www.riss.kr/link?id=S90001056" TargetMode="External"/><Relationship Id="rId410" Type="http://schemas.openxmlformats.org/officeDocument/2006/relationships/hyperlink" Target="http://www.riss.kr/link?id=S405207" TargetMode="External"/><Relationship Id="rId494" Type="http://schemas.openxmlformats.org/officeDocument/2006/relationships/hyperlink" Target="http://www.riss.kr/link?id=S413153" TargetMode="External"/><Relationship Id="rId508" Type="http://schemas.openxmlformats.org/officeDocument/2006/relationships/hyperlink" Target="http://www.riss.kr/link?id=S402867" TargetMode="External"/><Relationship Id="rId715" Type="http://schemas.openxmlformats.org/officeDocument/2006/relationships/hyperlink" Target="http://www.riss.kr/link?id=S11603111" TargetMode="External"/><Relationship Id="rId922" Type="http://schemas.openxmlformats.org/officeDocument/2006/relationships/hyperlink" Target="http://www.riss.kr/link?id=S49444" TargetMode="External"/><Relationship Id="rId147" Type="http://schemas.openxmlformats.org/officeDocument/2006/relationships/hyperlink" Target="http://www.riss.kr/link?id=S17324" TargetMode="External"/><Relationship Id="rId354" Type="http://schemas.openxmlformats.org/officeDocument/2006/relationships/hyperlink" Target="http://www.riss.kr/link?id=S16079" TargetMode="External"/><Relationship Id="rId799" Type="http://schemas.openxmlformats.org/officeDocument/2006/relationships/hyperlink" Target="http://www.riss.kr/link?id=S48936" TargetMode="External"/><Relationship Id="rId51" Type="http://schemas.openxmlformats.org/officeDocument/2006/relationships/hyperlink" Target="http://www.riss.kr/link?id=S17392" TargetMode="External"/><Relationship Id="rId561" Type="http://schemas.openxmlformats.org/officeDocument/2006/relationships/hyperlink" Target="http://www.riss.kr/link?id=S15711" TargetMode="External"/><Relationship Id="rId659" Type="http://schemas.openxmlformats.org/officeDocument/2006/relationships/hyperlink" Target="http://www.riss.kr/link?id=S13240" TargetMode="External"/><Relationship Id="rId866" Type="http://schemas.openxmlformats.org/officeDocument/2006/relationships/hyperlink" Target="http://www.riss.kr/link?id=S35299" TargetMode="External"/><Relationship Id="rId214" Type="http://schemas.openxmlformats.org/officeDocument/2006/relationships/hyperlink" Target="http://www.riss.kr/link?id=S20010150" TargetMode="External"/><Relationship Id="rId298" Type="http://schemas.openxmlformats.org/officeDocument/2006/relationships/hyperlink" Target="http://www.riss.kr/link?id=S20011127" TargetMode="External"/><Relationship Id="rId421" Type="http://schemas.openxmlformats.org/officeDocument/2006/relationships/hyperlink" Target="http://www.riss.kr/link?id=S403109" TargetMode="External"/><Relationship Id="rId519" Type="http://schemas.openxmlformats.org/officeDocument/2006/relationships/hyperlink" Target="http://www.riss.kr/link?id=S409757" TargetMode="External"/><Relationship Id="rId158" Type="http://schemas.openxmlformats.org/officeDocument/2006/relationships/hyperlink" Target="http://www.riss.kr/link?id=S30341" TargetMode="External"/><Relationship Id="rId726" Type="http://schemas.openxmlformats.org/officeDocument/2006/relationships/hyperlink" Target="http://www.riss.kr/link?id=S20011409" TargetMode="External"/><Relationship Id="rId933" Type="http://schemas.openxmlformats.org/officeDocument/2006/relationships/hyperlink" Target="http://www.riss.kr/link?id=S21980" TargetMode="External"/><Relationship Id="rId62" Type="http://schemas.openxmlformats.org/officeDocument/2006/relationships/hyperlink" Target="http://www.riss.kr/link?id=S14685" TargetMode="External"/><Relationship Id="rId365" Type="http://schemas.openxmlformats.org/officeDocument/2006/relationships/hyperlink" Target="http://www.riss.kr/link?id=S12588" TargetMode="External"/><Relationship Id="rId572" Type="http://schemas.openxmlformats.org/officeDocument/2006/relationships/hyperlink" Target="http://www.riss.kr/link?id=S29121" TargetMode="External"/><Relationship Id="rId225" Type="http://schemas.openxmlformats.org/officeDocument/2006/relationships/hyperlink" Target="http://www.riss.kr/link?id=S85559" TargetMode="External"/><Relationship Id="rId432" Type="http://schemas.openxmlformats.org/officeDocument/2006/relationships/hyperlink" Target="http://www.riss.kr/link?id=S16059" TargetMode="External"/><Relationship Id="rId877" Type="http://schemas.openxmlformats.org/officeDocument/2006/relationships/hyperlink" Target="http://www.riss.kr/link?id=S69646" TargetMode="External"/><Relationship Id="rId737" Type="http://schemas.openxmlformats.org/officeDocument/2006/relationships/hyperlink" Target="http://www.riss.kr/link?id=S12014" TargetMode="External"/><Relationship Id="rId944" Type="http://schemas.openxmlformats.org/officeDocument/2006/relationships/hyperlink" Target="http://www.riss.kr/link?id=S63537" TargetMode="External"/><Relationship Id="rId73" Type="http://schemas.openxmlformats.org/officeDocument/2006/relationships/hyperlink" Target="http://www.riss.kr/link?id=S20636" TargetMode="External"/><Relationship Id="rId169" Type="http://schemas.openxmlformats.org/officeDocument/2006/relationships/hyperlink" Target="http://www.riss.kr/link?id=S17074" TargetMode="External"/><Relationship Id="rId376" Type="http://schemas.openxmlformats.org/officeDocument/2006/relationships/hyperlink" Target="http://www.riss.kr/link?id=S31002943" TargetMode="External"/><Relationship Id="rId583" Type="http://schemas.openxmlformats.org/officeDocument/2006/relationships/hyperlink" Target="http://www.riss.kr/link?id=S90009235" TargetMode="External"/><Relationship Id="rId790" Type="http://schemas.openxmlformats.org/officeDocument/2006/relationships/hyperlink" Target="http://www.riss.kr/link?id=S85490" TargetMode="External"/><Relationship Id="rId804" Type="http://schemas.openxmlformats.org/officeDocument/2006/relationships/hyperlink" Target="http://www.riss.kr/link?id=S77936" TargetMode="External"/><Relationship Id="rId4" Type="http://schemas.openxmlformats.org/officeDocument/2006/relationships/hyperlink" Target="http://www.riss.kr/link?id=S409990" TargetMode="External"/><Relationship Id="rId236" Type="http://schemas.openxmlformats.org/officeDocument/2006/relationships/hyperlink" Target="http://www.riss.kr/link?id=S17531" TargetMode="External"/><Relationship Id="rId443" Type="http://schemas.openxmlformats.org/officeDocument/2006/relationships/hyperlink" Target="http://www.riss.kr/link?id=S12831" TargetMode="External"/><Relationship Id="rId650" Type="http://schemas.openxmlformats.org/officeDocument/2006/relationships/hyperlink" Target="http://www.riss.kr/link?id=S20012183" TargetMode="External"/><Relationship Id="rId888" Type="http://schemas.openxmlformats.org/officeDocument/2006/relationships/hyperlink" Target="http://www.riss.kr/link?id=S19808" TargetMode="External"/><Relationship Id="rId303" Type="http://schemas.openxmlformats.org/officeDocument/2006/relationships/hyperlink" Target="http://www.riss.kr/link?id=S17518" TargetMode="External"/><Relationship Id="rId748" Type="http://schemas.openxmlformats.org/officeDocument/2006/relationships/hyperlink" Target="http://www.riss.kr/link?id=S31024691" TargetMode="External"/><Relationship Id="rId955" Type="http://schemas.openxmlformats.org/officeDocument/2006/relationships/hyperlink" Target="http://www.riss.kr/link?id=S104262" TargetMode="External"/><Relationship Id="rId84" Type="http://schemas.openxmlformats.org/officeDocument/2006/relationships/hyperlink" Target="http://www.riss.kr/link?id=S16085" TargetMode="External"/><Relationship Id="rId387" Type="http://schemas.openxmlformats.org/officeDocument/2006/relationships/hyperlink" Target="http://www.riss.kr/link?id=S90023891" TargetMode="External"/><Relationship Id="rId510" Type="http://schemas.openxmlformats.org/officeDocument/2006/relationships/hyperlink" Target="http://www.riss.kr/link?id=S17467" TargetMode="External"/><Relationship Id="rId594" Type="http://schemas.openxmlformats.org/officeDocument/2006/relationships/hyperlink" Target="http://www.riss.kr/link?id=S31000856" TargetMode="External"/><Relationship Id="rId608" Type="http://schemas.openxmlformats.org/officeDocument/2006/relationships/hyperlink" Target="http://www.riss.kr/link?id=S13543" TargetMode="External"/><Relationship Id="rId815" Type="http://schemas.openxmlformats.org/officeDocument/2006/relationships/hyperlink" Target="http://www.riss.kr/link?id=S20091842" TargetMode="External"/><Relationship Id="rId247" Type="http://schemas.openxmlformats.org/officeDocument/2006/relationships/hyperlink" Target="http://www.riss.kr/link?id=S17530" TargetMode="External"/><Relationship Id="rId899" Type="http://schemas.openxmlformats.org/officeDocument/2006/relationships/hyperlink" Target="http://www.riss.kr/link?id=S80026" TargetMode="External"/><Relationship Id="rId107" Type="http://schemas.openxmlformats.org/officeDocument/2006/relationships/hyperlink" Target="http://www.riss.kr/link?id=S17152" TargetMode="External"/><Relationship Id="rId454" Type="http://schemas.openxmlformats.org/officeDocument/2006/relationships/hyperlink" Target="http://www.riss.kr/link?id=S412198" TargetMode="External"/><Relationship Id="rId661" Type="http://schemas.openxmlformats.org/officeDocument/2006/relationships/hyperlink" Target="http://www.riss.kr/link?id=S31019601" TargetMode="External"/><Relationship Id="rId759" Type="http://schemas.openxmlformats.org/officeDocument/2006/relationships/hyperlink" Target="http://www.riss.kr/link?id=S6141" TargetMode="External"/><Relationship Id="rId966" Type="http://schemas.openxmlformats.org/officeDocument/2006/relationships/hyperlink" Target="http://www.riss.kr/link?id=S61039" TargetMode="External"/><Relationship Id="rId11" Type="http://schemas.openxmlformats.org/officeDocument/2006/relationships/hyperlink" Target="http://www.riss.kr/link?id=S17591" TargetMode="External"/><Relationship Id="rId314" Type="http://schemas.openxmlformats.org/officeDocument/2006/relationships/hyperlink" Target="http://www.riss.kr/link?id=S416814" TargetMode="External"/><Relationship Id="rId398" Type="http://schemas.openxmlformats.org/officeDocument/2006/relationships/hyperlink" Target="http://www.riss.kr/link?id=S90008450" TargetMode="External"/><Relationship Id="rId521" Type="http://schemas.openxmlformats.org/officeDocument/2006/relationships/hyperlink" Target="http://www.riss.kr/link?id=S15532" TargetMode="External"/><Relationship Id="rId619" Type="http://schemas.openxmlformats.org/officeDocument/2006/relationships/hyperlink" Target="http://www.riss.kr/link?id=S20010759" TargetMode="External"/><Relationship Id="rId95" Type="http://schemas.openxmlformats.org/officeDocument/2006/relationships/hyperlink" Target="http://www.riss.kr/link?id=S5355" TargetMode="External"/><Relationship Id="rId160" Type="http://schemas.openxmlformats.org/officeDocument/2006/relationships/hyperlink" Target="http://www.riss.kr/link?id=S402314" TargetMode="External"/><Relationship Id="rId826" Type="http://schemas.openxmlformats.org/officeDocument/2006/relationships/hyperlink" Target="http://www.riss.kr/link?id=S40515" TargetMode="External"/><Relationship Id="rId258" Type="http://schemas.openxmlformats.org/officeDocument/2006/relationships/hyperlink" Target="http://www.riss.kr/link?id=S143934" TargetMode="External"/><Relationship Id="rId465" Type="http://schemas.openxmlformats.org/officeDocument/2006/relationships/hyperlink" Target="http://www.riss.kr/link?id=S21159" TargetMode="External"/><Relationship Id="rId672" Type="http://schemas.openxmlformats.org/officeDocument/2006/relationships/hyperlink" Target="http://www.riss.kr/link?id=S417077" TargetMode="External"/><Relationship Id="rId22" Type="http://schemas.openxmlformats.org/officeDocument/2006/relationships/hyperlink" Target="http://www.riss.kr/link?id=S21699" TargetMode="External"/><Relationship Id="rId118" Type="http://schemas.openxmlformats.org/officeDocument/2006/relationships/hyperlink" Target="http://www.riss.kr/link?id=S115375" TargetMode="External"/><Relationship Id="rId325" Type="http://schemas.openxmlformats.org/officeDocument/2006/relationships/hyperlink" Target="http://www.riss.kr/link?id=S16083" TargetMode="External"/><Relationship Id="rId532" Type="http://schemas.openxmlformats.org/officeDocument/2006/relationships/hyperlink" Target="http://www.riss.kr/link?id=S15527" TargetMode="External"/><Relationship Id="rId977" Type="http://schemas.openxmlformats.org/officeDocument/2006/relationships/hyperlink" Target="http://www.riss.kr/link?id=S20109" TargetMode="External"/><Relationship Id="rId171" Type="http://schemas.openxmlformats.org/officeDocument/2006/relationships/hyperlink" Target="http://www.riss.kr/link?id=S80384" TargetMode="External"/><Relationship Id="rId837" Type="http://schemas.openxmlformats.org/officeDocument/2006/relationships/hyperlink" Target="http://www.riss.kr/link?id=S21878" TargetMode="External"/><Relationship Id="rId269" Type="http://schemas.openxmlformats.org/officeDocument/2006/relationships/hyperlink" Target="http://www.riss.kr/link?id=S402120" TargetMode="External"/><Relationship Id="rId476" Type="http://schemas.openxmlformats.org/officeDocument/2006/relationships/hyperlink" Target="http://www.riss.kr/link?id=S411696" TargetMode="External"/><Relationship Id="rId683" Type="http://schemas.openxmlformats.org/officeDocument/2006/relationships/hyperlink" Target="http://www.riss.kr/link?id=S28428" TargetMode="External"/><Relationship Id="rId890" Type="http://schemas.openxmlformats.org/officeDocument/2006/relationships/hyperlink" Target="http://www.riss.kr/link?id=S416880" TargetMode="External"/><Relationship Id="rId904" Type="http://schemas.openxmlformats.org/officeDocument/2006/relationships/hyperlink" Target="http://www.riss.kr/link?id=S35658" TargetMode="External"/><Relationship Id="rId33" Type="http://schemas.openxmlformats.org/officeDocument/2006/relationships/hyperlink" Target="http://www.riss.kr/link?id=S31000236" TargetMode="External"/><Relationship Id="rId129" Type="http://schemas.openxmlformats.org/officeDocument/2006/relationships/hyperlink" Target="http://www.riss.kr/link?id=S400897" TargetMode="External"/><Relationship Id="rId336" Type="http://schemas.openxmlformats.org/officeDocument/2006/relationships/hyperlink" Target="http://www.riss.kr/link?id=S408353" TargetMode="External"/><Relationship Id="rId543" Type="http://schemas.openxmlformats.org/officeDocument/2006/relationships/hyperlink" Target="http://www.riss.kr/link?id=S6626" TargetMode="External"/><Relationship Id="rId182" Type="http://schemas.openxmlformats.org/officeDocument/2006/relationships/hyperlink" Target="http://www.riss.kr/link?id=S143666" TargetMode="External"/><Relationship Id="rId403" Type="http://schemas.openxmlformats.org/officeDocument/2006/relationships/hyperlink" Target="http://www.riss.kr/link?id=S20085525" TargetMode="External"/><Relationship Id="rId750" Type="http://schemas.openxmlformats.org/officeDocument/2006/relationships/hyperlink" Target="http://www.riss.kr/link?id=S15438" TargetMode="External"/><Relationship Id="rId848" Type="http://schemas.openxmlformats.org/officeDocument/2006/relationships/hyperlink" Target="http://www.riss.kr/link?id=S416847" TargetMode="External"/><Relationship Id="rId487" Type="http://schemas.openxmlformats.org/officeDocument/2006/relationships/hyperlink" Target="http://www.riss.kr/link?id=S20011296" TargetMode="External"/><Relationship Id="rId610" Type="http://schemas.openxmlformats.org/officeDocument/2006/relationships/hyperlink" Target="http://www.riss.kr/link?id=S11634165" TargetMode="External"/><Relationship Id="rId694" Type="http://schemas.openxmlformats.org/officeDocument/2006/relationships/hyperlink" Target="http://www.riss.kr/link?id=S412793" TargetMode="External"/><Relationship Id="rId708" Type="http://schemas.openxmlformats.org/officeDocument/2006/relationships/hyperlink" Target="http://www.riss.kr/link?id=S16322" TargetMode="External"/><Relationship Id="rId915" Type="http://schemas.openxmlformats.org/officeDocument/2006/relationships/hyperlink" Target="http://www.riss.kr/link?id=S13948" TargetMode="External"/><Relationship Id="rId347" Type="http://schemas.openxmlformats.org/officeDocument/2006/relationships/hyperlink" Target="http://www.riss.kr/link?id=S15476" TargetMode="External"/><Relationship Id="rId44" Type="http://schemas.openxmlformats.org/officeDocument/2006/relationships/hyperlink" Target="http://www.riss.kr/link?id=S23698" TargetMode="External"/><Relationship Id="rId554" Type="http://schemas.openxmlformats.org/officeDocument/2006/relationships/hyperlink" Target="http://www.riss.kr/link?id=S20950" TargetMode="External"/><Relationship Id="rId761" Type="http://schemas.openxmlformats.org/officeDocument/2006/relationships/hyperlink" Target="http://www.riss.kr/link?id=S17778" TargetMode="External"/><Relationship Id="rId859" Type="http://schemas.openxmlformats.org/officeDocument/2006/relationships/hyperlink" Target="http://www.riss.kr/link?id=S93106" TargetMode="External"/><Relationship Id="rId193" Type="http://schemas.openxmlformats.org/officeDocument/2006/relationships/hyperlink" Target="http://www.riss.kr/link?id=S90002399" TargetMode="External"/><Relationship Id="rId207" Type="http://schemas.openxmlformats.org/officeDocument/2006/relationships/hyperlink" Target="http://www.riss.kr/link?id=S418434" TargetMode="External"/><Relationship Id="rId414" Type="http://schemas.openxmlformats.org/officeDocument/2006/relationships/hyperlink" Target="http://www.riss.kr/link?id=S405766" TargetMode="External"/><Relationship Id="rId498" Type="http://schemas.openxmlformats.org/officeDocument/2006/relationships/hyperlink" Target="http://www.riss.kr/link?id=S407616" TargetMode="External"/><Relationship Id="rId621" Type="http://schemas.openxmlformats.org/officeDocument/2006/relationships/hyperlink" Target="http://www.riss.kr/link?id=S15411" TargetMode="External"/><Relationship Id="rId260" Type="http://schemas.openxmlformats.org/officeDocument/2006/relationships/hyperlink" Target="http://www.riss.kr/link?id=S402827" TargetMode="External"/><Relationship Id="rId719" Type="http://schemas.openxmlformats.org/officeDocument/2006/relationships/hyperlink" Target="http://www.riss.kr/link?id=S17558" TargetMode="External"/><Relationship Id="rId926" Type="http://schemas.openxmlformats.org/officeDocument/2006/relationships/hyperlink" Target="http://www.riss.kr/link?id=S31425" TargetMode="External"/><Relationship Id="rId55" Type="http://schemas.openxmlformats.org/officeDocument/2006/relationships/hyperlink" Target="http://www.riss.kr/link?id=S116057" TargetMode="External"/><Relationship Id="rId120" Type="http://schemas.openxmlformats.org/officeDocument/2006/relationships/hyperlink" Target="http://www.riss.kr/link?id=S414399" TargetMode="External"/><Relationship Id="rId358" Type="http://schemas.openxmlformats.org/officeDocument/2006/relationships/hyperlink" Target="http://www.riss.kr/link?id=S16074" TargetMode="External"/><Relationship Id="rId565" Type="http://schemas.openxmlformats.org/officeDocument/2006/relationships/hyperlink" Target="http://www.riss.kr/link?id=S15472" TargetMode="External"/><Relationship Id="rId772" Type="http://schemas.openxmlformats.org/officeDocument/2006/relationships/hyperlink" Target="http://www.riss.kr/link?id=S20527" TargetMode="External"/><Relationship Id="rId218" Type="http://schemas.openxmlformats.org/officeDocument/2006/relationships/hyperlink" Target="http://www.riss.kr/link?id=S16699" TargetMode="External"/><Relationship Id="rId425" Type="http://schemas.openxmlformats.org/officeDocument/2006/relationships/hyperlink" Target="http://www.riss.kr/link?id=S16060" TargetMode="External"/><Relationship Id="rId632" Type="http://schemas.openxmlformats.org/officeDocument/2006/relationships/hyperlink" Target="http://www.riss.kr/link?id=S417085" TargetMode="External"/><Relationship Id="rId271" Type="http://schemas.openxmlformats.org/officeDocument/2006/relationships/hyperlink" Target="http://www.riss.kr/link?id=S21836" TargetMode="External"/><Relationship Id="rId937" Type="http://schemas.openxmlformats.org/officeDocument/2006/relationships/hyperlink" Target="http://www.riss.kr/link?id=S105323" TargetMode="External"/><Relationship Id="rId66" Type="http://schemas.openxmlformats.org/officeDocument/2006/relationships/hyperlink" Target="http://www.riss.kr/link?id=S417245" TargetMode="External"/><Relationship Id="rId131" Type="http://schemas.openxmlformats.org/officeDocument/2006/relationships/hyperlink" Target="http://www.riss.kr/link?id=S57569" TargetMode="External"/><Relationship Id="rId369" Type="http://schemas.openxmlformats.org/officeDocument/2006/relationships/hyperlink" Target="http://www.riss.kr/link?id=S16068" TargetMode="External"/><Relationship Id="rId576" Type="http://schemas.openxmlformats.org/officeDocument/2006/relationships/hyperlink" Target="http://www.riss.kr/link?id=S15063" TargetMode="External"/><Relationship Id="rId783" Type="http://schemas.openxmlformats.org/officeDocument/2006/relationships/hyperlink" Target="http://www.riss.kr/link?id=S11606249" TargetMode="External"/><Relationship Id="rId229" Type="http://schemas.openxmlformats.org/officeDocument/2006/relationships/hyperlink" Target="http://www.riss.kr/link?id=S15628" TargetMode="External"/><Relationship Id="rId436" Type="http://schemas.openxmlformats.org/officeDocument/2006/relationships/hyperlink" Target="http://www.riss.kr/link?id=S16057" TargetMode="External"/><Relationship Id="rId643" Type="http://schemas.openxmlformats.org/officeDocument/2006/relationships/hyperlink" Target="http://www.riss.kr/link?id=S415386" TargetMode="External"/><Relationship Id="rId850" Type="http://schemas.openxmlformats.org/officeDocument/2006/relationships/hyperlink" Target="http://www.riss.kr/link?id=S87915" TargetMode="External"/><Relationship Id="rId948" Type="http://schemas.openxmlformats.org/officeDocument/2006/relationships/hyperlink" Target="http://www.riss.kr/link?id=S413798" TargetMode="External"/><Relationship Id="rId77" Type="http://schemas.openxmlformats.org/officeDocument/2006/relationships/hyperlink" Target="http://www.riss.kr/link?id=S411913" TargetMode="External"/><Relationship Id="rId282" Type="http://schemas.openxmlformats.org/officeDocument/2006/relationships/hyperlink" Target="http://www.riss.kr/link?id=S30000638" TargetMode="External"/><Relationship Id="rId503" Type="http://schemas.openxmlformats.org/officeDocument/2006/relationships/hyperlink" Target="http://www.riss.kr/link?id=S409124" TargetMode="External"/><Relationship Id="rId587" Type="http://schemas.openxmlformats.org/officeDocument/2006/relationships/hyperlink" Target="http://www.riss.kr/link?id=S11574226" TargetMode="External"/><Relationship Id="rId710" Type="http://schemas.openxmlformats.org/officeDocument/2006/relationships/hyperlink" Target="http://www.riss.kr/link?id=S11643712" TargetMode="External"/><Relationship Id="rId808" Type="http://schemas.openxmlformats.org/officeDocument/2006/relationships/hyperlink" Target="http://www.riss.kr/link?id=S417018" TargetMode="External"/><Relationship Id="rId8" Type="http://schemas.openxmlformats.org/officeDocument/2006/relationships/hyperlink" Target="http://www.riss.kr/link?id=S5452" TargetMode="External"/><Relationship Id="rId142" Type="http://schemas.openxmlformats.org/officeDocument/2006/relationships/hyperlink" Target="http://www.riss.kr/link?id=S60967" TargetMode="External"/><Relationship Id="rId447" Type="http://schemas.openxmlformats.org/officeDocument/2006/relationships/hyperlink" Target="http://www.riss.kr/link?id=S16902" TargetMode="External"/><Relationship Id="rId794" Type="http://schemas.openxmlformats.org/officeDocument/2006/relationships/hyperlink" Target="http://www.riss.kr/link?id=S48390" TargetMode="External"/><Relationship Id="rId654" Type="http://schemas.openxmlformats.org/officeDocument/2006/relationships/hyperlink" Target="http://www.riss.kr/link?id=S16848" TargetMode="External"/><Relationship Id="rId861" Type="http://schemas.openxmlformats.org/officeDocument/2006/relationships/hyperlink" Target="http://www.riss.kr/link?id=S31001099" TargetMode="External"/><Relationship Id="rId959" Type="http://schemas.openxmlformats.org/officeDocument/2006/relationships/hyperlink" Target="http://www.riss.kr/link?id=S79477" TargetMode="External"/><Relationship Id="rId293" Type="http://schemas.openxmlformats.org/officeDocument/2006/relationships/hyperlink" Target="http://www.riss.kr/link?id=S103860" TargetMode="External"/><Relationship Id="rId307" Type="http://schemas.openxmlformats.org/officeDocument/2006/relationships/hyperlink" Target="http://www.riss.kr/link?id=S60899" TargetMode="External"/><Relationship Id="rId514" Type="http://schemas.openxmlformats.org/officeDocument/2006/relationships/hyperlink" Target="http://www.riss.kr/link?id=S31000230" TargetMode="External"/><Relationship Id="rId721" Type="http://schemas.openxmlformats.org/officeDocument/2006/relationships/hyperlink" Target="http://www.riss.kr/link?id=S115630" TargetMode="External"/><Relationship Id="rId88" Type="http://schemas.openxmlformats.org/officeDocument/2006/relationships/hyperlink" Target="http://www.riss.kr/link?id=S407073" TargetMode="External"/><Relationship Id="rId153" Type="http://schemas.openxmlformats.org/officeDocument/2006/relationships/hyperlink" Target="http://www.riss.kr/link?id=S90024680" TargetMode="External"/><Relationship Id="rId360" Type="http://schemas.openxmlformats.org/officeDocument/2006/relationships/hyperlink" Target="http://www.riss.kr/link?id=S402394" TargetMode="External"/><Relationship Id="rId598" Type="http://schemas.openxmlformats.org/officeDocument/2006/relationships/hyperlink" Target="http://www.riss.kr/link?id=S35207" TargetMode="External"/><Relationship Id="rId819" Type="http://schemas.openxmlformats.org/officeDocument/2006/relationships/hyperlink" Target="http://www.riss.kr/link?id=S27654" TargetMode="External"/><Relationship Id="rId220" Type="http://schemas.openxmlformats.org/officeDocument/2006/relationships/hyperlink" Target="http://www.riss.kr/link?id=S31700" TargetMode="External"/><Relationship Id="rId458" Type="http://schemas.openxmlformats.org/officeDocument/2006/relationships/hyperlink" Target="http://www.riss.kr/link?id=S20156" TargetMode="External"/><Relationship Id="rId665" Type="http://schemas.openxmlformats.org/officeDocument/2006/relationships/hyperlink" Target="http://www.riss.kr/link?id=S17420" TargetMode="External"/><Relationship Id="rId872" Type="http://schemas.openxmlformats.org/officeDocument/2006/relationships/hyperlink" Target="http://www.riss.kr/link?id=S11625015" TargetMode="External"/><Relationship Id="rId15" Type="http://schemas.openxmlformats.org/officeDocument/2006/relationships/hyperlink" Target="http://www.riss.kr/link?id=S11574113" TargetMode="External"/><Relationship Id="rId318" Type="http://schemas.openxmlformats.org/officeDocument/2006/relationships/hyperlink" Target="http://www.riss.kr/link?id=S402589" TargetMode="External"/><Relationship Id="rId525" Type="http://schemas.openxmlformats.org/officeDocument/2006/relationships/hyperlink" Target="http://www.riss.kr/link?id=S28468" TargetMode="External"/><Relationship Id="rId732" Type="http://schemas.openxmlformats.org/officeDocument/2006/relationships/hyperlink" Target="http://www.riss.kr/link?id=S60841" TargetMode="External"/><Relationship Id="rId99" Type="http://schemas.openxmlformats.org/officeDocument/2006/relationships/hyperlink" Target="http://www.riss.kr/link?id=S16672" TargetMode="External"/><Relationship Id="rId164" Type="http://schemas.openxmlformats.org/officeDocument/2006/relationships/hyperlink" Target="http://www.riss.kr/link?id=S17129" TargetMode="External"/><Relationship Id="rId371" Type="http://schemas.openxmlformats.org/officeDocument/2006/relationships/hyperlink" Target="http://www.riss.kr/link?id=S418720" TargetMode="External"/><Relationship Id="rId469" Type="http://schemas.openxmlformats.org/officeDocument/2006/relationships/hyperlink" Target="http://www.riss.kr/link?id=S28149" TargetMode="External"/><Relationship Id="rId676" Type="http://schemas.openxmlformats.org/officeDocument/2006/relationships/hyperlink" Target="http://www.riss.kr/link?id=S402360" TargetMode="External"/><Relationship Id="rId883" Type="http://schemas.openxmlformats.org/officeDocument/2006/relationships/hyperlink" Target="http://www.riss.kr/link?id=S7127" TargetMode="External"/><Relationship Id="rId26" Type="http://schemas.openxmlformats.org/officeDocument/2006/relationships/hyperlink" Target="http://www.riss.kr/link?id=S404755" TargetMode="External"/><Relationship Id="rId231" Type="http://schemas.openxmlformats.org/officeDocument/2006/relationships/hyperlink" Target="http://www.riss.kr/link?id=S16191" TargetMode="External"/><Relationship Id="rId329" Type="http://schemas.openxmlformats.org/officeDocument/2006/relationships/hyperlink" Target="http://www.riss.kr/link?id=S61261" TargetMode="External"/><Relationship Id="rId536" Type="http://schemas.openxmlformats.org/officeDocument/2006/relationships/hyperlink" Target="http://www.riss.kr/link?id=S31001281" TargetMode="External"/><Relationship Id="rId175" Type="http://schemas.openxmlformats.org/officeDocument/2006/relationships/hyperlink" Target="http://www.riss.kr/link?id=S15418" TargetMode="External"/><Relationship Id="rId743" Type="http://schemas.openxmlformats.org/officeDocument/2006/relationships/hyperlink" Target="http://www.riss.kr/link?id=S15985" TargetMode="External"/><Relationship Id="rId950" Type="http://schemas.openxmlformats.org/officeDocument/2006/relationships/hyperlink" Target="http://www.riss.kr/link?id=S36572" TargetMode="External"/><Relationship Id="rId382" Type="http://schemas.openxmlformats.org/officeDocument/2006/relationships/hyperlink" Target="http://www.riss.kr/link?id=S5542" TargetMode="External"/><Relationship Id="rId603" Type="http://schemas.openxmlformats.org/officeDocument/2006/relationships/hyperlink" Target="http://www.riss.kr/link?id=S20891" TargetMode="External"/><Relationship Id="rId687" Type="http://schemas.openxmlformats.org/officeDocument/2006/relationships/hyperlink" Target="http://www.riss.kr/link?id=S401354" TargetMode="External"/><Relationship Id="rId810" Type="http://schemas.openxmlformats.org/officeDocument/2006/relationships/hyperlink" Target="http://www.riss.kr/link?id=S26171" TargetMode="External"/><Relationship Id="rId908" Type="http://schemas.openxmlformats.org/officeDocument/2006/relationships/hyperlink" Target="http://www.riss.kr/link?id=S48722" TargetMode="External"/><Relationship Id="rId242" Type="http://schemas.openxmlformats.org/officeDocument/2006/relationships/hyperlink" Target="http://www.riss.kr/link?id=S16119" TargetMode="External"/><Relationship Id="rId894" Type="http://schemas.openxmlformats.org/officeDocument/2006/relationships/hyperlink" Target="http://www.riss.kr/link?id=S416788" TargetMode="External"/><Relationship Id="rId37" Type="http://schemas.openxmlformats.org/officeDocument/2006/relationships/hyperlink" Target="http://www.riss.kr/link?id=S15668" TargetMode="External"/><Relationship Id="rId102" Type="http://schemas.openxmlformats.org/officeDocument/2006/relationships/hyperlink" Target="http://www.riss.kr/link?id=S16989" TargetMode="External"/><Relationship Id="rId547" Type="http://schemas.openxmlformats.org/officeDocument/2006/relationships/hyperlink" Target="http://www.riss.kr/link?id=S73295" TargetMode="External"/><Relationship Id="rId754" Type="http://schemas.openxmlformats.org/officeDocument/2006/relationships/hyperlink" Target="http://www.riss.kr/link?id=S31011773" TargetMode="External"/><Relationship Id="rId961" Type="http://schemas.openxmlformats.org/officeDocument/2006/relationships/hyperlink" Target="http://www.riss.kr/link?id=S104180" TargetMode="External"/><Relationship Id="rId90" Type="http://schemas.openxmlformats.org/officeDocument/2006/relationships/hyperlink" Target="http://www.riss.kr/link?id=S29005" TargetMode="External"/><Relationship Id="rId186" Type="http://schemas.openxmlformats.org/officeDocument/2006/relationships/hyperlink" Target="http://www.riss.kr/link?id=S31000325" TargetMode="External"/><Relationship Id="rId393" Type="http://schemas.openxmlformats.org/officeDocument/2006/relationships/hyperlink" Target="http://www.riss.kr/link?id=S16064" TargetMode="External"/><Relationship Id="rId407" Type="http://schemas.openxmlformats.org/officeDocument/2006/relationships/hyperlink" Target="http://www.riss.kr/link?id=S97822" TargetMode="External"/><Relationship Id="rId614" Type="http://schemas.openxmlformats.org/officeDocument/2006/relationships/hyperlink" Target="http://www.riss.kr/link?id=S5548" TargetMode="External"/><Relationship Id="rId821" Type="http://schemas.openxmlformats.org/officeDocument/2006/relationships/hyperlink" Target="http://www.riss.kr/link?id=S19603" TargetMode="External"/><Relationship Id="rId253" Type="http://schemas.openxmlformats.org/officeDocument/2006/relationships/hyperlink" Target="http://www.riss.kr/link?id=S30004950" TargetMode="External"/><Relationship Id="rId460" Type="http://schemas.openxmlformats.org/officeDocument/2006/relationships/hyperlink" Target="http://www.riss.kr/link?id=S11575513" TargetMode="External"/><Relationship Id="rId698" Type="http://schemas.openxmlformats.org/officeDocument/2006/relationships/hyperlink" Target="http://www.riss.kr/link?id=S13274" TargetMode="External"/><Relationship Id="rId919" Type="http://schemas.openxmlformats.org/officeDocument/2006/relationships/hyperlink" Target="http://www.riss.kr/link?id=S38258" TargetMode="External"/><Relationship Id="rId48" Type="http://schemas.openxmlformats.org/officeDocument/2006/relationships/hyperlink" Target="http://www.riss.kr/link?id=S17579" TargetMode="External"/><Relationship Id="rId113" Type="http://schemas.openxmlformats.org/officeDocument/2006/relationships/hyperlink" Target="http://www.riss.kr/link?id=S28294" TargetMode="External"/><Relationship Id="rId320" Type="http://schemas.openxmlformats.org/officeDocument/2006/relationships/hyperlink" Target="http://www.riss.kr/link?id=S21689" TargetMode="External"/><Relationship Id="rId558" Type="http://schemas.openxmlformats.org/officeDocument/2006/relationships/hyperlink" Target="http://www.riss.kr/link?id=S115629" TargetMode="External"/><Relationship Id="rId765" Type="http://schemas.openxmlformats.org/officeDocument/2006/relationships/hyperlink" Target="http://www.riss.kr/link?id=S31028687" TargetMode="External"/><Relationship Id="rId972" Type="http://schemas.openxmlformats.org/officeDocument/2006/relationships/hyperlink" Target="http://www.riss.kr/link?id=S85829" TargetMode="External"/><Relationship Id="rId197" Type="http://schemas.openxmlformats.org/officeDocument/2006/relationships/hyperlink" Target="http://www.riss.kr/link?id=S414391" TargetMode="External"/><Relationship Id="rId418" Type="http://schemas.openxmlformats.org/officeDocument/2006/relationships/hyperlink" Target="http://www.riss.kr/link?id=S13289" TargetMode="External"/><Relationship Id="rId625" Type="http://schemas.openxmlformats.org/officeDocument/2006/relationships/hyperlink" Target="http://www.riss.kr/link?id=S15954" TargetMode="External"/><Relationship Id="rId832" Type="http://schemas.openxmlformats.org/officeDocument/2006/relationships/hyperlink" Target="http://www.riss.kr/link?id=S48404" TargetMode="External"/><Relationship Id="rId264" Type="http://schemas.openxmlformats.org/officeDocument/2006/relationships/hyperlink" Target="http://www.riss.kr/link?id=S402265" TargetMode="External"/><Relationship Id="rId471" Type="http://schemas.openxmlformats.org/officeDocument/2006/relationships/hyperlink" Target="http://www.riss.kr/link?id=S21692" TargetMode="External"/><Relationship Id="rId59" Type="http://schemas.openxmlformats.org/officeDocument/2006/relationships/hyperlink" Target="http://www.riss.kr/link?id=S21302" TargetMode="External"/><Relationship Id="rId124" Type="http://schemas.openxmlformats.org/officeDocument/2006/relationships/hyperlink" Target="http://www.riss.kr/link?id=S16440" TargetMode="External"/><Relationship Id="rId569" Type="http://schemas.openxmlformats.org/officeDocument/2006/relationships/hyperlink" Target="http://www.riss.kr/link?id=S24337" TargetMode="External"/><Relationship Id="rId776" Type="http://schemas.openxmlformats.org/officeDocument/2006/relationships/hyperlink" Target="http://www.riss.kr/link?id=S414819" TargetMode="External"/><Relationship Id="rId331" Type="http://schemas.openxmlformats.org/officeDocument/2006/relationships/hyperlink" Target="http://www.riss.kr/link?id=S414304" TargetMode="External"/><Relationship Id="rId429" Type="http://schemas.openxmlformats.org/officeDocument/2006/relationships/hyperlink" Target="http://www.riss.kr/link?id=S90000827" TargetMode="External"/><Relationship Id="rId636" Type="http://schemas.openxmlformats.org/officeDocument/2006/relationships/hyperlink" Target="http://www.riss.kr/link?id=S107335" TargetMode="External"/><Relationship Id="rId843" Type="http://schemas.openxmlformats.org/officeDocument/2006/relationships/hyperlink" Target="http://www.riss.kr/link?id=S48729" TargetMode="External"/><Relationship Id="rId275" Type="http://schemas.openxmlformats.org/officeDocument/2006/relationships/hyperlink" Target="http://www.riss.kr/link?id=S31000353" TargetMode="External"/><Relationship Id="rId482" Type="http://schemas.openxmlformats.org/officeDocument/2006/relationships/hyperlink" Target="http://www.riss.kr/link?id=S11588287" TargetMode="External"/><Relationship Id="rId703" Type="http://schemas.openxmlformats.org/officeDocument/2006/relationships/hyperlink" Target="http://www.riss.kr/link?id=S80310" TargetMode="External"/><Relationship Id="rId910" Type="http://schemas.openxmlformats.org/officeDocument/2006/relationships/hyperlink" Target="http://www.riss.kr/link?id=S84179" TargetMode="External"/><Relationship Id="rId135" Type="http://schemas.openxmlformats.org/officeDocument/2006/relationships/hyperlink" Target="http://www.riss.kr/link?id=S30004502" TargetMode="External"/><Relationship Id="rId342" Type="http://schemas.openxmlformats.org/officeDocument/2006/relationships/hyperlink" Target="http://www.riss.kr/link?id=S12566" TargetMode="External"/><Relationship Id="rId787" Type="http://schemas.openxmlformats.org/officeDocument/2006/relationships/hyperlink" Target="http://www.riss.kr/link?id=S64419" TargetMode="External"/><Relationship Id="rId202" Type="http://schemas.openxmlformats.org/officeDocument/2006/relationships/hyperlink" Target="http://www.riss.kr/link?id=S401818" TargetMode="External"/><Relationship Id="rId647" Type="http://schemas.openxmlformats.org/officeDocument/2006/relationships/hyperlink" Target="http://www.riss.kr/link?id=S417529" TargetMode="External"/><Relationship Id="rId854" Type="http://schemas.openxmlformats.org/officeDocument/2006/relationships/hyperlink" Target="http://www.riss.kr/link?id=S63709" TargetMode="External"/><Relationship Id="rId286" Type="http://schemas.openxmlformats.org/officeDocument/2006/relationships/hyperlink" Target="http://www.riss.kr/link?id=S61420" TargetMode="External"/><Relationship Id="rId493" Type="http://schemas.openxmlformats.org/officeDocument/2006/relationships/hyperlink" Target="http://www.riss.kr/link?id=S11573535" TargetMode="External"/><Relationship Id="rId507" Type="http://schemas.openxmlformats.org/officeDocument/2006/relationships/hyperlink" Target="http://www.riss.kr/link?id=S20012366" TargetMode="External"/><Relationship Id="rId714" Type="http://schemas.openxmlformats.org/officeDocument/2006/relationships/hyperlink" Target="http://www.riss.kr/link?id=S43399" TargetMode="External"/><Relationship Id="rId921" Type="http://schemas.openxmlformats.org/officeDocument/2006/relationships/hyperlink" Target="http://www.riss.kr/link?id=S104082" TargetMode="External"/><Relationship Id="rId50" Type="http://schemas.openxmlformats.org/officeDocument/2006/relationships/hyperlink" Target="http://www.riss.kr/link?id=S17393" TargetMode="External"/><Relationship Id="rId146" Type="http://schemas.openxmlformats.org/officeDocument/2006/relationships/hyperlink" Target="http://www.riss.kr/link?id=S17552" TargetMode="External"/><Relationship Id="rId353" Type="http://schemas.openxmlformats.org/officeDocument/2006/relationships/hyperlink" Target="http://www.riss.kr/link?id=S411965" TargetMode="External"/><Relationship Id="rId560" Type="http://schemas.openxmlformats.org/officeDocument/2006/relationships/hyperlink" Target="http://www.riss.kr/link?id=S18799" TargetMode="External"/><Relationship Id="rId798" Type="http://schemas.openxmlformats.org/officeDocument/2006/relationships/hyperlink" Target="http://www.riss.kr/link?id=S62294" TargetMode="External"/><Relationship Id="rId213" Type="http://schemas.openxmlformats.org/officeDocument/2006/relationships/hyperlink" Target="http://www.riss.kr/link?id=S17318" TargetMode="External"/><Relationship Id="rId420" Type="http://schemas.openxmlformats.org/officeDocument/2006/relationships/hyperlink" Target="http://www.riss.kr/link?id=S28470" TargetMode="External"/><Relationship Id="rId658" Type="http://schemas.openxmlformats.org/officeDocument/2006/relationships/hyperlink" Target="http://www.riss.kr/link?id=S17031" TargetMode="External"/><Relationship Id="rId865" Type="http://schemas.openxmlformats.org/officeDocument/2006/relationships/hyperlink" Target="http://www.riss.kr/link?id=S63464" TargetMode="External"/><Relationship Id="rId297" Type="http://schemas.openxmlformats.org/officeDocument/2006/relationships/hyperlink" Target="http://www.riss.kr/link?id=S24614" TargetMode="External"/><Relationship Id="rId518" Type="http://schemas.openxmlformats.org/officeDocument/2006/relationships/hyperlink" Target="http://www.riss.kr/link?id=S17254" TargetMode="External"/><Relationship Id="rId725" Type="http://schemas.openxmlformats.org/officeDocument/2006/relationships/hyperlink" Target="http://www.riss.kr/link?id=S50066" TargetMode="External"/><Relationship Id="rId932" Type="http://schemas.openxmlformats.org/officeDocument/2006/relationships/hyperlink" Target="http://www.riss.kr/link?id=S143626" TargetMode="External"/><Relationship Id="rId157" Type="http://schemas.openxmlformats.org/officeDocument/2006/relationships/hyperlink" Target="http://www.riss.kr/link?id=S82964" TargetMode="External"/><Relationship Id="rId364" Type="http://schemas.openxmlformats.org/officeDocument/2006/relationships/hyperlink" Target="http://www.riss.kr/link?id=S31004980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90482" TargetMode="External"/><Relationship Id="rId671" Type="http://schemas.openxmlformats.org/officeDocument/2006/relationships/hyperlink" Target="http://www.riss.kr/link?id=S43165" TargetMode="External"/><Relationship Id="rId769" Type="http://schemas.openxmlformats.org/officeDocument/2006/relationships/hyperlink" Target="http://www.riss.kr/link?id=S416102" TargetMode="External"/><Relationship Id="rId976" Type="http://schemas.openxmlformats.org/officeDocument/2006/relationships/hyperlink" Target="http://www.riss.kr/link?id=S35578" TargetMode="External"/><Relationship Id="rId21" Type="http://schemas.openxmlformats.org/officeDocument/2006/relationships/hyperlink" Target="http://www.riss.kr/link?id=S143755" TargetMode="External"/><Relationship Id="rId324" Type="http://schemas.openxmlformats.org/officeDocument/2006/relationships/hyperlink" Target="http://www.riss.kr/link?id=S405313" TargetMode="External"/><Relationship Id="rId531" Type="http://schemas.openxmlformats.org/officeDocument/2006/relationships/hyperlink" Target="http://www.riss.kr/link?id=S20069046" TargetMode="External"/><Relationship Id="rId629" Type="http://schemas.openxmlformats.org/officeDocument/2006/relationships/hyperlink" Target="http://www.riss.kr/link?id=S31015676" TargetMode="External"/><Relationship Id="rId170" Type="http://schemas.openxmlformats.org/officeDocument/2006/relationships/hyperlink" Target="http://www.riss.kr/link?id=S61578" TargetMode="External"/><Relationship Id="rId836" Type="http://schemas.openxmlformats.org/officeDocument/2006/relationships/hyperlink" Target="http://www.riss.kr/link?id=S35290" TargetMode="External"/><Relationship Id="rId268" Type="http://schemas.openxmlformats.org/officeDocument/2006/relationships/hyperlink" Target="http://www.riss.kr/link?id=S404348" TargetMode="External"/><Relationship Id="rId475" Type="http://schemas.openxmlformats.org/officeDocument/2006/relationships/hyperlink" Target="http://www.riss.kr/link?id=S20215" TargetMode="External"/><Relationship Id="rId682" Type="http://schemas.openxmlformats.org/officeDocument/2006/relationships/hyperlink" Target="http://www.riss.kr/link?id=S29090" TargetMode="External"/><Relationship Id="rId903" Type="http://schemas.openxmlformats.org/officeDocument/2006/relationships/hyperlink" Target="http://www.riss.kr/link?id=S62753" TargetMode="External"/><Relationship Id="rId32" Type="http://schemas.openxmlformats.org/officeDocument/2006/relationships/hyperlink" Target="http://www.riss.kr/link?id=S16316" TargetMode="External"/><Relationship Id="rId128" Type="http://schemas.openxmlformats.org/officeDocument/2006/relationships/hyperlink" Target="http://www.riss.kr/link?id=S15647" TargetMode="External"/><Relationship Id="rId335" Type="http://schemas.openxmlformats.org/officeDocument/2006/relationships/hyperlink" Target="http://www.riss.kr/link?id=S5079" TargetMode="External"/><Relationship Id="rId542" Type="http://schemas.openxmlformats.org/officeDocument/2006/relationships/hyperlink" Target="http://www.riss.kr/link?id=S14360" TargetMode="External"/><Relationship Id="rId181" Type="http://schemas.openxmlformats.org/officeDocument/2006/relationships/hyperlink" Target="http://www.riss.kr/link?id=S16953" TargetMode="External"/><Relationship Id="rId402" Type="http://schemas.openxmlformats.org/officeDocument/2006/relationships/hyperlink" Target="http://www.riss.kr/link?id=S21317" TargetMode="External"/><Relationship Id="rId847" Type="http://schemas.openxmlformats.org/officeDocument/2006/relationships/hyperlink" Target="http://www.riss.kr/link?id=S50135" TargetMode="External"/><Relationship Id="rId279" Type="http://schemas.openxmlformats.org/officeDocument/2006/relationships/hyperlink" Target="http://www.riss.kr/link?id=S31010133" TargetMode="External"/><Relationship Id="rId486" Type="http://schemas.openxmlformats.org/officeDocument/2006/relationships/hyperlink" Target="http://www.riss.kr/link?id=S16024" TargetMode="External"/><Relationship Id="rId693" Type="http://schemas.openxmlformats.org/officeDocument/2006/relationships/hyperlink" Target="http://www.riss.kr/link?id=S12262" TargetMode="External"/><Relationship Id="rId707" Type="http://schemas.openxmlformats.org/officeDocument/2006/relationships/hyperlink" Target="http://www.riss.kr/link?id=S53708" TargetMode="External"/><Relationship Id="rId914" Type="http://schemas.openxmlformats.org/officeDocument/2006/relationships/hyperlink" Target="http://www.riss.kr/link?id=S80221" TargetMode="External"/><Relationship Id="rId43" Type="http://schemas.openxmlformats.org/officeDocument/2006/relationships/hyperlink" Target="http://www.riss.kr/link?id=S83265" TargetMode="External"/><Relationship Id="rId139" Type="http://schemas.openxmlformats.org/officeDocument/2006/relationships/hyperlink" Target="http://www.riss.kr/link?id=S16969" TargetMode="External"/><Relationship Id="rId346" Type="http://schemas.openxmlformats.org/officeDocument/2006/relationships/hyperlink" Target="http://www.riss.kr/link?id=S15020" TargetMode="External"/><Relationship Id="rId553" Type="http://schemas.openxmlformats.org/officeDocument/2006/relationships/hyperlink" Target="http://www.riss.kr/link?id=S20951" TargetMode="External"/><Relationship Id="rId760" Type="http://schemas.openxmlformats.org/officeDocument/2006/relationships/hyperlink" Target="http://www.riss.kr/link?id=S115391" TargetMode="External"/><Relationship Id="rId192" Type="http://schemas.openxmlformats.org/officeDocument/2006/relationships/hyperlink" Target="http://www.riss.kr/link?id=S13455" TargetMode="External"/><Relationship Id="rId206" Type="http://schemas.openxmlformats.org/officeDocument/2006/relationships/hyperlink" Target="http://www.riss.kr/link?id=S63720" TargetMode="External"/><Relationship Id="rId413" Type="http://schemas.openxmlformats.org/officeDocument/2006/relationships/hyperlink" Target="http://www.riss.kr/link?id=S16907" TargetMode="External"/><Relationship Id="rId858" Type="http://schemas.openxmlformats.org/officeDocument/2006/relationships/hyperlink" Target="http://www.riss.kr/link?id=S115749" TargetMode="External"/><Relationship Id="rId497" Type="http://schemas.openxmlformats.org/officeDocument/2006/relationships/hyperlink" Target="http://www.riss.kr/link?id=S407614" TargetMode="External"/><Relationship Id="rId620" Type="http://schemas.openxmlformats.org/officeDocument/2006/relationships/hyperlink" Target="http://www.riss.kr/link?id=S17210" TargetMode="External"/><Relationship Id="rId718" Type="http://schemas.openxmlformats.org/officeDocument/2006/relationships/hyperlink" Target="http://www.riss.kr/link?id=S115374" TargetMode="External"/><Relationship Id="rId925" Type="http://schemas.openxmlformats.org/officeDocument/2006/relationships/hyperlink" Target="http://www.riss.kr/link?id=S19733" TargetMode="External"/><Relationship Id="rId357" Type="http://schemas.openxmlformats.org/officeDocument/2006/relationships/hyperlink" Target="http://www.riss.kr/link?id=S16077" TargetMode="External"/><Relationship Id="rId54" Type="http://schemas.openxmlformats.org/officeDocument/2006/relationships/hyperlink" Target="http://www.riss.kr/link?id=S6788" TargetMode="External"/><Relationship Id="rId217" Type="http://schemas.openxmlformats.org/officeDocument/2006/relationships/hyperlink" Target="http://www.riss.kr/link?id=S414544" TargetMode="External"/><Relationship Id="rId564" Type="http://schemas.openxmlformats.org/officeDocument/2006/relationships/hyperlink" Target="http://www.riss.kr/link?id=S58540" TargetMode="External"/><Relationship Id="rId771" Type="http://schemas.openxmlformats.org/officeDocument/2006/relationships/hyperlink" Target="http://www.riss.kr/link?id=S58267" TargetMode="External"/><Relationship Id="rId869" Type="http://schemas.openxmlformats.org/officeDocument/2006/relationships/hyperlink" Target="http://www.riss.kr/link?id=S85462" TargetMode="External"/><Relationship Id="rId424" Type="http://schemas.openxmlformats.org/officeDocument/2006/relationships/hyperlink" Target="http://www.riss.kr/link?id=S12915" TargetMode="External"/><Relationship Id="rId631" Type="http://schemas.openxmlformats.org/officeDocument/2006/relationships/hyperlink" Target="http://www.riss.kr/link?id=S416272" TargetMode="External"/><Relationship Id="rId729" Type="http://schemas.openxmlformats.org/officeDocument/2006/relationships/hyperlink" Target="http://www.riss.kr/link?id=S20015069" TargetMode="External"/><Relationship Id="rId270" Type="http://schemas.openxmlformats.org/officeDocument/2006/relationships/hyperlink" Target="http://www.riss.kr/link?id=S405412" TargetMode="External"/><Relationship Id="rId936" Type="http://schemas.openxmlformats.org/officeDocument/2006/relationships/hyperlink" Target="http://www.riss.kr/link?id=S62819" TargetMode="External"/><Relationship Id="rId65" Type="http://schemas.openxmlformats.org/officeDocument/2006/relationships/hyperlink" Target="http://www.riss.kr/link?id=S29072" TargetMode="External"/><Relationship Id="rId130" Type="http://schemas.openxmlformats.org/officeDocument/2006/relationships/hyperlink" Target="http://www.riss.kr/link?id=S60957" TargetMode="External"/><Relationship Id="rId368" Type="http://schemas.openxmlformats.org/officeDocument/2006/relationships/hyperlink" Target="http://www.riss.kr/link?id=S24593" TargetMode="External"/><Relationship Id="rId575" Type="http://schemas.openxmlformats.org/officeDocument/2006/relationships/hyperlink" Target="http://www.riss.kr/link?id=S24135" TargetMode="External"/><Relationship Id="rId782" Type="http://schemas.openxmlformats.org/officeDocument/2006/relationships/hyperlink" Target="http://www.riss.kr/link?id=S114439" TargetMode="External"/><Relationship Id="rId228" Type="http://schemas.openxmlformats.org/officeDocument/2006/relationships/hyperlink" Target="http://www.riss.kr/link?id=S92049" TargetMode="External"/><Relationship Id="rId435" Type="http://schemas.openxmlformats.org/officeDocument/2006/relationships/hyperlink" Target="http://www.riss.kr/link?id=S414984" TargetMode="External"/><Relationship Id="rId642" Type="http://schemas.openxmlformats.org/officeDocument/2006/relationships/hyperlink" Target="http://www.riss.kr/link?id=S417604" TargetMode="External"/><Relationship Id="rId281" Type="http://schemas.openxmlformats.org/officeDocument/2006/relationships/hyperlink" Target="http://www.riss.kr/link?id=S31011616" TargetMode="External"/><Relationship Id="rId502" Type="http://schemas.openxmlformats.org/officeDocument/2006/relationships/hyperlink" Target="http://www.riss.kr/link?id=S50051" TargetMode="External"/><Relationship Id="rId947" Type="http://schemas.openxmlformats.org/officeDocument/2006/relationships/hyperlink" Target="http://www.riss.kr/link?id=S61680" TargetMode="External"/><Relationship Id="rId76" Type="http://schemas.openxmlformats.org/officeDocument/2006/relationships/hyperlink" Target="http://www.riss.kr/link?id=S13034" TargetMode="External"/><Relationship Id="rId141" Type="http://schemas.openxmlformats.org/officeDocument/2006/relationships/hyperlink" Target="http://www.riss.kr/link?id=S30000666" TargetMode="External"/><Relationship Id="rId379" Type="http://schemas.openxmlformats.org/officeDocument/2006/relationships/hyperlink" Target="http://www.riss.kr/link?id=S103752" TargetMode="External"/><Relationship Id="rId586" Type="http://schemas.openxmlformats.org/officeDocument/2006/relationships/hyperlink" Target="http://www.riss.kr/link?id=S13243" TargetMode="External"/><Relationship Id="rId793" Type="http://schemas.openxmlformats.org/officeDocument/2006/relationships/hyperlink" Target="http://www.riss.kr/link?id=S20010476" TargetMode="External"/><Relationship Id="rId807" Type="http://schemas.openxmlformats.org/officeDocument/2006/relationships/hyperlink" Target="http://www.riss.kr/link?id=S7757" TargetMode="External"/><Relationship Id="rId7" Type="http://schemas.openxmlformats.org/officeDocument/2006/relationships/hyperlink" Target="http://www.riss.kr/link?id=S11597808" TargetMode="External"/><Relationship Id="rId239" Type="http://schemas.openxmlformats.org/officeDocument/2006/relationships/hyperlink" Target="http://www.riss.kr/link?id=S16189" TargetMode="External"/><Relationship Id="rId446" Type="http://schemas.openxmlformats.org/officeDocument/2006/relationships/hyperlink" Target="http://www.riss.kr/link?id=S13259" TargetMode="External"/><Relationship Id="rId653" Type="http://schemas.openxmlformats.org/officeDocument/2006/relationships/hyperlink" Target="http://www.riss.kr/link?id=S6600" TargetMode="External"/><Relationship Id="rId292" Type="http://schemas.openxmlformats.org/officeDocument/2006/relationships/hyperlink" Target="http://www.riss.kr/link?id=S136637" TargetMode="External"/><Relationship Id="rId306" Type="http://schemas.openxmlformats.org/officeDocument/2006/relationships/hyperlink" Target="http://www.riss.kr/link?id=S103439" TargetMode="External"/><Relationship Id="rId860" Type="http://schemas.openxmlformats.org/officeDocument/2006/relationships/hyperlink" Target="http://www.riss.kr/link?id=S104164" TargetMode="External"/><Relationship Id="rId958" Type="http://schemas.openxmlformats.org/officeDocument/2006/relationships/hyperlink" Target="http://www.riss.kr/link?id=S104204" TargetMode="External"/><Relationship Id="rId87" Type="http://schemas.openxmlformats.org/officeDocument/2006/relationships/hyperlink" Target="http://www.riss.kr/link?id=S11582253" TargetMode="External"/><Relationship Id="rId513" Type="http://schemas.openxmlformats.org/officeDocument/2006/relationships/hyperlink" Target="http://www.riss.kr/link?id=S83171" TargetMode="External"/><Relationship Id="rId597" Type="http://schemas.openxmlformats.org/officeDocument/2006/relationships/hyperlink" Target="http://www.riss.kr/link?id=S13542" TargetMode="External"/><Relationship Id="rId720" Type="http://schemas.openxmlformats.org/officeDocument/2006/relationships/hyperlink" Target="http://www.riss.kr/link?id=S13026" TargetMode="External"/><Relationship Id="rId818" Type="http://schemas.openxmlformats.org/officeDocument/2006/relationships/hyperlink" Target="http://www.riss.kr/link?id=S60897" TargetMode="External"/><Relationship Id="rId152" Type="http://schemas.openxmlformats.org/officeDocument/2006/relationships/hyperlink" Target="http://www.riss.kr/link?id=S403698" TargetMode="External"/><Relationship Id="rId457" Type="http://schemas.openxmlformats.org/officeDocument/2006/relationships/hyperlink" Target="http://www.riss.kr/link?id=S11927" TargetMode="External"/><Relationship Id="rId664" Type="http://schemas.openxmlformats.org/officeDocument/2006/relationships/hyperlink" Target="http://www.riss.kr/link?id=S17423" TargetMode="External"/><Relationship Id="rId871" Type="http://schemas.openxmlformats.org/officeDocument/2006/relationships/hyperlink" Target="http://www.riss.kr/link?id=S116123" TargetMode="External"/><Relationship Id="rId969" Type="http://schemas.openxmlformats.org/officeDocument/2006/relationships/hyperlink" Target="http://www.riss.kr/link?id=S63728" TargetMode="External"/><Relationship Id="rId14" Type="http://schemas.openxmlformats.org/officeDocument/2006/relationships/hyperlink" Target="http://www.riss.kr/link?id=S418336" TargetMode="External"/><Relationship Id="rId317" Type="http://schemas.openxmlformats.org/officeDocument/2006/relationships/hyperlink" Target="http://www.riss.kr/link?id=S13700" TargetMode="External"/><Relationship Id="rId524" Type="http://schemas.openxmlformats.org/officeDocument/2006/relationships/hyperlink" Target="http://www.riss.kr/link?id=S28869" TargetMode="External"/><Relationship Id="rId731" Type="http://schemas.openxmlformats.org/officeDocument/2006/relationships/hyperlink" Target="http://www.riss.kr/link?id=S16670" TargetMode="External"/><Relationship Id="rId98" Type="http://schemas.openxmlformats.org/officeDocument/2006/relationships/hyperlink" Target="http://www.riss.kr/link?id=S405354" TargetMode="External"/><Relationship Id="rId163" Type="http://schemas.openxmlformats.org/officeDocument/2006/relationships/hyperlink" Target="http://www.riss.kr/link?id=S408343" TargetMode="External"/><Relationship Id="rId370" Type="http://schemas.openxmlformats.org/officeDocument/2006/relationships/hyperlink" Target="http://www.riss.kr/link?id=S11645644" TargetMode="External"/><Relationship Id="rId829" Type="http://schemas.openxmlformats.org/officeDocument/2006/relationships/hyperlink" Target="http://www.riss.kr/link?id=S67352" TargetMode="External"/><Relationship Id="rId230" Type="http://schemas.openxmlformats.org/officeDocument/2006/relationships/hyperlink" Target="http://www.riss.kr/link?id=S31157" TargetMode="External"/><Relationship Id="rId468" Type="http://schemas.openxmlformats.org/officeDocument/2006/relationships/hyperlink" Target="http://www.riss.kr/link?id=S60909" TargetMode="External"/><Relationship Id="rId675" Type="http://schemas.openxmlformats.org/officeDocument/2006/relationships/hyperlink" Target="http://www.riss.kr/link?id=S13525" TargetMode="External"/><Relationship Id="rId882" Type="http://schemas.openxmlformats.org/officeDocument/2006/relationships/hyperlink" Target="http://www.riss.kr/link?id=S20085286" TargetMode="External"/><Relationship Id="rId25" Type="http://schemas.openxmlformats.org/officeDocument/2006/relationships/hyperlink" Target="http://www.riss.kr/link?id=S11644176" TargetMode="External"/><Relationship Id="rId328" Type="http://schemas.openxmlformats.org/officeDocument/2006/relationships/hyperlink" Target="http://www.riss.kr/link?id=S30000647" TargetMode="External"/><Relationship Id="rId535" Type="http://schemas.openxmlformats.org/officeDocument/2006/relationships/hyperlink" Target="http://www.riss.kr/link?id=S114686" TargetMode="External"/><Relationship Id="rId742" Type="http://schemas.openxmlformats.org/officeDocument/2006/relationships/hyperlink" Target="http://www.riss.kr/link?id=S17458" TargetMode="External"/><Relationship Id="rId174" Type="http://schemas.openxmlformats.org/officeDocument/2006/relationships/hyperlink" Target="http://www.riss.kr/link?id=S20417" TargetMode="External"/><Relationship Id="rId381" Type="http://schemas.openxmlformats.org/officeDocument/2006/relationships/hyperlink" Target="http://www.riss.kr/link?id=S15726" TargetMode="External"/><Relationship Id="rId602" Type="http://schemas.openxmlformats.org/officeDocument/2006/relationships/hyperlink" Target="http://www.riss.kr/link?id=S20886" TargetMode="External"/><Relationship Id="rId241" Type="http://schemas.openxmlformats.org/officeDocument/2006/relationships/hyperlink" Target="http://www.riss.kr/link?id=S21143" TargetMode="External"/><Relationship Id="rId479" Type="http://schemas.openxmlformats.org/officeDocument/2006/relationships/hyperlink" Target="http://www.riss.kr/link?id=S31013729" TargetMode="External"/><Relationship Id="rId686" Type="http://schemas.openxmlformats.org/officeDocument/2006/relationships/hyperlink" Target="http://www.riss.kr/link?id=S14380" TargetMode="External"/><Relationship Id="rId893" Type="http://schemas.openxmlformats.org/officeDocument/2006/relationships/hyperlink" Target="http://www.riss.kr/link?id=S19681" TargetMode="External"/><Relationship Id="rId907" Type="http://schemas.openxmlformats.org/officeDocument/2006/relationships/hyperlink" Target="http://www.riss.kr/link?id=S60119" TargetMode="External"/><Relationship Id="rId36" Type="http://schemas.openxmlformats.org/officeDocument/2006/relationships/hyperlink" Target="http://www.riss.kr/link?id=S31002771" TargetMode="External"/><Relationship Id="rId339" Type="http://schemas.openxmlformats.org/officeDocument/2006/relationships/hyperlink" Target="http://www.riss.kr/link?id=S15023" TargetMode="External"/><Relationship Id="rId546" Type="http://schemas.openxmlformats.org/officeDocument/2006/relationships/hyperlink" Target="http://www.riss.kr/link?id=S105342" TargetMode="External"/><Relationship Id="rId753" Type="http://schemas.openxmlformats.org/officeDocument/2006/relationships/hyperlink" Target="http://www.riss.kr/link?id=S61686" TargetMode="External"/><Relationship Id="rId101" Type="http://schemas.openxmlformats.org/officeDocument/2006/relationships/hyperlink" Target="http://www.riss.kr/link?id=S16573" TargetMode="External"/><Relationship Id="rId185" Type="http://schemas.openxmlformats.org/officeDocument/2006/relationships/hyperlink" Target="http://www.riss.kr/link?id=S29119" TargetMode="External"/><Relationship Id="rId406" Type="http://schemas.openxmlformats.org/officeDocument/2006/relationships/hyperlink" Target="http://www.riss.kr/link?id=S29059" TargetMode="External"/><Relationship Id="rId960" Type="http://schemas.openxmlformats.org/officeDocument/2006/relationships/hyperlink" Target="http://www.riss.kr/link?id=S104122" TargetMode="External"/><Relationship Id="rId392" Type="http://schemas.openxmlformats.org/officeDocument/2006/relationships/hyperlink" Target="http://www.riss.kr/link?id=S36261" TargetMode="External"/><Relationship Id="rId613" Type="http://schemas.openxmlformats.org/officeDocument/2006/relationships/hyperlink" Target="http://www.riss.kr/link?id=S11644259" TargetMode="External"/><Relationship Id="rId697" Type="http://schemas.openxmlformats.org/officeDocument/2006/relationships/hyperlink" Target="http://www.riss.kr/link?id=S68638" TargetMode="External"/><Relationship Id="rId820" Type="http://schemas.openxmlformats.org/officeDocument/2006/relationships/hyperlink" Target="http://www.riss.kr/link?id=S27803" TargetMode="External"/><Relationship Id="rId918" Type="http://schemas.openxmlformats.org/officeDocument/2006/relationships/hyperlink" Target="http://www.riss.kr/link?id=S61209" TargetMode="External"/><Relationship Id="rId252" Type="http://schemas.openxmlformats.org/officeDocument/2006/relationships/hyperlink" Target="http://www.riss.kr/link?id=S29360" TargetMode="External"/><Relationship Id="rId47" Type="http://schemas.openxmlformats.org/officeDocument/2006/relationships/hyperlink" Target="http://www.riss.kr/link?id=S16589" TargetMode="External"/><Relationship Id="rId112" Type="http://schemas.openxmlformats.org/officeDocument/2006/relationships/hyperlink" Target="http://www.riss.kr/link?id=S17150" TargetMode="External"/><Relationship Id="rId557" Type="http://schemas.openxmlformats.org/officeDocument/2006/relationships/hyperlink" Target="http://www.riss.kr/link?id=S415066" TargetMode="External"/><Relationship Id="rId764" Type="http://schemas.openxmlformats.org/officeDocument/2006/relationships/hyperlink" Target="http://www.riss.kr/link?id=S11574764" TargetMode="External"/><Relationship Id="rId971" Type="http://schemas.openxmlformats.org/officeDocument/2006/relationships/hyperlink" Target="http://www.riss.kr/link?id=S63688" TargetMode="External"/><Relationship Id="rId196" Type="http://schemas.openxmlformats.org/officeDocument/2006/relationships/hyperlink" Target="http://www.riss.kr/link?id=S30007518" TargetMode="External"/><Relationship Id="rId417" Type="http://schemas.openxmlformats.org/officeDocument/2006/relationships/hyperlink" Target="http://www.riss.kr/link?id=S24597" TargetMode="External"/><Relationship Id="rId624" Type="http://schemas.openxmlformats.org/officeDocument/2006/relationships/hyperlink" Target="http://www.riss.kr/link?id=S143757" TargetMode="External"/><Relationship Id="rId831" Type="http://schemas.openxmlformats.org/officeDocument/2006/relationships/hyperlink" Target="http://www.riss.kr/link?id=S54489" TargetMode="External"/><Relationship Id="rId263" Type="http://schemas.openxmlformats.org/officeDocument/2006/relationships/hyperlink" Target="http://www.riss.kr/link?id=S30006757" TargetMode="External"/><Relationship Id="rId470" Type="http://schemas.openxmlformats.org/officeDocument/2006/relationships/hyperlink" Target="http://www.riss.kr/link?id=S57498" TargetMode="External"/><Relationship Id="rId929" Type="http://schemas.openxmlformats.org/officeDocument/2006/relationships/hyperlink" Target="http://www.riss.kr/link?id=S20069376" TargetMode="External"/><Relationship Id="rId58" Type="http://schemas.openxmlformats.org/officeDocument/2006/relationships/hyperlink" Target="http://www.riss.kr/link?id=S16306" TargetMode="External"/><Relationship Id="rId123" Type="http://schemas.openxmlformats.org/officeDocument/2006/relationships/hyperlink" Target="http://www.riss.kr/link?id=S15658" TargetMode="External"/><Relationship Id="rId330" Type="http://schemas.openxmlformats.org/officeDocument/2006/relationships/hyperlink" Target="http://www.riss.kr/link?id=S418178" TargetMode="External"/><Relationship Id="rId568" Type="http://schemas.openxmlformats.org/officeDocument/2006/relationships/hyperlink" Target="http://www.riss.kr/link?id=S406197" TargetMode="External"/><Relationship Id="rId775" Type="http://schemas.openxmlformats.org/officeDocument/2006/relationships/hyperlink" Target="http://www.riss.kr/link?id=S417506" TargetMode="External"/><Relationship Id="rId428" Type="http://schemas.openxmlformats.org/officeDocument/2006/relationships/hyperlink" Target="http://www.riss.kr/link?id=S66354" TargetMode="External"/><Relationship Id="rId635" Type="http://schemas.openxmlformats.org/officeDocument/2006/relationships/hyperlink" Target="http://www.riss.kr/link?id=S72024" TargetMode="External"/><Relationship Id="rId842" Type="http://schemas.openxmlformats.org/officeDocument/2006/relationships/hyperlink" Target="http://www.riss.kr/link?id=S67972" TargetMode="External"/><Relationship Id="rId274" Type="http://schemas.openxmlformats.org/officeDocument/2006/relationships/hyperlink" Target="http://www.riss.kr/link?id=S418684" TargetMode="External"/><Relationship Id="rId481" Type="http://schemas.openxmlformats.org/officeDocument/2006/relationships/hyperlink" Target="http://www.riss.kr/link?id=S15441" TargetMode="External"/><Relationship Id="rId702" Type="http://schemas.openxmlformats.org/officeDocument/2006/relationships/hyperlink" Target="http://www.riss.kr/link?id=S410779" TargetMode="External"/><Relationship Id="rId69" Type="http://schemas.openxmlformats.org/officeDocument/2006/relationships/hyperlink" Target="http://www.riss.kr/link?id=S407021" TargetMode="External"/><Relationship Id="rId134" Type="http://schemas.openxmlformats.org/officeDocument/2006/relationships/hyperlink" Target="http://www.riss.kr/link?id=S414163" TargetMode="External"/><Relationship Id="rId579" Type="http://schemas.openxmlformats.org/officeDocument/2006/relationships/hyperlink" Target="http://www.riss.kr/link?id=S16542" TargetMode="External"/><Relationship Id="rId786" Type="http://schemas.openxmlformats.org/officeDocument/2006/relationships/hyperlink" Target="http://www.riss.kr/link?id=S88228" TargetMode="External"/><Relationship Id="rId341" Type="http://schemas.openxmlformats.org/officeDocument/2006/relationships/hyperlink" Target="http://www.riss.kr/link?id=S16081" TargetMode="External"/><Relationship Id="rId439" Type="http://schemas.openxmlformats.org/officeDocument/2006/relationships/hyperlink" Target="http://www.riss.kr/link?id=S23468" TargetMode="External"/><Relationship Id="rId646" Type="http://schemas.openxmlformats.org/officeDocument/2006/relationships/hyperlink" Target="http://www.riss.kr/link?id=S20099271" TargetMode="External"/><Relationship Id="rId201" Type="http://schemas.openxmlformats.org/officeDocument/2006/relationships/hyperlink" Target="http://www.riss.kr/link?id=S60840" TargetMode="External"/><Relationship Id="rId285" Type="http://schemas.openxmlformats.org/officeDocument/2006/relationships/hyperlink" Target="http://www.riss.kr/link?id=S401790" TargetMode="External"/><Relationship Id="rId506" Type="http://schemas.openxmlformats.org/officeDocument/2006/relationships/hyperlink" Target="http://www.riss.kr/link?id=S402424" TargetMode="External"/><Relationship Id="rId853" Type="http://schemas.openxmlformats.org/officeDocument/2006/relationships/hyperlink" Target="http://www.riss.kr/link?id=S20068237" TargetMode="External"/><Relationship Id="rId492" Type="http://schemas.openxmlformats.org/officeDocument/2006/relationships/hyperlink" Target="http://www.riss.kr/link?id=S20095808" TargetMode="External"/><Relationship Id="rId713" Type="http://schemas.openxmlformats.org/officeDocument/2006/relationships/hyperlink" Target="http://www.riss.kr/link?id=S17577" TargetMode="External"/><Relationship Id="rId797" Type="http://schemas.openxmlformats.org/officeDocument/2006/relationships/hyperlink" Target="http://www.riss.kr/link?id=S61213" TargetMode="External"/><Relationship Id="rId920" Type="http://schemas.openxmlformats.org/officeDocument/2006/relationships/hyperlink" Target="http://www.riss.kr/link?id=S27664" TargetMode="External"/><Relationship Id="rId145" Type="http://schemas.openxmlformats.org/officeDocument/2006/relationships/hyperlink" Target="http://www.riss.kr/link?id=S15636" TargetMode="External"/><Relationship Id="rId352" Type="http://schemas.openxmlformats.org/officeDocument/2006/relationships/hyperlink" Target="http://www.riss.kr/link?id=S29016" TargetMode="External"/><Relationship Id="rId212" Type="http://schemas.openxmlformats.org/officeDocument/2006/relationships/hyperlink" Target="http://www.riss.kr/link?id=S38401" TargetMode="External"/><Relationship Id="rId657" Type="http://schemas.openxmlformats.org/officeDocument/2006/relationships/hyperlink" Target="http://www.riss.kr/link?id=S418358" TargetMode="External"/><Relationship Id="rId864" Type="http://schemas.openxmlformats.org/officeDocument/2006/relationships/hyperlink" Target="http://www.riss.kr/link?id=S21959" TargetMode="External"/><Relationship Id="rId296" Type="http://schemas.openxmlformats.org/officeDocument/2006/relationships/hyperlink" Target="http://www.riss.kr/link?id=S401473" TargetMode="External"/><Relationship Id="rId517" Type="http://schemas.openxmlformats.org/officeDocument/2006/relationships/hyperlink" Target="http://www.riss.kr/link?id=S20010588" TargetMode="External"/><Relationship Id="rId724" Type="http://schemas.openxmlformats.org/officeDocument/2006/relationships/hyperlink" Target="http://www.riss.kr/link?id=S28261" TargetMode="External"/><Relationship Id="rId931" Type="http://schemas.openxmlformats.org/officeDocument/2006/relationships/hyperlink" Target="http://www.riss.kr/link?id=S61212" TargetMode="External"/><Relationship Id="rId60" Type="http://schemas.openxmlformats.org/officeDocument/2006/relationships/hyperlink" Target="http://www.riss.kr/link?id=S45403" TargetMode="External"/><Relationship Id="rId156" Type="http://schemas.openxmlformats.org/officeDocument/2006/relationships/hyperlink" Target="http://www.riss.kr/link?id=S31027851" TargetMode="External"/><Relationship Id="rId363" Type="http://schemas.openxmlformats.org/officeDocument/2006/relationships/hyperlink" Target="http://www.riss.kr/link?id=S16565" TargetMode="External"/><Relationship Id="rId570" Type="http://schemas.openxmlformats.org/officeDocument/2006/relationships/hyperlink" Target="http://www.riss.kr/link?id=S17230" TargetMode="External"/><Relationship Id="rId223" Type="http://schemas.openxmlformats.org/officeDocument/2006/relationships/hyperlink" Target="http://www.riss.kr/link?id=S16941" TargetMode="External"/><Relationship Id="rId430" Type="http://schemas.openxmlformats.org/officeDocument/2006/relationships/hyperlink" Target="http://www.riss.kr/link?id=S49464" TargetMode="External"/><Relationship Id="rId668" Type="http://schemas.openxmlformats.org/officeDocument/2006/relationships/hyperlink" Target="http://www.riss.kr/link?id=S113997" TargetMode="External"/><Relationship Id="rId875" Type="http://schemas.openxmlformats.org/officeDocument/2006/relationships/hyperlink" Target="http://www.riss.kr/link?id=S19685" TargetMode="External"/><Relationship Id="rId18" Type="http://schemas.openxmlformats.org/officeDocument/2006/relationships/hyperlink" Target="http://www.riss.kr/link?id=S90500" TargetMode="External"/><Relationship Id="rId528" Type="http://schemas.openxmlformats.org/officeDocument/2006/relationships/hyperlink" Target="http://www.riss.kr/link?id=S59777" TargetMode="External"/><Relationship Id="rId735" Type="http://schemas.openxmlformats.org/officeDocument/2006/relationships/hyperlink" Target="http://www.riss.kr/link?id=S43048" TargetMode="External"/><Relationship Id="rId942" Type="http://schemas.openxmlformats.org/officeDocument/2006/relationships/hyperlink" Target="http://www.riss.kr/link?id=S144142" TargetMode="External"/><Relationship Id="rId167" Type="http://schemas.openxmlformats.org/officeDocument/2006/relationships/hyperlink" Target="http://www.riss.kr/link?id=S412559" TargetMode="External"/><Relationship Id="rId374" Type="http://schemas.openxmlformats.org/officeDocument/2006/relationships/hyperlink" Target="http://www.riss.kr/link?id=S405339" TargetMode="External"/><Relationship Id="rId581" Type="http://schemas.openxmlformats.org/officeDocument/2006/relationships/hyperlink" Target="http://www.riss.kr/link?id=S23595" TargetMode="External"/><Relationship Id="rId71" Type="http://schemas.openxmlformats.org/officeDocument/2006/relationships/hyperlink" Target="http://www.riss.kr/link?id=S23637" TargetMode="External"/><Relationship Id="rId234" Type="http://schemas.openxmlformats.org/officeDocument/2006/relationships/hyperlink" Target="http://www.riss.kr/link?id=S403172" TargetMode="External"/><Relationship Id="rId679" Type="http://schemas.openxmlformats.org/officeDocument/2006/relationships/hyperlink" Target="http://www.riss.kr/link?id=S403200" TargetMode="External"/><Relationship Id="rId802" Type="http://schemas.openxmlformats.org/officeDocument/2006/relationships/hyperlink" Target="http://www.riss.kr/link?id=S80195" TargetMode="External"/><Relationship Id="rId886" Type="http://schemas.openxmlformats.org/officeDocument/2006/relationships/hyperlink" Target="http://www.riss.kr/link?id=S35765" TargetMode="External"/><Relationship Id="rId2" Type="http://schemas.openxmlformats.org/officeDocument/2006/relationships/hyperlink" Target="http://www.riss.kr/link?id=S16981" TargetMode="External"/><Relationship Id="rId29" Type="http://schemas.openxmlformats.org/officeDocument/2006/relationships/hyperlink" Target="http://www.riss.kr/link?id=S16319" TargetMode="External"/><Relationship Id="rId441" Type="http://schemas.openxmlformats.org/officeDocument/2006/relationships/hyperlink" Target="http://www.riss.kr/link?id=S15539" TargetMode="External"/><Relationship Id="rId539" Type="http://schemas.openxmlformats.org/officeDocument/2006/relationships/hyperlink" Target="http://www.riss.kr/link?id=S31027366" TargetMode="External"/><Relationship Id="rId746" Type="http://schemas.openxmlformats.org/officeDocument/2006/relationships/hyperlink" Target="http://www.riss.kr/link?id=S15953" TargetMode="External"/><Relationship Id="rId178" Type="http://schemas.openxmlformats.org/officeDocument/2006/relationships/hyperlink" Target="http://www.riss.kr/link?id=S405425" TargetMode="External"/><Relationship Id="rId301" Type="http://schemas.openxmlformats.org/officeDocument/2006/relationships/hyperlink" Target="http://www.riss.kr/link?id=S16089" TargetMode="External"/><Relationship Id="rId953" Type="http://schemas.openxmlformats.org/officeDocument/2006/relationships/hyperlink" Target="http://www.riss.kr/link?id=S104125" TargetMode="External"/><Relationship Id="rId82" Type="http://schemas.openxmlformats.org/officeDocument/2006/relationships/hyperlink" Target="http://www.riss.kr/link?id=S112893" TargetMode="External"/><Relationship Id="rId385" Type="http://schemas.openxmlformats.org/officeDocument/2006/relationships/hyperlink" Target="http://www.riss.kr/link?id=S16910" TargetMode="External"/><Relationship Id="rId592" Type="http://schemas.openxmlformats.org/officeDocument/2006/relationships/hyperlink" Target="http://www.riss.kr/link?id=S410425" TargetMode="External"/><Relationship Id="rId606" Type="http://schemas.openxmlformats.org/officeDocument/2006/relationships/hyperlink" Target="http://www.riss.kr/link?id=S45501" TargetMode="External"/><Relationship Id="rId813" Type="http://schemas.openxmlformats.org/officeDocument/2006/relationships/hyperlink" Target="http://www.riss.kr/link?id=S411199" TargetMode="External"/><Relationship Id="rId245" Type="http://schemas.openxmlformats.org/officeDocument/2006/relationships/hyperlink" Target="http://www.riss.kr/link?id=S115381" TargetMode="External"/><Relationship Id="rId452" Type="http://schemas.openxmlformats.org/officeDocument/2006/relationships/hyperlink" Target="http://www.riss.kr/link?id=S16897" TargetMode="External"/><Relationship Id="rId897" Type="http://schemas.openxmlformats.org/officeDocument/2006/relationships/hyperlink" Target="http://www.riss.kr/link?id=S36924" TargetMode="External"/><Relationship Id="rId105" Type="http://schemas.openxmlformats.org/officeDocument/2006/relationships/hyperlink" Target="http://www.riss.kr/link?id=S24636" TargetMode="External"/><Relationship Id="rId312" Type="http://schemas.openxmlformats.org/officeDocument/2006/relationships/hyperlink" Target="http://www.riss.kr/link?id=S416809" TargetMode="External"/><Relationship Id="rId757" Type="http://schemas.openxmlformats.org/officeDocument/2006/relationships/hyperlink" Target="http://www.riss.kr/link?id=S407845" TargetMode="External"/><Relationship Id="rId964" Type="http://schemas.openxmlformats.org/officeDocument/2006/relationships/hyperlink" Target="http://www.riss.kr/link?id=S11643948" TargetMode="External"/><Relationship Id="rId93" Type="http://schemas.openxmlformats.org/officeDocument/2006/relationships/hyperlink" Target="http://www.riss.kr/link?id=S60409" TargetMode="External"/><Relationship Id="rId189" Type="http://schemas.openxmlformats.org/officeDocument/2006/relationships/hyperlink" Target="http://www.riss.kr/link?id=S115377" TargetMode="External"/><Relationship Id="rId396" Type="http://schemas.openxmlformats.org/officeDocument/2006/relationships/hyperlink" Target="http://www.riss.kr/link?id=S12949" TargetMode="External"/><Relationship Id="rId617" Type="http://schemas.openxmlformats.org/officeDocument/2006/relationships/hyperlink" Target="http://www.riss.kr/link?id=S39035" TargetMode="External"/><Relationship Id="rId824" Type="http://schemas.openxmlformats.org/officeDocument/2006/relationships/hyperlink" Target="http://www.riss.kr/link?id=S19734" TargetMode="External"/><Relationship Id="rId256" Type="http://schemas.openxmlformats.org/officeDocument/2006/relationships/hyperlink" Target="http://www.riss.kr/link?id=S115379" TargetMode="External"/><Relationship Id="rId463" Type="http://schemas.openxmlformats.org/officeDocument/2006/relationships/hyperlink" Target="http://www.riss.kr/link?id=S11572188" TargetMode="External"/><Relationship Id="rId670" Type="http://schemas.openxmlformats.org/officeDocument/2006/relationships/hyperlink" Target="http://www.riss.kr/link?id=S405698" TargetMode="External"/><Relationship Id="rId116" Type="http://schemas.openxmlformats.org/officeDocument/2006/relationships/hyperlink" Target="http://www.riss.kr/link?id=S15663" TargetMode="External"/><Relationship Id="rId323" Type="http://schemas.openxmlformats.org/officeDocument/2006/relationships/hyperlink" Target="http://www.riss.kr/link?id=S16084" TargetMode="External"/><Relationship Id="rId530" Type="http://schemas.openxmlformats.org/officeDocument/2006/relationships/hyperlink" Target="http://www.riss.kr/link?id=S97869" TargetMode="External"/><Relationship Id="rId768" Type="http://schemas.openxmlformats.org/officeDocument/2006/relationships/hyperlink" Target="http://www.riss.kr/link?id=S11621370" TargetMode="External"/><Relationship Id="rId975" Type="http://schemas.openxmlformats.org/officeDocument/2006/relationships/hyperlink" Target="http://www.riss.kr/link?id=S19811" TargetMode="External"/><Relationship Id="rId20" Type="http://schemas.openxmlformats.org/officeDocument/2006/relationships/hyperlink" Target="http://www.riss.kr/link?id=S90021094" TargetMode="External"/><Relationship Id="rId628" Type="http://schemas.openxmlformats.org/officeDocument/2006/relationships/hyperlink" Target="http://www.riss.kr/link?id=S404213" TargetMode="External"/><Relationship Id="rId835" Type="http://schemas.openxmlformats.org/officeDocument/2006/relationships/hyperlink" Target="http://www.riss.kr/link?id=S111037" TargetMode="External"/><Relationship Id="rId267" Type="http://schemas.openxmlformats.org/officeDocument/2006/relationships/hyperlink" Target="http://www.riss.kr/link?id=S11644049" TargetMode="External"/><Relationship Id="rId474" Type="http://schemas.openxmlformats.org/officeDocument/2006/relationships/hyperlink" Target="http://www.riss.kr/link?id=S24599" TargetMode="External"/><Relationship Id="rId127" Type="http://schemas.openxmlformats.org/officeDocument/2006/relationships/hyperlink" Target="http://www.riss.kr/link?id=S15648" TargetMode="External"/><Relationship Id="rId681" Type="http://schemas.openxmlformats.org/officeDocument/2006/relationships/hyperlink" Target="http://www.riss.kr/link?id=S115388" TargetMode="External"/><Relationship Id="rId779" Type="http://schemas.openxmlformats.org/officeDocument/2006/relationships/hyperlink" Target="http://www.riss.kr/link?id=S29114" TargetMode="External"/><Relationship Id="rId902" Type="http://schemas.openxmlformats.org/officeDocument/2006/relationships/hyperlink" Target="http://www.riss.kr/link?id=S114746" TargetMode="External"/><Relationship Id="rId31" Type="http://schemas.openxmlformats.org/officeDocument/2006/relationships/hyperlink" Target="http://www.riss.kr/link?id=S29073" TargetMode="External"/><Relationship Id="rId334" Type="http://schemas.openxmlformats.org/officeDocument/2006/relationships/hyperlink" Target="http://www.riss.kr/link?id=S402922" TargetMode="External"/><Relationship Id="rId541" Type="http://schemas.openxmlformats.org/officeDocument/2006/relationships/hyperlink" Target="http://www.riss.kr/link?id=S31025348" TargetMode="External"/><Relationship Id="rId639" Type="http://schemas.openxmlformats.org/officeDocument/2006/relationships/hyperlink" Target="http://www.riss.kr/link?id=S402427" TargetMode="External"/><Relationship Id="rId180" Type="http://schemas.openxmlformats.org/officeDocument/2006/relationships/hyperlink" Target="http://www.riss.kr/link?id=S16713" TargetMode="External"/><Relationship Id="rId278" Type="http://schemas.openxmlformats.org/officeDocument/2006/relationships/hyperlink" Target="http://www.riss.kr/link?id=S31027196" TargetMode="External"/><Relationship Id="rId401" Type="http://schemas.openxmlformats.org/officeDocument/2006/relationships/hyperlink" Target="http://www.riss.kr/link?id=S31000238" TargetMode="External"/><Relationship Id="rId846" Type="http://schemas.openxmlformats.org/officeDocument/2006/relationships/hyperlink" Target="http://www.riss.kr/link?id=S417589" TargetMode="External"/><Relationship Id="rId485" Type="http://schemas.openxmlformats.org/officeDocument/2006/relationships/hyperlink" Target="http://www.riss.kr/link?id=S28375" TargetMode="External"/><Relationship Id="rId692" Type="http://schemas.openxmlformats.org/officeDocument/2006/relationships/hyperlink" Target="http://www.riss.kr/link?id=S405210" TargetMode="External"/><Relationship Id="rId706" Type="http://schemas.openxmlformats.org/officeDocument/2006/relationships/hyperlink" Target="http://www.riss.kr/link?id=S415882" TargetMode="External"/><Relationship Id="rId913" Type="http://schemas.openxmlformats.org/officeDocument/2006/relationships/hyperlink" Target="http://www.riss.kr/link?id=S61475" TargetMode="External"/><Relationship Id="rId42" Type="http://schemas.openxmlformats.org/officeDocument/2006/relationships/hyperlink" Target="http://www.riss.kr/link?id=S11587025" TargetMode="External"/><Relationship Id="rId138" Type="http://schemas.openxmlformats.org/officeDocument/2006/relationships/hyperlink" Target="http://www.riss.kr/link?id=S24641" TargetMode="External"/><Relationship Id="rId345" Type="http://schemas.openxmlformats.org/officeDocument/2006/relationships/hyperlink" Target="http://www.riss.kr/link?id=S20010946" TargetMode="External"/><Relationship Id="rId552" Type="http://schemas.openxmlformats.org/officeDocument/2006/relationships/hyperlink" Target="http://www.riss.kr/link?id=S16616" TargetMode="External"/><Relationship Id="rId191" Type="http://schemas.openxmlformats.org/officeDocument/2006/relationships/hyperlink" Target="http://www.riss.kr/link?id=S13454" TargetMode="External"/><Relationship Id="rId205" Type="http://schemas.openxmlformats.org/officeDocument/2006/relationships/hyperlink" Target="http://www.riss.kr/link?id=S20411" TargetMode="External"/><Relationship Id="rId412" Type="http://schemas.openxmlformats.org/officeDocument/2006/relationships/hyperlink" Target="http://www.riss.kr/link?id=S15019" TargetMode="External"/><Relationship Id="rId857" Type="http://schemas.openxmlformats.org/officeDocument/2006/relationships/hyperlink" Target="http://www.riss.kr/link?id=S35840" TargetMode="External"/><Relationship Id="rId289" Type="http://schemas.openxmlformats.org/officeDocument/2006/relationships/hyperlink" Target="http://www.riss.kr/link?id=S90008279" TargetMode="External"/><Relationship Id="rId496" Type="http://schemas.openxmlformats.org/officeDocument/2006/relationships/hyperlink" Target="http://www.riss.kr/link?id=S16890" TargetMode="External"/><Relationship Id="rId717" Type="http://schemas.openxmlformats.org/officeDocument/2006/relationships/hyperlink" Target="http://www.riss.kr/link?id=S48354" TargetMode="External"/><Relationship Id="rId924" Type="http://schemas.openxmlformats.org/officeDocument/2006/relationships/hyperlink" Target="http://www.riss.kr/link?id=S91440" TargetMode="External"/><Relationship Id="rId53" Type="http://schemas.openxmlformats.org/officeDocument/2006/relationships/hyperlink" Target="http://www.riss.kr/link?id=S11640488" TargetMode="External"/><Relationship Id="rId149" Type="http://schemas.openxmlformats.org/officeDocument/2006/relationships/hyperlink" Target="http://www.riss.kr/link?id=S17550" TargetMode="External"/><Relationship Id="rId356" Type="http://schemas.openxmlformats.org/officeDocument/2006/relationships/hyperlink" Target="http://www.riss.kr/link?id=S415749" TargetMode="External"/><Relationship Id="rId563" Type="http://schemas.openxmlformats.org/officeDocument/2006/relationships/hyperlink" Target="http://www.riss.kr/link?id=S20010431" TargetMode="External"/><Relationship Id="rId770" Type="http://schemas.openxmlformats.org/officeDocument/2006/relationships/hyperlink" Target="http://www.riss.kr/link?id=S115748" TargetMode="External"/><Relationship Id="rId216" Type="http://schemas.openxmlformats.org/officeDocument/2006/relationships/hyperlink" Target="http://www.riss.kr/link?id=S412775" TargetMode="External"/><Relationship Id="rId423" Type="http://schemas.openxmlformats.org/officeDocument/2006/relationships/hyperlink" Target="http://www.riss.kr/link?id=S20557" TargetMode="External"/><Relationship Id="rId868" Type="http://schemas.openxmlformats.org/officeDocument/2006/relationships/hyperlink" Target="http://www.riss.kr/link?id=S49427" TargetMode="External"/><Relationship Id="rId630" Type="http://schemas.openxmlformats.org/officeDocument/2006/relationships/hyperlink" Target="http://www.riss.kr/link?id=S410682" TargetMode="External"/><Relationship Id="rId728" Type="http://schemas.openxmlformats.org/officeDocument/2006/relationships/hyperlink" Target="http://www.riss.kr/link?id=S405999" TargetMode="External"/><Relationship Id="rId935" Type="http://schemas.openxmlformats.org/officeDocument/2006/relationships/hyperlink" Target="http://www.riss.kr/link?id=S20066775" TargetMode="External"/><Relationship Id="rId64" Type="http://schemas.openxmlformats.org/officeDocument/2006/relationships/hyperlink" Target="http://www.riss.kr/link?id=S29226" TargetMode="External"/><Relationship Id="rId367" Type="http://schemas.openxmlformats.org/officeDocument/2006/relationships/hyperlink" Target="http://www.riss.kr/link?id=S96424" TargetMode="External"/><Relationship Id="rId574" Type="http://schemas.openxmlformats.org/officeDocument/2006/relationships/hyperlink" Target="http://www.riss.kr/link?id=S28226" TargetMode="External"/><Relationship Id="rId227" Type="http://schemas.openxmlformats.org/officeDocument/2006/relationships/hyperlink" Target="http://www.riss.kr/link?id=S16196" TargetMode="External"/><Relationship Id="rId781" Type="http://schemas.openxmlformats.org/officeDocument/2006/relationships/hyperlink" Target="http://www.riss.kr/link?id=S11581308" TargetMode="External"/><Relationship Id="rId879" Type="http://schemas.openxmlformats.org/officeDocument/2006/relationships/hyperlink" Target="http://www.riss.kr/link?id=S417050" TargetMode="External"/><Relationship Id="rId434" Type="http://schemas.openxmlformats.org/officeDocument/2006/relationships/hyperlink" Target="http://www.riss.kr/link?id=S16058" TargetMode="External"/><Relationship Id="rId641" Type="http://schemas.openxmlformats.org/officeDocument/2006/relationships/hyperlink" Target="http://www.riss.kr/link?id=S16998" TargetMode="External"/><Relationship Id="rId739" Type="http://schemas.openxmlformats.org/officeDocument/2006/relationships/hyperlink" Target="http://www.riss.kr/link?id=S414717" TargetMode="External"/><Relationship Id="rId280" Type="http://schemas.openxmlformats.org/officeDocument/2006/relationships/hyperlink" Target="http://www.riss.kr/link?id=S31031955" TargetMode="External"/><Relationship Id="rId501" Type="http://schemas.openxmlformats.org/officeDocument/2006/relationships/hyperlink" Target="http://www.riss.kr/link?id=S416408" TargetMode="External"/><Relationship Id="rId946" Type="http://schemas.openxmlformats.org/officeDocument/2006/relationships/hyperlink" Target="http://www.riss.kr/link?id=S63540" TargetMode="External"/><Relationship Id="rId75" Type="http://schemas.openxmlformats.org/officeDocument/2006/relationships/hyperlink" Target="http://www.riss.kr/link?id=S410895" TargetMode="External"/><Relationship Id="rId140" Type="http://schemas.openxmlformats.org/officeDocument/2006/relationships/hyperlink" Target="http://www.riss.kr/link?id=S13442" TargetMode="External"/><Relationship Id="rId378" Type="http://schemas.openxmlformats.org/officeDocument/2006/relationships/hyperlink" Target="http://www.riss.kr/link?id=S16065" TargetMode="External"/><Relationship Id="rId585" Type="http://schemas.openxmlformats.org/officeDocument/2006/relationships/hyperlink" Target="http://www.riss.kr/link?id=S411588" TargetMode="External"/><Relationship Id="rId792" Type="http://schemas.openxmlformats.org/officeDocument/2006/relationships/hyperlink" Target="http://www.riss.kr/link?id=S48720" TargetMode="External"/><Relationship Id="rId806" Type="http://schemas.openxmlformats.org/officeDocument/2006/relationships/hyperlink" Target="http://www.riss.kr/link?id=S68575" TargetMode="External"/><Relationship Id="rId6" Type="http://schemas.openxmlformats.org/officeDocument/2006/relationships/hyperlink" Target="http://www.riss.kr/link?id=S11597824" TargetMode="External"/><Relationship Id="rId238" Type="http://schemas.openxmlformats.org/officeDocument/2006/relationships/hyperlink" Target="http://www.riss.kr/link?id=S16688" TargetMode="External"/><Relationship Id="rId445" Type="http://schemas.openxmlformats.org/officeDocument/2006/relationships/hyperlink" Target="http://www.riss.kr/link?id=S6854" TargetMode="External"/><Relationship Id="rId652" Type="http://schemas.openxmlformats.org/officeDocument/2006/relationships/hyperlink" Target="http://www.riss.kr/link?id=S143758" TargetMode="External"/><Relationship Id="rId291" Type="http://schemas.openxmlformats.org/officeDocument/2006/relationships/hyperlink" Target="http://www.riss.kr/link?id=S21281" TargetMode="External"/><Relationship Id="rId305" Type="http://schemas.openxmlformats.org/officeDocument/2006/relationships/hyperlink" Target="http://www.riss.kr/link?id=S416811" TargetMode="External"/><Relationship Id="rId512" Type="http://schemas.openxmlformats.org/officeDocument/2006/relationships/hyperlink" Target="http://www.riss.kr/link?id=S17464" TargetMode="External"/><Relationship Id="rId957" Type="http://schemas.openxmlformats.org/officeDocument/2006/relationships/hyperlink" Target="http://www.riss.kr/link?id=S104203" TargetMode="External"/><Relationship Id="rId86" Type="http://schemas.openxmlformats.org/officeDocument/2006/relationships/hyperlink" Target="http://www.riss.kr/link?id=S20703" TargetMode="External"/><Relationship Id="rId151" Type="http://schemas.openxmlformats.org/officeDocument/2006/relationships/hyperlink" Target="http://www.riss.kr/link?id=S31014477" TargetMode="External"/><Relationship Id="rId389" Type="http://schemas.openxmlformats.org/officeDocument/2006/relationships/hyperlink" Target="http://www.riss.kr/link?id=S90023683" TargetMode="External"/><Relationship Id="rId596" Type="http://schemas.openxmlformats.org/officeDocument/2006/relationships/hyperlink" Target="http://www.riss.kr/link?id=S13527" TargetMode="External"/><Relationship Id="rId817" Type="http://schemas.openxmlformats.org/officeDocument/2006/relationships/hyperlink" Target="http://www.riss.kr/link?id=S60981" TargetMode="External"/><Relationship Id="rId249" Type="http://schemas.openxmlformats.org/officeDocument/2006/relationships/hyperlink" Target="http://www.riss.kr/link?id=S11574592" TargetMode="External"/><Relationship Id="rId456" Type="http://schemas.openxmlformats.org/officeDocument/2006/relationships/hyperlink" Target="http://www.riss.kr/link?id=S410763" TargetMode="External"/><Relationship Id="rId663" Type="http://schemas.openxmlformats.org/officeDocument/2006/relationships/hyperlink" Target="http://www.riss.kr/link?id=S18795" TargetMode="External"/><Relationship Id="rId870" Type="http://schemas.openxmlformats.org/officeDocument/2006/relationships/hyperlink" Target="http://www.riss.kr/link?id=S31000872" TargetMode="External"/><Relationship Id="rId13" Type="http://schemas.openxmlformats.org/officeDocument/2006/relationships/hyperlink" Target="http://www.riss.kr/link?id=S30006959" TargetMode="External"/><Relationship Id="rId109" Type="http://schemas.openxmlformats.org/officeDocument/2006/relationships/hyperlink" Target="http://www.riss.kr/link?id=S417040" TargetMode="External"/><Relationship Id="rId316" Type="http://schemas.openxmlformats.org/officeDocument/2006/relationships/hyperlink" Target="http://www.riss.kr/link?id=S28130" TargetMode="External"/><Relationship Id="rId523" Type="http://schemas.openxmlformats.org/officeDocument/2006/relationships/hyperlink" Target="http://www.riss.kr/link?id=S15584" TargetMode="External"/><Relationship Id="rId968" Type="http://schemas.openxmlformats.org/officeDocument/2006/relationships/hyperlink" Target="http://www.riss.kr/link?id=S24367" TargetMode="External"/><Relationship Id="rId97" Type="http://schemas.openxmlformats.org/officeDocument/2006/relationships/hyperlink" Target="http://www.riss.kr/link?id=S13000" TargetMode="External"/><Relationship Id="rId730" Type="http://schemas.openxmlformats.org/officeDocument/2006/relationships/hyperlink" Target="http://www.riss.kr/link?id=S86061" TargetMode="External"/><Relationship Id="rId828" Type="http://schemas.openxmlformats.org/officeDocument/2006/relationships/hyperlink" Target="http://www.riss.kr/link?id=S19817" TargetMode="External"/><Relationship Id="rId162" Type="http://schemas.openxmlformats.org/officeDocument/2006/relationships/hyperlink" Target="http://www.riss.kr/link?id=S11575588" TargetMode="External"/><Relationship Id="rId467" Type="http://schemas.openxmlformats.org/officeDocument/2006/relationships/hyperlink" Target="http://www.riss.kr/link?id=S20402" TargetMode="External"/><Relationship Id="rId674" Type="http://schemas.openxmlformats.org/officeDocument/2006/relationships/hyperlink" Target="http://www.riss.kr/link?id=S417596" TargetMode="External"/><Relationship Id="rId881" Type="http://schemas.openxmlformats.org/officeDocument/2006/relationships/hyperlink" Target="http://www.riss.kr/link?id=S36930" TargetMode="External"/><Relationship Id="rId979" Type="http://schemas.openxmlformats.org/officeDocument/2006/relationships/vmlDrawing" Target="../drawings/vmlDrawing2.vml"/><Relationship Id="rId24" Type="http://schemas.openxmlformats.org/officeDocument/2006/relationships/hyperlink" Target="http://www.riss.kr/link?id=S143756" TargetMode="External"/><Relationship Id="rId327" Type="http://schemas.openxmlformats.org/officeDocument/2006/relationships/hyperlink" Target="http://www.riss.kr/link?id=S24546" TargetMode="External"/><Relationship Id="rId534" Type="http://schemas.openxmlformats.org/officeDocument/2006/relationships/hyperlink" Target="http://www.riss.kr/link?id=S48092" TargetMode="External"/><Relationship Id="rId741" Type="http://schemas.openxmlformats.org/officeDocument/2006/relationships/hyperlink" Target="http://www.riss.kr/link?id=S15537" TargetMode="External"/><Relationship Id="rId839" Type="http://schemas.openxmlformats.org/officeDocument/2006/relationships/hyperlink" Target="http://www.riss.kr/link?id=S93244" TargetMode="External"/><Relationship Id="rId173" Type="http://schemas.openxmlformats.org/officeDocument/2006/relationships/hyperlink" Target="http://www.riss.kr/link?id=S11575509" TargetMode="External"/><Relationship Id="rId380" Type="http://schemas.openxmlformats.org/officeDocument/2006/relationships/hyperlink" Target="http://www.riss.kr/link?id=S13020" TargetMode="External"/><Relationship Id="rId601" Type="http://schemas.openxmlformats.org/officeDocument/2006/relationships/hyperlink" Target="http://www.riss.kr/link?id=S30006165" TargetMode="External"/><Relationship Id="rId240" Type="http://schemas.openxmlformats.org/officeDocument/2006/relationships/hyperlink" Target="http://www.riss.kr/link?id=S115378" TargetMode="External"/><Relationship Id="rId478" Type="http://schemas.openxmlformats.org/officeDocument/2006/relationships/hyperlink" Target="http://www.riss.kr/link?id=S115899" TargetMode="External"/><Relationship Id="rId685" Type="http://schemas.openxmlformats.org/officeDocument/2006/relationships/hyperlink" Target="http://www.riss.kr/link?id=S85659" TargetMode="External"/><Relationship Id="rId892" Type="http://schemas.openxmlformats.org/officeDocument/2006/relationships/hyperlink" Target="http://www.riss.kr/link?id=S416936" TargetMode="External"/><Relationship Id="rId906" Type="http://schemas.openxmlformats.org/officeDocument/2006/relationships/hyperlink" Target="http://www.riss.kr/link?id=S61535" TargetMode="External"/><Relationship Id="rId35" Type="http://schemas.openxmlformats.org/officeDocument/2006/relationships/hyperlink" Target="http://www.riss.kr/link?id=S13692" TargetMode="External"/><Relationship Id="rId100" Type="http://schemas.openxmlformats.org/officeDocument/2006/relationships/hyperlink" Target="http://www.riss.kr/link?id=S12338" TargetMode="External"/><Relationship Id="rId338" Type="http://schemas.openxmlformats.org/officeDocument/2006/relationships/hyperlink" Target="http://www.riss.kr/link?id=S21308" TargetMode="External"/><Relationship Id="rId545" Type="http://schemas.openxmlformats.org/officeDocument/2006/relationships/hyperlink" Target="http://www.riss.kr/link?id=S417089" TargetMode="External"/><Relationship Id="rId752" Type="http://schemas.openxmlformats.org/officeDocument/2006/relationships/hyperlink" Target="http://www.riss.kr/link?id=S411651" TargetMode="External"/><Relationship Id="rId184" Type="http://schemas.openxmlformats.org/officeDocument/2006/relationships/hyperlink" Target="http://www.riss.kr/link?id=S405708" TargetMode="External"/><Relationship Id="rId391" Type="http://schemas.openxmlformats.org/officeDocument/2006/relationships/hyperlink" Target="http://www.riss.kr/link?id=S28117" TargetMode="External"/><Relationship Id="rId405" Type="http://schemas.openxmlformats.org/officeDocument/2006/relationships/hyperlink" Target="http://www.riss.kr/link?id=S17285" TargetMode="External"/><Relationship Id="rId612" Type="http://schemas.openxmlformats.org/officeDocument/2006/relationships/hyperlink" Target="http://www.riss.kr/link?id=S31026610" TargetMode="External"/><Relationship Id="rId251" Type="http://schemas.openxmlformats.org/officeDocument/2006/relationships/hyperlink" Target="http://www.riss.kr/link?id=S17525" TargetMode="External"/><Relationship Id="rId489" Type="http://schemas.openxmlformats.org/officeDocument/2006/relationships/hyperlink" Target="http://www.riss.kr/link?id=S15591" TargetMode="External"/><Relationship Id="rId696" Type="http://schemas.openxmlformats.org/officeDocument/2006/relationships/hyperlink" Target="http://www.riss.kr/link?id=S11645053" TargetMode="External"/><Relationship Id="rId917" Type="http://schemas.openxmlformats.org/officeDocument/2006/relationships/hyperlink" Target="http://www.riss.kr/link?id=S49446" TargetMode="External"/><Relationship Id="rId46" Type="http://schemas.openxmlformats.org/officeDocument/2006/relationships/hyperlink" Target="http://www.riss.kr/link?id=S20012637" TargetMode="External"/><Relationship Id="rId349" Type="http://schemas.openxmlformats.org/officeDocument/2006/relationships/hyperlink" Target="http://www.riss.kr/link?id=S17509" TargetMode="External"/><Relationship Id="rId556" Type="http://schemas.openxmlformats.org/officeDocument/2006/relationships/hyperlink" Target="http://www.riss.kr/link?id=S414260" TargetMode="External"/><Relationship Id="rId763" Type="http://schemas.openxmlformats.org/officeDocument/2006/relationships/hyperlink" Target="http://www.riss.kr/link?id=S21137" TargetMode="External"/><Relationship Id="rId111" Type="http://schemas.openxmlformats.org/officeDocument/2006/relationships/hyperlink" Target="http://www.riss.kr/link?id=S16973" TargetMode="External"/><Relationship Id="rId195" Type="http://schemas.openxmlformats.org/officeDocument/2006/relationships/hyperlink" Target="http://www.riss.kr/link?id=S14891" TargetMode="External"/><Relationship Id="rId209" Type="http://schemas.openxmlformats.org/officeDocument/2006/relationships/hyperlink" Target="http://www.riss.kr/link?id=S28951" TargetMode="External"/><Relationship Id="rId416" Type="http://schemas.openxmlformats.org/officeDocument/2006/relationships/hyperlink" Target="http://www.riss.kr/link?id=S85287" TargetMode="External"/><Relationship Id="rId970" Type="http://schemas.openxmlformats.org/officeDocument/2006/relationships/hyperlink" Target="http://www.riss.kr/link?id=S20069318" TargetMode="External"/><Relationship Id="rId623" Type="http://schemas.openxmlformats.org/officeDocument/2006/relationships/hyperlink" Target="http://www.riss.kr/link?id=S12821" TargetMode="External"/><Relationship Id="rId830" Type="http://schemas.openxmlformats.org/officeDocument/2006/relationships/hyperlink" Target="http://www.riss.kr/link?id=S48399" TargetMode="External"/><Relationship Id="rId928" Type="http://schemas.openxmlformats.org/officeDocument/2006/relationships/hyperlink" Target="http://www.riss.kr/link?id=S60986" TargetMode="External"/><Relationship Id="rId57" Type="http://schemas.openxmlformats.org/officeDocument/2006/relationships/hyperlink" Target="http://www.riss.kr/link?id=S31000997" TargetMode="External"/><Relationship Id="rId262" Type="http://schemas.openxmlformats.org/officeDocument/2006/relationships/hyperlink" Target="http://www.riss.kr/link?id=S30006261" TargetMode="External"/><Relationship Id="rId567" Type="http://schemas.openxmlformats.org/officeDocument/2006/relationships/hyperlink" Target="http://www.riss.kr/link?id=S403127" TargetMode="External"/><Relationship Id="rId122" Type="http://schemas.openxmlformats.org/officeDocument/2006/relationships/hyperlink" Target="http://www.riss.kr/link?id=S416801" TargetMode="External"/><Relationship Id="rId774" Type="http://schemas.openxmlformats.org/officeDocument/2006/relationships/hyperlink" Target="http://www.riss.kr/link?id=S24498" TargetMode="External"/><Relationship Id="rId427" Type="http://schemas.openxmlformats.org/officeDocument/2006/relationships/hyperlink" Target="http://www.riss.kr/link?id=S403288" TargetMode="External"/><Relationship Id="rId634" Type="http://schemas.openxmlformats.org/officeDocument/2006/relationships/hyperlink" Target="http://www.riss.kr/link?id=S31002774" TargetMode="External"/><Relationship Id="rId841" Type="http://schemas.openxmlformats.org/officeDocument/2006/relationships/hyperlink" Target="http://www.riss.kr/link?id=S60896" TargetMode="External"/><Relationship Id="rId273" Type="http://schemas.openxmlformats.org/officeDocument/2006/relationships/hyperlink" Target="http://www.riss.kr/link?id=S14551" TargetMode="External"/><Relationship Id="rId480" Type="http://schemas.openxmlformats.org/officeDocument/2006/relationships/hyperlink" Target="http://www.riss.kr/link?id=S18154" TargetMode="External"/><Relationship Id="rId701" Type="http://schemas.openxmlformats.org/officeDocument/2006/relationships/hyperlink" Target="http://www.riss.kr/link?id=S11574145" TargetMode="External"/><Relationship Id="rId939" Type="http://schemas.openxmlformats.org/officeDocument/2006/relationships/hyperlink" Target="http://www.riss.kr/link?id=S80251" TargetMode="External"/><Relationship Id="rId68" Type="http://schemas.openxmlformats.org/officeDocument/2006/relationships/hyperlink" Target="http://www.riss.kr/link?id=S17573" TargetMode="External"/><Relationship Id="rId133" Type="http://schemas.openxmlformats.org/officeDocument/2006/relationships/hyperlink" Target="http://www.riss.kr/link?id=S16729" TargetMode="External"/><Relationship Id="rId340" Type="http://schemas.openxmlformats.org/officeDocument/2006/relationships/hyperlink" Target="http://www.riss.kr/link?id=S15021" TargetMode="External"/><Relationship Id="rId578" Type="http://schemas.openxmlformats.org/officeDocument/2006/relationships/hyperlink" Target="http://www.riss.kr/link?id=S5799" TargetMode="External"/><Relationship Id="rId785" Type="http://schemas.openxmlformats.org/officeDocument/2006/relationships/hyperlink" Target="http://www.riss.kr/link?id=S20095138" TargetMode="External"/><Relationship Id="rId200" Type="http://schemas.openxmlformats.org/officeDocument/2006/relationships/hyperlink" Target="http://www.riss.kr/link?id=S405428" TargetMode="External"/><Relationship Id="rId438" Type="http://schemas.openxmlformats.org/officeDocument/2006/relationships/hyperlink" Target="http://www.riss.kr/link?id=S48296" TargetMode="External"/><Relationship Id="rId645" Type="http://schemas.openxmlformats.org/officeDocument/2006/relationships/hyperlink" Target="http://www.riss.kr/link?id=S408997" TargetMode="External"/><Relationship Id="rId852" Type="http://schemas.openxmlformats.org/officeDocument/2006/relationships/hyperlink" Target="http://www.riss.kr/link?id=S78202" TargetMode="External"/><Relationship Id="rId284" Type="http://schemas.openxmlformats.org/officeDocument/2006/relationships/hyperlink" Target="http://www.riss.kr/link?id=S31019599" TargetMode="External"/><Relationship Id="rId491" Type="http://schemas.openxmlformats.org/officeDocument/2006/relationships/hyperlink" Target="http://www.riss.kr/link?id=S50057" TargetMode="External"/><Relationship Id="rId505" Type="http://schemas.openxmlformats.org/officeDocument/2006/relationships/hyperlink" Target="http://www.riss.kr/link?id=S22129" TargetMode="External"/><Relationship Id="rId712" Type="http://schemas.openxmlformats.org/officeDocument/2006/relationships/hyperlink" Target="http://www.riss.kr/link?id=S17168" TargetMode="External"/><Relationship Id="rId79" Type="http://schemas.openxmlformats.org/officeDocument/2006/relationships/hyperlink" Target="http://www.riss.kr/link?id=S16996" TargetMode="External"/><Relationship Id="rId144" Type="http://schemas.openxmlformats.org/officeDocument/2006/relationships/hyperlink" Target="http://www.riss.kr/link?id=S17067" TargetMode="External"/><Relationship Id="rId589" Type="http://schemas.openxmlformats.org/officeDocument/2006/relationships/hyperlink" Target="http://www.riss.kr/link?id=S414990" TargetMode="External"/><Relationship Id="rId796" Type="http://schemas.openxmlformats.org/officeDocument/2006/relationships/hyperlink" Target="http://www.riss.kr/link?id=S108985" TargetMode="External"/><Relationship Id="rId351" Type="http://schemas.openxmlformats.org/officeDocument/2006/relationships/hyperlink" Target="http://www.riss.kr/link?id=S404893" TargetMode="External"/><Relationship Id="rId449" Type="http://schemas.openxmlformats.org/officeDocument/2006/relationships/hyperlink" Target="http://www.riss.kr/link?id=S14961" TargetMode="External"/><Relationship Id="rId656" Type="http://schemas.openxmlformats.org/officeDocument/2006/relationships/hyperlink" Target="http://www.riss.kr/link?id=S103626" TargetMode="External"/><Relationship Id="rId863" Type="http://schemas.openxmlformats.org/officeDocument/2006/relationships/hyperlink" Target="http://www.riss.kr/link?id=S36958" TargetMode="External"/><Relationship Id="rId211" Type="http://schemas.openxmlformats.org/officeDocument/2006/relationships/hyperlink" Target="http://www.riss.kr/link?id=S15630" TargetMode="External"/><Relationship Id="rId295" Type="http://schemas.openxmlformats.org/officeDocument/2006/relationships/hyperlink" Target="http://www.riss.kr/link?id=S410059" TargetMode="External"/><Relationship Id="rId309" Type="http://schemas.openxmlformats.org/officeDocument/2006/relationships/hyperlink" Target="http://www.riss.kr/link?id=S15605" TargetMode="External"/><Relationship Id="rId516" Type="http://schemas.openxmlformats.org/officeDocument/2006/relationships/hyperlink" Target="http://www.riss.kr/link?id=S20010548" TargetMode="External"/><Relationship Id="rId723" Type="http://schemas.openxmlformats.org/officeDocument/2006/relationships/hyperlink" Target="http://www.riss.kr/link?id=S17539" TargetMode="External"/><Relationship Id="rId930" Type="http://schemas.openxmlformats.org/officeDocument/2006/relationships/hyperlink" Target="http://www.riss.kr/link?id=S416813" TargetMode="External"/><Relationship Id="rId155" Type="http://schemas.openxmlformats.org/officeDocument/2006/relationships/hyperlink" Target="http://www.riss.kr/link?id=S19535" TargetMode="External"/><Relationship Id="rId362" Type="http://schemas.openxmlformats.org/officeDocument/2006/relationships/hyperlink" Target="http://www.riss.kr/link?id=S13168" TargetMode="External"/><Relationship Id="rId222" Type="http://schemas.openxmlformats.org/officeDocument/2006/relationships/hyperlink" Target="http://www.riss.kr/link?id=S11575031" TargetMode="External"/><Relationship Id="rId667" Type="http://schemas.openxmlformats.org/officeDocument/2006/relationships/hyperlink" Target="http://www.riss.kr/link?id=S20067228" TargetMode="External"/><Relationship Id="rId874" Type="http://schemas.openxmlformats.org/officeDocument/2006/relationships/hyperlink" Target="http://www.riss.kr/link?id=S104199" TargetMode="External"/><Relationship Id="rId17" Type="http://schemas.openxmlformats.org/officeDocument/2006/relationships/hyperlink" Target="http://www.riss.kr/link?id=S20035778" TargetMode="External"/><Relationship Id="rId527" Type="http://schemas.openxmlformats.org/officeDocument/2006/relationships/hyperlink" Target="http://www.riss.kr/link?id=S405098" TargetMode="External"/><Relationship Id="rId734" Type="http://schemas.openxmlformats.org/officeDocument/2006/relationships/hyperlink" Target="http://www.riss.kr/link?id=S16656" TargetMode="External"/><Relationship Id="rId941" Type="http://schemas.openxmlformats.org/officeDocument/2006/relationships/hyperlink" Target="http://www.riss.kr/link?id=S27656" TargetMode="External"/><Relationship Id="rId70" Type="http://schemas.openxmlformats.org/officeDocument/2006/relationships/hyperlink" Target="http://www.riss.kr/link?id=S104401" TargetMode="External"/><Relationship Id="rId166" Type="http://schemas.openxmlformats.org/officeDocument/2006/relationships/hyperlink" Target="http://www.riss.kr/link?id=S57882" TargetMode="External"/><Relationship Id="rId373" Type="http://schemas.openxmlformats.org/officeDocument/2006/relationships/hyperlink" Target="http://www.riss.kr/link?id=S20212" TargetMode="External"/><Relationship Id="rId580" Type="http://schemas.openxmlformats.org/officeDocument/2006/relationships/hyperlink" Target="http://www.riss.kr/link?id=S13269" TargetMode="External"/><Relationship Id="rId801" Type="http://schemas.openxmlformats.org/officeDocument/2006/relationships/hyperlink" Target="http://www.riss.kr/link?id=S87980" TargetMode="External"/><Relationship Id="rId1" Type="http://schemas.openxmlformats.org/officeDocument/2006/relationships/hyperlink" Target="http://www.riss.kr/link?id=S19593" TargetMode="External"/><Relationship Id="rId233" Type="http://schemas.openxmlformats.org/officeDocument/2006/relationships/hyperlink" Target="http://www.riss.kr/link?id=S11574028" TargetMode="External"/><Relationship Id="rId440" Type="http://schemas.openxmlformats.org/officeDocument/2006/relationships/hyperlink" Target="http://www.riss.kr/link?id=S16049" TargetMode="External"/><Relationship Id="rId678" Type="http://schemas.openxmlformats.org/officeDocument/2006/relationships/hyperlink" Target="http://www.riss.kr/link?id=S402361" TargetMode="External"/><Relationship Id="rId885" Type="http://schemas.openxmlformats.org/officeDocument/2006/relationships/hyperlink" Target="http://www.riss.kr/link?id=S80194" TargetMode="External"/><Relationship Id="rId28" Type="http://schemas.openxmlformats.org/officeDocument/2006/relationships/hyperlink" Target="http://www.riss.kr/link?id=S414099" TargetMode="External"/><Relationship Id="rId300" Type="http://schemas.openxmlformats.org/officeDocument/2006/relationships/hyperlink" Target="http://www.riss.kr/link?id=S28236" TargetMode="External"/><Relationship Id="rId538" Type="http://schemas.openxmlformats.org/officeDocument/2006/relationships/hyperlink" Target="http://www.riss.kr/link?id=S49062" TargetMode="External"/><Relationship Id="rId745" Type="http://schemas.openxmlformats.org/officeDocument/2006/relationships/hyperlink" Target="http://www.riss.kr/link?id=S12296" TargetMode="External"/><Relationship Id="rId952" Type="http://schemas.openxmlformats.org/officeDocument/2006/relationships/hyperlink" Target="http://www.riss.kr/link?id=S104124" TargetMode="External"/><Relationship Id="rId81" Type="http://schemas.openxmlformats.org/officeDocument/2006/relationships/hyperlink" Target="http://www.riss.kr/link?id=S115372" TargetMode="External"/><Relationship Id="rId177" Type="http://schemas.openxmlformats.org/officeDocument/2006/relationships/hyperlink" Target="http://www.riss.kr/link?id=S14879" TargetMode="External"/><Relationship Id="rId384" Type="http://schemas.openxmlformats.org/officeDocument/2006/relationships/hyperlink" Target="http://www.riss.kr/link?id=S103340" TargetMode="External"/><Relationship Id="rId591" Type="http://schemas.openxmlformats.org/officeDocument/2006/relationships/hyperlink" Target="http://www.riss.kr/link?id=S5090" TargetMode="External"/><Relationship Id="rId605" Type="http://schemas.openxmlformats.org/officeDocument/2006/relationships/hyperlink" Target="http://www.riss.kr/link?id=S31000857" TargetMode="External"/><Relationship Id="rId812" Type="http://schemas.openxmlformats.org/officeDocument/2006/relationships/hyperlink" Target="http://www.riss.kr/link?id=S41124" TargetMode="External"/><Relationship Id="rId244" Type="http://schemas.openxmlformats.org/officeDocument/2006/relationships/hyperlink" Target="http://www.riss.kr/link?id=S31016059" TargetMode="External"/><Relationship Id="rId689" Type="http://schemas.openxmlformats.org/officeDocument/2006/relationships/hyperlink" Target="http://www.riss.kr/link?id=S115390" TargetMode="External"/><Relationship Id="rId896" Type="http://schemas.openxmlformats.org/officeDocument/2006/relationships/hyperlink" Target="http://www.riss.kr/link?id=S60895" TargetMode="External"/><Relationship Id="rId39" Type="http://schemas.openxmlformats.org/officeDocument/2006/relationships/hyperlink" Target="http://www.riss.kr/link?id=S13541" TargetMode="External"/><Relationship Id="rId451" Type="http://schemas.openxmlformats.org/officeDocument/2006/relationships/hyperlink" Target="http://www.riss.kr/link?id=S14875" TargetMode="External"/><Relationship Id="rId549" Type="http://schemas.openxmlformats.org/officeDocument/2006/relationships/hyperlink" Target="http://www.riss.kr/link?id=S416149" TargetMode="External"/><Relationship Id="rId756" Type="http://schemas.openxmlformats.org/officeDocument/2006/relationships/hyperlink" Target="http://www.riss.kr/link?id=S97926" TargetMode="External"/><Relationship Id="rId104" Type="http://schemas.openxmlformats.org/officeDocument/2006/relationships/hyperlink" Target="http://www.riss.kr/link?id=S31024384" TargetMode="External"/><Relationship Id="rId188" Type="http://schemas.openxmlformats.org/officeDocument/2006/relationships/hyperlink" Target="http://www.riss.kr/link?id=S13463" TargetMode="External"/><Relationship Id="rId311" Type="http://schemas.openxmlformats.org/officeDocument/2006/relationships/hyperlink" Target="http://www.riss.kr/link?id=S11584132" TargetMode="External"/><Relationship Id="rId395" Type="http://schemas.openxmlformats.org/officeDocument/2006/relationships/hyperlink" Target="http://www.riss.kr/link?id=S20013675" TargetMode="External"/><Relationship Id="rId409" Type="http://schemas.openxmlformats.org/officeDocument/2006/relationships/hyperlink" Target="http://www.riss.kr/link?id=S17499" TargetMode="External"/><Relationship Id="rId963" Type="http://schemas.openxmlformats.org/officeDocument/2006/relationships/hyperlink" Target="http://www.riss.kr/link?id=S104177" TargetMode="External"/><Relationship Id="rId92" Type="http://schemas.openxmlformats.org/officeDocument/2006/relationships/hyperlink" Target="http://www.riss.kr/link?id=S16751" TargetMode="External"/><Relationship Id="rId616" Type="http://schemas.openxmlformats.org/officeDocument/2006/relationships/hyperlink" Target="http://www.riss.kr/link?id=S21812" TargetMode="External"/><Relationship Id="rId823" Type="http://schemas.openxmlformats.org/officeDocument/2006/relationships/hyperlink" Target="http://www.riss.kr/link?id=S48402" TargetMode="External"/><Relationship Id="rId255" Type="http://schemas.openxmlformats.org/officeDocument/2006/relationships/hyperlink" Target="http://www.riss.kr/link?id=S411436" TargetMode="External"/><Relationship Id="rId462" Type="http://schemas.openxmlformats.org/officeDocument/2006/relationships/hyperlink" Target="http://www.riss.kr/link?id=S15596" TargetMode="External"/><Relationship Id="rId115" Type="http://schemas.openxmlformats.org/officeDocument/2006/relationships/hyperlink" Target="http://www.riss.kr/link?id=S16735" TargetMode="External"/><Relationship Id="rId322" Type="http://schemas.openxmlformats.org/officeDocument/2006/relationships/hyperlink" Target="http://www.riss.kr/link?id=S24433" TargetMode="External"/><Relationship Id="rId767" Type="http://schemas.openxmlformats.org/officeDocument/2006/relationships/hyperlink" Target="http://www.riss.kr/link?id=S15780" TargetMode="External"/><Relationship Id="rId974" Type="http://schemas.openxmlformats.org/officeDocument/2006/relationships/hyperlink" Target="http://www.riss.kr/link?id=S60985" TargetMode="External"/><Relationship Id="rId61" Type="http://schemas.openxmlformats.org/officeDocument/2006/relationships/hyperlink" Target="http://www.riss.kr/link?id=S406089" TargetMode="External"/><Relationship Id="rId199" Type="http://schemas.openxmlformats.org/officeDocument/2006/relationships/hyperlink" Target="http://www.riss.kr/link?id=S31014183" TargetMode="External"/><Relationship Id="rId571" Type="http://schemas.openxmlformats.org/officeDocument/2006/relationships/hyperlink" Target="http://www.riss.kr/link?id=S20010854" TargetMode="External"/><Relationship Id="rId627" Type="http://schemas.openxmlformats.org/officeDocument/2006/relationships/hyperlink" Target="http://www.riss.kr/link?id=S402100" TargetMode="External"/><Relationship Id="rId669" Type="http://schemas.openxmlformats.org/officeDocument/2006/relationships/hyperlink" Target="http://www.riss.kr/link?id=S20012913" TargetMode="External"/><Relationship Id="rId834" Type="http://schemas.openxmlformats.org/officeDocument/2006/relationships/hyperlink" Target="http://www.riss.kr/link?id=S45160" TargetMode="External"/><Relationship Id="rId876" Type="http://schemas.openxmlformats.org/officeDocument/2006/relationships/hyperlink" Target="http://www.riss.kr/link?id=S72786" TargetMode="External"/><Relationship Id="rId19" Type="http://schemas.openxmlformats.org/officeDocument/2006/relationships/hyperlink" Target="http://www.riss.kr/link?id=S115371" TargetMode="External"/><Relationship Id="rId224" Type="http://schemas.openxmlformats.org/officeDocument/2006/relationships/hyperlink" Target="http://www.riss.kr/link?id=S29847" TargetMode="External"/><Relationship Id="rId266" Type="http://schemas.openxmlformats.org/officeDocument/2006/relationships/hyperlink" Target="http://www.riss.kr/link?id=S64816" TargetMode="External"/><Relationship Id="rId431" Type="http://schemas.openxmlformats.org/officeDocument/2006/relationships/hyperlink" Target="http://www.riss.kr/link?id=S20404" TargetMode="External"/><Relationship Id="rId473" Type="http://schemas.openxmlformats.org/officeDocument/2006/relationships/hyperlink" Target="http://www.riss.kr/link?id=S16027" TargetMode="External"/><Relationship Id="rId529" Type="http://schemas.openxmlformats.org/officeDocument/2006/relationships/hyperlink" Target="http://www.riss.kr/link?id=S414541" TargetMode="External"/><Relationship Id="rId680" Type="http://schemas.openxmlformats.org/officeDocument/2006/relationships/hyperlink" Target="http://www.riss.kr/link?id=S15236" TargetMode="External"/><Relationship Id="rId736" Type="http://schemas.openxmlformats.org/officeDocument/2006/relationships/hyperlink" Target="http://www.riss.kr/link?id=S18502" TargetMode="External"/><Relationship Id="rId901" Type="http://schemas.openxmlformats.org/officeDocument/2006/relationships/hyperlink" Target="http://www.riss.kr/link?id=S19819" TargetMode="External"/><Relationship Id="rId30" Type="http://schemas.openxmlformats.org/officeDocument/2006/relationships/hyperlink" Target="http://www.riss.kr/link?id=S60413" TargetMode="External"/><Relationship Id="rId126" Type="http://schemas.openxmlformats.org/officeDocument/2006/relationships/hyperlink" Target="http://www.riss.kr/link?id=S5004" TargetMode="External"/><Relationship Id="rId168" Type="http://schemas.openxmlformats.org/officeDocument/2006/relationships/hyperlink" Target="http://www.riss.kr/link?id=S417181" TargetMode="External"/><Relationship Id="rId333" Type="http://schemas.openxmlformats.org/officeDocument/2006/relationships/hyperlink" Target="http://www.riss.kr/link?id=S30007669" TargetMode="External"/><Relationship Id="rId540" Type="http://schemas.openxmlformats.org/officeDocument/2006/relationships/hyperlink" Target="http://www.riss.kr/link?id=S90009813" TargetMode="External"/><Relationship Id="rId778" Type="http://schemas.openxmlformats.org/officeDocument/2006/relationships/hyperlink" Target="http://www.riss.kr/link?id=S115392" TargetMode="External"/><Relationship Id="rId943" Type="http://schemas.openxmlformats.org/officeDocument/2006/relationships/hyperlink" Target="http://www.riss.kr/link?id=S19719" TargetMode="External"/><Relationship Id="rId72" Type="http://schemas.openxmlformats.org/officeDocument/2006/relationships/hyperlink" Target="http://www.riss.kr/link?id=S28902" TargetMode="External"/><Relationship Id="rId375" Type="http://schemas.openxmlformats.org/officeDocument/2006/relationships/hyperlink" Target="http://www.riss.kr/link?id=S5099" TargetMode="External"/><Relationship Id="rId582" Type="http://schemas.openxmlformats.org/officeDocument/2006/relationships/hyperlink" Target="http://www.riss.kr/link?id=S13936" TargetMode="External"/><Relationship Id="rId638" Type="http://schemas.openxmlformats.org/officeDocument/2006/relationships/hyperlink" Target="http://www.riss.kr/link?id=S91311" TargetMode="External"/><Relationship Id="rId803" Type="http://schemas.openxmlformats.org/officeDocument/2006/relationships/hyperlink" Target="http://www.riss.kr/link?id=S30780" TargetMode="External"/><Relationship Id="rId845" Type="http://schemas.openxmlformats.org/officeDocument/2006/relationships/hyperlink" Target="http://www.riss.kr/link?id=S416895" TargetMode="External"/><Relationship Id="rId3" Type="http://schemas.openxmlformats.org/officeDocument/2006/relationships/hyperlink" Target="http://www.riss.kr/link?id=S405713" TargetMode="External"/><Relationship Id="rId235" Type="http://schemas.openxmlformats.org/officeDocument/2006/relationships/hyperlink" Target="http://www.riss.kr/link?id=S401504" TargetMode="External"/><Relationship Id="rId277" Type="http://schemas.openxmlformats.org/officeDocument/2006/relationships/hyperlink" Target="http://www.riss.kr/link?id=S410183" TargetMode="External"/><Relationship Id="rId400" Type="http://schemas.openxmlformats.org/officeDocument/2006/relationships/hyperlink" Target="http://www.riss.kr/link?id=S403985" TargetMode="External"/><Relationship Id="rId442" Type="http://schemas.openxmlformats.org/officeDocument/2006/relationships/hyperlink" Target="http://www.riss.kr/link?id=S17078" TargetMode="External"/><Relationship Id="rId484" Type="http://schemas.openxmlformats.org/officeDocument/2006/relationships/hyperlink" Target="http://www.riss.kr/link?id=S16895" TargetMode="External"/><Relationship Id="rId705" Type="http://schemas.openxmlformats.org/officeDocument/2006/relationships/hyperlink" Target="http://www.riss.kr/link?id=S15907" TargetMode="External"/><Relationship Id="rId887" Type="http://schemas.openxmlformats.org/officeDocument/2006/relationships/hyperlink" Target="http://www.riss.kr/link?id=S60956" TargetMode="External"/><Relationship Id="rId137" Type="http://schemas.openxmlformats.org/officeDocument/2006/relationships/hyperlink" Target="http://www.riss.kr/link?id=S416689" TargetMode="External"/><Relationship Id="rId302" Type="http://schemas.openxmlformats.org/officeDocument/2006/relationships/hyperlink" Target="http://www.riss.kr/link?id=S20022179" TargetMode="External"/><Relationship Id="rId344" Type="http://schemas.openxmlformats.org/officeDocument/2006/relationships/hyperlink" Target="http://www.riss.kr/link?id=S12876" TargetMode="External"/><Relationship Id="rId691" Type="http://schemas.openxmlformats.org/officeDocument/2006/relationships/hyperlink" Target="http://www.riss.kr/link?id=S407287" TargetMode="External"/><Relationship Id="rId747" Type="http://schemas.openxmlformats.org/officeDocument/2006/relationships/hyperlink" Target="http://www.riss.kr/link?id=S29694" TargetMode="External"/><Relationship Id="rId789" Type="http://schemas.openxmlformats.org/officeDocument/2006/relationships/hyperlink" Target="http://www.riss.kr/link?id=S25143" TargetMode="External"/><Relationship Id="rId912" Type="http://schemas.openxmlformats.org/officeDocument/2006/relationships/hyperlink" Target="http://www.riss.kr/link?id=S417133" TargetMode="External"/><Relationship Id="rId954" Type="http://schemas.openxmlformats.org/officeDocument/2006/relationships/hyperlink" Target="http://www.riss.kr/link?id=S104126" TargetMode="External"/><Relationship Id="rId41" Type="http://schemas.openxmlformats.org/officeDocument/2006/relationships/hyperlink" Target="http://www.riss.kr/link?id=S17586" TargetMode="External"/><Relationship Id="rId83" Type="http://schemas.openxmlformats.org/officeDocument/2006/relationships/hyperlink" Target="http://www.riss.kr/link?id=S115393" TargetMode="External"/><Relationship Id="rId179" Type="http://schemas.openxmlformats.org/officeDocument/2006/relationships/hyperlink" Target="http://www.riss.kr/link?id=S15001" TargetMode="External"/><Relationship Id="rId386" Type="http://schemas.openxmlformats.org/officeDocument/2006/relationships/hyperlink" Target="http://www.riss.kr/link?id=S12896" TargetMode="External"/><Relationship Id="rId551" Type="http://schemas.openxmlformats.org/officeDocument/2006/relationships/hyperlink" Target="http://www.riss.kr/link?id=S410619" TargetMode="External"/><Relationship Id="rId593" Type="http://schemas.openxmlformats.org/officeDocument/2006/relationships/hyperlink" Target="http://www.riss.kr/link?id=S103468" TargetMode="External"/><Relationship Id="rId607" Type="http://schemas.openxmlformats.org/officeDocument/2006/relationships/hyperlink" Target="http://www.riss.kr/link?id=S20888" TargetMode="External"/><Relationship Id="rId649" Type="http://schemas.openxmlformats.org/officeDocument/2006/relationships/hyperlink" Target="http://www.riss.kr/link?id=S413600" TargetMode="External"/><Relationship Id="rId814" Type="http://schemas.openxmlformats.org/officeDocument/2006/relationships/hyperlink" Target="http://www.riss.kr/link?id=S31658" TargetMode="External"/><Relationship Id="rId856" Type="http://schemas.openxmlformats.org/officeDocument/2006/relationships/hyperlink" Target="http://www.riss.kr/link?id=S115750" TargetMode="External"/><Relationship Id="rId190" Type="http://schemas.openxmlformats.org/officeDocument/2006/relationships/hyperlink" Target="http://www.riss.kr/link?id=S16220" TargetMode="External"/><Relationship Id="rId204" Type="http://schemas.openxmlformats.org/officeDocument/2006/relationships/hyperlink" Target="http://www.riss.kr/link?id=S14978" TargetMode="External"/><Relationship Id="rId246" Type="http://schemas.openxmlformats.org/officeDocument/2006/relationships/hyperlink" Target="http://www.riss.kr/link?id=S15740" TargetMode="External"/><Relationship Id="rId288" Type="http://schemas.openxmlformats.org/officeDocument/2006/relationships/hyperlink" Target="http://www.riss.kr/link?id=S60845" TargetMode="External"/><Relationship Id="rId411" Type="http://schemas.openxmlformats.org/officeDocument/2006/relationships/hyperlink" Target="http://www.riss.kr/link?id=S13468" TargetMode="External"/><Relationship Id="rId453" Type="http://schemas.openxmlformats.org/officeDocument/2006/relationships/hyperlink" Target="http://www.riss.kr/link?id=S28842" TargetMode="External"/><Relationship Id="rId509" Type="http://schemas.openxmlformats.org/officeDocument/2006/relationships/hyperlink" Target="http://www.riss.kr/link?id=S17471" TargetMode="External"/><Relationship Id="rId660" Type="http://schemas.openxmlformats.org/officeDocument/2006/relationships/hyperlink" Target="http://www.riss.kr/link?id=S5102" TargetMode="External"/><Relationship Id="rId898" Type="http://schemas.openxmlformats.org/officeDocument/2006/relationships/hyperlink" Target="http://www.riss.kr/link?id=S19712" TargetMode="External"/><Relationship Id="rId106" Type="http://schemas.openxmlformats.org/officeDocument/2006/relationships/hyperlink" Target="http://www.riss.kr/link?id=S16980" TargetMode="External"/><Relationship Id="rId313" Type="http://schemas.openxmlformats.org/officeDocument/2006/relationships/hyperlink" Target="http://www.riss.kr/link?id=S61263" TargetMode="External"/><Relationship Id="rId495" Type="http://schemas.openxmlformats.org/officeDocument/2006/relationships/hyperlink" Target="http://www.riss.kr/link?id=S16019" TargetMode="External"/><Relationship Id="rId716" Type="http://schemas.openxmlformats.org/officeDocument/2006/relationships/hyperlink" Target="http://www.riss.kr/link?id=S22287" TargetMode="External"/><Relationship Id="rId758" Type="http://schemas.openxmlformats.org/officeDocument/2006/relationships/hyperlink" Target="http://www.riss.kr/link?id=S30006830" TargetMode="External"/><Relationship Id="rId923" Type="http://schemas.openxmlformats.org/officeDocument/2006/relationships/hyperlink" Target="http://www.riss.kr/link?id=S417126" TargetMode="External"/><Relationship Id="rId965" Type="http://schemas.openxmlformats.org/officeDocument/2006/relationships/hyperlink" Target="http://www.riss.kr/link?id=S20085282" TargetMode="External"/><Relationship Id="rId10" Type="http://schemas.openxmlformats.org/officeDocument/2006/relationships/hyperlink" Target="http://www.riss.kr/link?id=S18823" TargetMode="External"/><Relationship Id="rId52" Type="http://schemas.openxmlformats.org/officeDocument/2006/relationships/hyperlink" Target="http://www.riss.kr/link?id=S17339" TargetMode="External"/><Relationship Id="rId94" Type="http://schemas.openxmlformats.org/officeDocument/2006/relationships/hyperlink" Target="http://www.riss.kr/link?id=S31020998" TargetMode="External"/><Relationship Id="rId148" Type="http://schemas.openxmlformats.org/officeDocument/2006/relationships/hyperlink" Target="http://www.riss.kr/link?id=S17549" TargetMode="External"/><Relationship Id="rId355" Type="http://schemas.openxmlformats.org/officeDocument/2006/relationships/hyperlink" Target="http://www.riss.kr/link?id=S14353" TargetMode="External"/><Relationship Id="rId397" Type="http://schemas.openxmlformats.org/officeDocument/2006/relationships/hyperlink" Target="http://www.riss.kr/link?id=S14006" TargetMode="External"/><Relationship Id="rId520" Type="http://schemas.openxmlformats.org/officeDocument/2006/relationships/hyperlink" Target="http://www.riss.kr/link?id=S418445" TargetMode="External"/><Relationship Id="rId562" Type="http://schemas.openxmlformats.org/officeDocument/2006/relationships/hyperlink" Target="http://www.riss.kr/link?id=S20345" TargetMode="External"/><Relationship Id="rId618" Type="http://schemas.openxmlformats.org/officeDocument/2006/relationships/hyperlink" Target="http://www.riss.kr/link?id=S30000694" TargetMode="External"/><Relationship Id="rId825" Type="http://schemas.openxmlformats.org/officeDocument/2006/relationships/hyperlink" Target="http://www.riss.kr/link?id=S40376" TargetMode="External"/><Relationship Id="rId215" Type="http://schemas.openxmlformats.org/officeDocument/2006/relationships/hyperlink" Target="http://www.riss.kr/link?id=S36561" TargetMode="External"/><Relationship Id="rId257" Type="http://schemas.openxmlformats.org/officeDocument/2006/relationships/hyperlink" Target="http://www.riss.kr/link?id=S404178" TargetMode="External"/><Relationship Id="rId422" Type="http://schemas.openxmlformats.org/officeDocument/2006/relationships/hyperlink" Target="http://www.riss.kr/link?id=S16063" TargetMode="External"/><Relationship Id="rId464" Type="http://schemas.openxmlformats.org/officeDocument/2006/relationships/hyperlink" Target="http://www.riss.kr/link?id=S61982" TargetMode="External"/><Relationship Id="rId867" Type="http://schemas.openxmlformats.org/officeDocument/2006/relationships/hyperlink" Target="http://www.riss.kr/link?id=S6194" TargetMode="External"/><Relationship Id="rId299" Type="http://schemas.openxmlformats.org/officeDocument/2006/relationships/hyperlink" Target="http://www.riss.kr/link?id=S413557" TargetMode="External"/><Relationship Id="rId727" Type="http://schemas.openxmlformats.org/officeDocument/2006/relationships/hyperlink" Target="http://www.riss.kr/link?id=S415890" TargetMode="External"/><Relationship Id="rId934" Type="http://schemas.openxmlformats.org/officeDocument/2006/relationships/hyperlink" Target="http://www.riss.kr/link?id=S35910" TargetMode="External"/><Relationship Id="rId63" Type="http://schemas.openxmlformats.org/officeDocument/2006/relationships/hyperlink" Target="http://www.riss.kr/link?id=S15429" TargetMode="External"/><Relationship Id="rId159" Type="http://schemas.openxmlformats.org/officeDocument/2006/relationships/hyperlink" Target="http://www.riss.kr/link?id=S12733" TargetMode="External"/><Relationship Id="rId366" Type="http://schemas.openxmlformats.org/officeDocument/2006/relationships/hyperlink" Target="http://www.riss.kr/link?id=S416697" TargetMode="External"/><Relationship Id="rId573" Type="http://schemas.openxmlformats.org/officeDocument/2006/relationships/hyperlink" Target="http://www.riss.kr/link?id=S12901" TargetMode="External"/><Relationship Id="rId780" Type="http://schemas.openxmlformats.org/officeDocument/2006/relationships/hyperlink" Target="http://www.riss.kr/link?id=S24586" TargetMode="External"/><Relationship Id="rId226" Type="http://schemas.openxmlformats.org/officeDocument/2006/relationships/hyperlink" Target="http://www.riss.kr/link?id=S48034" TargetMode="External"/><Relationship Id="rId433" Type="http://schemas.openxmlformats.org/officeDocument/2006/relationships/hyperlink" Target="http://www.riss.kr/link?id=S12745" TargetMode="External"/><Relationship Id="rId878" Type="http://schemas.openxmlformats.org/officeDocument/2006/relationships/hyperlink" Target="http://www.riss.kr/link?id=S20084641" TargetMode="External"/><Relationship Id="rId640" Type="http://schemas.openxmlformats.org/officeDocument/2006/relationships/hyperlink" Target="http://www.riss.kr/link?id=S15519" TargetMode="External"/><Relationship Id="rId738" Type="http://schemas.openxmlformats.org/officeDocument/2006/relationships/hyperlink" Target="http://www.riss.kr/link?id=S15785" TargetMode="External"/><Relationship Id="rId945" Type="http://schemas.openxmlformats.org/officeDocument/2006/relationships/hyperlink" Target="http://www.riss.kr/link?id=S116014" TargetMode="External"/><Relationship Id="rId74" Type="http://schemas.openxmlformats.org/officeDocument/2006/relationships/hyperlink" Target="http://www.riss.kr/link?id=S15489" TargetMode="External"/><Relationship Id="rId377" Type="http://schemas.openxmlformats.org/officeDocument/2006/relationships/hyperlink" Target="http://www.riss.kr/link?id=S61275" TargetMode="External"/><Relationship Id="rId500" Type="http://schemas.openxmlformats.org/officeDocument/2006/relationships/hyperlink" Target="http://www.riss.kr/link?id=S71144" TargetMode="External"/><Relationship Id="rId584" Type="http://schemas.openxmlformats.org/officeDocument/2006/relationships/hyperlink" Target="http://www.riss.kr/link?id=S17042" TargetMode="External"/><Relationship Id="rId805" Type="http://schemas.openxmlformats.org/officeDocument/2006/relationships/hyperlink" Target="http://www.riss.kr/link?id=S64125" TargetMode="External"/><Relationship Id="rId5" Type="http://schemas.openxmlformats.org/officeDocument/2006/relationships/hyperlink" Target="http://www.riss.kr/link?id=S38813" TargetMode="External"/><Relationship Id="rId237" Type="http://schemas.openxmlformats.org/officeDocument/2006/relationships/hyperlink" Target="http://www.riss.kr/link?id=S21270" TargetMode="External"/><Relationship Id="rId791" Type="http://schemas.openxmlformats.org/officeDocument/2006/relationships/hyperlink" Target="http://www.riss.kr/link?id=S20190" TargetMode="External"/><Relationship Id="rId889" Type="http://schemas.openxmlformats.org/officeDocument/2006/relationships/hyperlink" Target="http://www.riss.kr/link?id=S31000567" TargetMode="External"/><Relationship Id="rId444" Type="http://schemas.openxmlformats.org/officeDocument/2006/relationships/hyperlink" Target="http://www.riss.kr/link?id=S10522" TargetMode="External"/><Relationship Id="rId651" Type="http://schemas.openxmlformats.org/officeDocument/2006/relationships/hyperlink" Target="http://www.riss.kr/link?id=S11574962" TargetMode="External"/><Relationship Id="rId749" Type="http://schemas.openxmlformats.org/officeDocument/2006/relationships/hyperlink" Target="http://www.riss.kr/link?id=S79897" TargetMode="External"/><Relationship Id="rId290" Type="http://schemas.openxmlformats.org/officeDocument/2006/relationships/hyperlink" Target="http://www.riss.kr/link?id=S16091" TargetMode="External"/><Relationship Id="rId304" Type="http://schemas.openxmlformats.org/officeDocument/2006/relationships/hyperlink" Target="http://www.riss.kr/link?id=S45402" TargetMode="External"/><Relationship Id="rId388" Type="http://schemas.openxmlformats.org/officeDocument/2006/relationships/hyperlink" Target="http://www.riss.kr/link?id=S90023890" TargetMode="External"/><Relationship Id="rId511" Type="http://schemas.openxmlformats.org/officeDocument/2006/relationships/hyperlink" Target="http://www.riss.kr/link?id=S418638" TargetMode="External"/><Relationship Id="rId609" Type="http://schemas.openxmlformats.org/officeDocument/2006/relationships/hyperlink" Target="http://www.riss.kr/link?id=S103925" TargetMode="External"/><Relationship Id="rId956" Type="http://schemas.openxmlformats.org/officeDocument/2006/relationships/hyperlink" Target="http://www.riss.kr/link?id=S104127" TargetMode="External"/><Relationship Id="rId85" Type="http://schemas.openxmlformats.org/officeDocument/2006/relationships/hyperlink" Target="http://www.riss.kr/link?id=S115373" TargetMode="External"/><Relationship Id="rId150" Type="http://schemas.openxmlformats.org/officeDocument/2006/relationships/hyperlink" Target="http://www.riss.kr/link?id=S418984" TargetMode="External"/><Relationship Id="rId595" Type="http://schemas.openxmlformats.org/officeDocument/2006/relationships/hyperlink" Target="http://www.riss.kr/link?id=S103490" TargetMode="External"/><Relationship Id="rId816" Type="http://schemas.openxmlformats.org/officeDocument/2006/relationships/hyperlink" Target="http://www.riss.kr/link?id=S36945" TargetMode="External"/><Relationship Id="rId248" Type="http://schemas.openxmlformats.org/officeDocument/2006/relationships/hyperlink" Target="http://www.riss.kr/link?id=S103354" TargetMode="External"/><Relationship Id="rId455" Type="http://schemas.openxmlformats.org/officeDocument/2006/relationships/hyperlink" Target="http://www.riss.kr/link?id=S58111" TargetMode="External"/><Relationship Id="rId662" Type="http://schemas.openxmlformats.org/officeDocument/2006/relationships/hyperlink" Target="http://www.riss.kr/link?id=S11575494" TargetMode="External"/><Relationship Id="rId12" Type="http://schemas.openxmlformats.org/officeDocument/2006/relationships/hyperlink" Target="http://www.riss.kr/link?id=S50310" TargetMode="External"/><Relationship Id="rId108" Type="http://schemas.openxmlformats.org/officeDocument/2006/relationships/hyperlink" Target="http://www.riss.kr/link?id=S60873" TargetMode="External"/><Relationship Id="rId315" Type="http://schemas.openxmlformats.org/officeDocument/2006/relationships/hyperlink" Target="http://www.riss.kr/link?id=S417119" TargetMode="External"/><Relationship Id="rId522" Type="http://schemas.openxmlformats.org/officeDocument/2006/relationships/hyperlink" Target="http://www.riss.kr/link?id=S115382" TargetMode="External"/><Relationship Id="rId967" Type="http://schemas.openxmlformats.org/officeDocument/2006/relationships/hyperlink" Target="http://www.riss.kr/link?id=S60888" TargetMode="External"/><Relationship Id="rId96" Type="http://schemas.openxmlformats.org/officeDocument/2006/relationships/hyperlink" Target="http://www.riss.kr/link?id=S6860" TargetMode="External"/><Relationship Id="rId161" Type="http://schemas.openxmlformats.org/officeDocument/2006/relationships/hyperlink" Target="http://www.riss.kr/link?id=S410926" TargetMode="External"/><Relationship Id="rId399" Type="http://schemas.openxmlformats.org/officeDocument/2006/relationships/hyperlink" Target="http://www.riss.kr/link?id=S20010539" TargetMode="External"/><Relationship Id="rId827" Type="http://schemas.openxmlformats.org/officeDocument/2006/relationships/hyperlink" Target="http://www.riss.kr/link?id=S20068215" TargetMode="External"/><Relationship Id="rId259" Type="http://schemas.openxmlformats.org/officeDocument/2006/relationships/hyperlink" Target="http://www.riss.kr/link?id=S418665" TargetMode="External"/><Relationship Id="rId466" Type="http://schemas.openxmlformats.org/officeDocument/2006/relationships/hyperlink" Target="http://www.riss.kr/link?id=S17257" TargetMode="External"/><Relationship Id="rId673" Type="http://schemas.openxmlformats.org/officeDocument/2006/relationships/hyperlink" Target="http://www.riss.kr/link?id=S415705" TargetMode="External"/><Relationship Id="rId880" Type="http://schemas.openxmlformats.org/officeDocument/2006/relationships/hyperlink" Target="http://www.riss.kr/link?id=S60960" TargetMode="External"/><Relationship Id="rId23" Type="http://schemas.openxmlformats.org/officeDocument/2006/relationships/hyperlink" Target="http://www.riss.kr/link?id=S415162" TargetMode="External"/><Relationship Id="rId119" Type="http://schemas.openxmlformats.org/officeDocument/2006/relationships/hyperlink" Target="http://www.riss.kr/link?id=S409678" TargetMode="External"/><Relationship Id="rId326" Type="http://schemas.openxmlformats.org/officeDocument/2006/relationships/hyperlink" Target="http://www.riss.kr/link?id=S14962" TargetMode="External"/><Relationship Id="rId533" Type="http://schemas.openxmlformats.org/officeDocument/2006/relationships/hyperlink" Target="http://www.riss.kr/link?id=S85996" TargetMode="External"/><Relationship Id="rId978" Type="http://schemas.openxmlformats.org/officeDocument/2006/relationships/hyperlink" Target="http://www.riss.kr/link?id=S40112" TargetMode="External"/><Relationship Id="rId740" Type="http://schemas.openxmlformats.org/officeDocument/2006/relationships/hyperlink" Target="http://www.riss.kr/link?id=S12402" TargetMode="External"/><Relationship Id="rId838" Type="http://schemas.openxmlformats.org/officeDocument/2006/relationships/hyperlink" Target="http://www.riss.kr/link?id=S25096" TargetMode="External"/><Relationship Id="rId172" Type="http://schemas.openxmlformats.org/officeDocument/2006/relationships/hyperlink" Target="http://www.riss.kr/link?id=S115376" TargetMode="External"/><Relationship Id="rId477" Type="http://schemas.openxmlformats.org/officeDocument/2006/relationships/hyperlink" Target="http://www.riss.kr/link?id=S43758" TargetMode="External"/><Relationship Id="rId600" Type="http://schemas.openxmlformats.org/officeDocument/2006/relationships/hyperlink" Target="http://www.riss.kr/link?id=S15959" TargetMode="External"/><Relationship Id="rId684" Type="http://schemas.openxmlformats.org/officeDocument/2006/relationships/hyperlink" Target="http://www.riss.kr/link?id=S11640555" TargetMode="External"/><Relationship Id="rId337" Type="http://schemas.openxmlformats.org/officeDocument/2006/relationships/hyperlink" Target="http://www.riss.kr/link?id=S38215" TargetMode="External"/><Relationship Id="rId891" Type="http://schemas.openxmlformats.org/officeDocument/2006/relationships/hyperlink" Target="http://www.riss.kr/link?id=S70667" TargetMode="External"/><Relationship Id="rId905" Type="http://schemas.openxmlformats.org/officeDocument/2006/relationships/hyperlink" Target="http://www.riss.kr/link?id=S411233" TargetMode="External"/><Relationship Id="rId34" Type="http://schemas.openxmlformats.org/officeDocument/2006/relationships/hyperlink" Target="http://www.riss.kr/link?id=S17589" TargetMode="External"/><Relationship Id="rId544" Type="http://schemas.openxmlformats.org/officeDocument/2006/relationships/hyperlink" Target="http://www.riss.kr/link?id=S31001902" TargetMode="External"/><Relationship Id="rId751" Type="http://schemas.openxmlformats.org/officeDocument/2006/relationships/hyperlink" Target="http://www.riss.kr/link?id=S21690" TargetMode="External"/><Relationship Id="rId849" Type="http://schemas.openxmlformats.org/officeDocument/2006/relationships/hyperlink" Target="http://www.riss.kr/link?id=S19714" TargetMode="External"/><Relationship Id="rId183" Type="http://schemas.openxmlformats.org/officeDocument/2006/relationships/hyperlink" Target="http://www.riss.kr/link?id=S7094" TargetMode="External"/><Relationship Id="rId390" Type="http://schemas.openxmlformats.org/officeDocument/2006/relationships/hyperlink" Target="http://www.riss.kr/link?id=S21147" TargetMode="External"/><Relationship Id="rId404" Type="http://schemas.openxmlformats.org/officeDocument/2006/relationships/hyperlink" Target="http://www.riss.kr/link?id=S31027708" TargetMode="External"/><Relationship Id="rId611" Type="http://schemas.openxmlformats.org/officeDocument/2006/relationships/hyperlink" Target="http://www.riss.kr/link?id=S20010735" TargetMode="External"/><Relationship Id="rId250" Type="http://schemas.openxmlformats.org/officeDocument/2006/relationships/hyperlink" Target="http://www.riss.kr/link?id=S11574570" TargetMode="External"/><Relationship Id="rId488" Type="http://schemas.openxmlformats.org/officeDocument/2006/relationships/hyperlink" Target="http://www.riss.kr/link?id=S403110" TargetMode="External"/><Relationship Id="rId695" Type="http://schemas.openxmlformats.org/officeDocument/2006/relationships/hyperlink" Target="http://www.riss.kr/link?id=S20011380" TargetMode="External"/><Relationship Id="rId709" Type="http://schemas.openxmlformats.org/officeDocument/2006/relationships/hyperlink" Target="http://www.riss.kr/link?id=S16479" TargetMode="External"/><Relationship Id="rId916" Type="http://schemas.openxmlformats.org/officeDocument/2006/relationships/hyperlink" Target="http://www.riss.kr/link?id=S37341" TargetMode="External"/><Relationship Id="rId45" Type="http://schemas.openxmlformats.org/officeDocument/2006/relationships/hyperlink" Target="http://www.riss.kr/link?id=S407270" TargetMode="External"/><Relationship Id="rId110" Type="http://schemas.openxmlformats.org/officeDocument/2006/relationships/hyperlink" Target="http://www.riss.kr/link?id=S17329" TargetMode="External"/><Relationship Id="rId348" Type="http://schemas.openxmlformats.org/officeDocument/2006/relationships/hyperlink" Target="http://www.riss.kr/link?id=S60908" TargetMode="External"/><Relationship Id="rId555" Type="http://schemas.openxmlformats.org/officeDocument/2006/relationships/hyperlink" Target="http://www.riss.kr/link?id=S115386" TargetMode="External"/><Relationship Id="rId762" Type="http://schemas.openxmlformats.org/officeDocument/2006/relationships/hyperlink" Target="http://www.riss.kr/link?id=S104898" TargetMode="External"/><Relationship Id="rId194" Type="http://schemas.openxmlformats.org/officeDocument/2006/relationships/hyperlink" Target="http://www.riss.kr/link?id=S23513" TargetMode="External"/><Relationship Id="rId208" Type="http://schemas.openxmlformats.org/officeDocument/2006/relationships/hyperlink" Target="http://www.riss.kr/link?id=S104991" TargetMode="External"/><Relationship Id="rId415" Type="http://schemas.openxmlformats.org/officeDocument/2006/relationships/hyperlink" Target="http://www.riss.kr/link?id=S16389" TargetMode="External"/><Relationship Id="rId622" Type="http://schemas.openxmlformats.org/officeDocument/2006/relationships/hyperlink" Target="http://www.riss.kr/link?id=S17357" TargetMode="External"/><Relationship Id="rId261" Type="http://schemas.openxmlformats.org/officeDocument/2006/relationships/hyperlink" Target="http://www.riss.kr/link?id=S15737" TargetMode="External"/><Relationship Id="rId499" Type="http://schemas.openxmlformats.org/officeDocument/2006/relationships/hyperlink" Target="http://www.riss.kr/link?id=S416735" TargetMode="External"/><Relationship Id="rId927" Type="http://schemas.openxmlformats.org/officeDocument/2006/relationships/hyperlink" Target="http://www.riss.kr/link?id=S63124" TargetMode="External"/><Relationship Id="rId56" Type="http://schemas.openxmlformats.org/officeDocument/2006/relationships/hyperlink" Target="http://www.riss.kr/link?id=S400756" TargetMode="External"/><Relationship Id="rId359" Type="http://schemas.openxmlformats.org/officeDocument/2006/relationships/hyperlink" Target="http://www.riss.kr/link?id=S87729" TargetMode="External"/><Relationship Id="rId566" Type="http://schemas.openxmlformats.org/officeDocument/2006/relationships/hyperlink" Target="http://www.riss.kr/link?id=S404171" TargetMode="External"/><Relationship Id="rId773" Type="http://schemas.openxmlformats.org/officeDocument/2006/relationships/hyperlink" Target="http://www.riss.kr/link?id=S413415" TargetMode="External"/><Relationship Id="rId121" Type="http://schemas.openxmlformats.org/officeDocument/2006/relationships/hyperlink" Target="http://www.riss.kr/link?id=S410933" TargetMode="External"/><Relationship Id="rId219" Type="http://schemas.openxmlformats.org/officeDocument/2006/relationships/hyperlink" Target="http://www.riss.kr/link?id=S16697" TargetMode="External"/><Relationship Id="rId426" Type="http://schemas.openxmlformats.org/officeDocument/2006/relationships/hyperlink" Target="http://www.riss.kr/link?id=S17267" TargetMode="External"/><Relationship Id="rId633" Type="http://schemas.openxmlformats.org/officeDocument/2006/relationships/hyperlink" Target="http://www.riss.kr/link?id=S403964" TargetMode="External"/><Relationship Id="rId980" Type="http://schemas.openxmlformats.org/officeDocument/2006/relationships/comments" Target="../comments2.xml"/><Relationship Id="rId840" Type="http://schemas.openxmlformats.org/officeDocument/2006/relationships/hyperlink" Target="http://www.riss.kr/link?id=S19748" TargetMode="External"/><Relationship Id="rId938" Type="http://schemas.openxmlformats.org/officeDocument/2006/relationships/hyperlink" Target="http://www.riss.kr/link?id=S43977" TargetMode="External"/><Relationship Id="rId67" Type="http://schemas.openxmlformats.org/officeDocument/2006/relationships/hyperlink" Target="http://www.riss.kr/link?id=S15430" TargetMode="External"/><Relationship Id="rId272" Type="http://schemas.openxmlformats.org/officeDocument/2006/relationships/hyperlink" Target="http://www.riss.kr/link?id=S16097" TargetMode="External"/><Relationship Id="rId577" Type="http://schemas.openxmlformats.org/officeDocument/2006/relationships/hyperlink" Target="http://www.riss.kr/link?id=S16546" TargetMode="External"/><Relationship Id="rId700" Type="http://schemas.openxmlformats.org/officeDocument/2006/relationships/hyperlink" Target="http://www.riss.kr/link?id=S407398" TargetMode="External"/><Relationship Id="rId132" Type="http://schemas.openxmlformats.org/officeDocument/2006/relationships/hyperlink" Target="http://www.riss.kr/link?id=S17133" TargetMode="External"/><Relationship Id="rId784" Type="http://schemas.openxmlformats.org/officeDocument/2006/relationships/hyperlink" Target="http://www.riss.kr/link?id=S60910" TargetMode="External"/><Relationship Id="rId437" Type="http://schemas.openxmlformats.org/officeDocument/2006/relationships/hyperlink" Target="http://www.riss.kr/link?id=S16056" TargetMode="External"/><Relationship Id="rId644" Type="http://schemas.openxmlformats.org/officeDocument/2006/relationships/hyperlink" Target="http://www.riss.kr/link?id=S15933" TargetMode="External"/><Relationship Id="rId851" Type="http://schemas.openxmlformats.org/officeDocument/2006/relationships/hyperlink" Target="http://www.riss.kr/link?id=S87108" TargetMode="External"/><Relationship Id="rId283" Type="http://schemas.openxmlformats.org/officeDocument/2006/relationships/hyperlink" Target="http://www.riss.kr/link?id=S20374" TargetMode="External"/><Relationship Id="rId490" Type="http://schemas.openxmlformats.org/officeDocument/2006/relationships/hyperlink" Target="http://www.riss.kr/link?id=S87400" TargetMode="External"/><Relationship Id="rId504" Type="http://schemas.openxmlformats.org/officeDocument/2006/relationships/hyperlink" Target="http://www.riss.kr/link?id=S15590" TargetMode="External"/><Relationship Id="rId711" Type="http://schemas.openxmlformats.org/officeDocument/2006/relationships/hyperlink" Target="http://www.riss.kr/link?id=S42967" TargetMode="External"/><Relationship Id="rId949" Type="http://schemas.openxmlformats.org/officeDocument/2006/relationships/hyperlink" Target="http://www.riss.kr/link?id=S85459" TargetMode="External"/><Relationship Id="rId78" Type="http://schemas.openxmlformats.org/officeDocument/2006/relationships/hyperlink" Target="http://www.riss.kr/link?id=S12866" TargetMode="External"/><Relationship Id="rId143" Type="http://schemas.openxmlformats.org/officeDocument/2006/relationships/hyperlink" Target="http://www.riss.kr/link?id=S418044" TargetMode="External"/><Relationship Id="rId350" Type="http://schemas.openxmlformats.org/officeDocument/2006/relationships/hyperlink" Target="http://www.riss.kr/link?id=S80605" TargetMode="External"/><Relationship Id="rId588" Type="http://schemas.openxmlformats.org/officeDocument/2006/relationships/hyperlink" Target="http://www.riss.kr/link?id=S60691" TargetMode="External"/><Relationship Id="rId795" Type="http://schemas.openxmlformats.org/officeDocument/2006/relationships/hyperlink" Target="http://www.riss.kr/link?id=S144775" TargetMode="External"/><Relationship Id="rId809" Type="http://schemas.openxmlformats.org/officeDocument/2006/relationships/hyperlink" Target="http://www.riss.kr/link?id=S104265" TargetMode="External"/><Relationship Id="rId9" Type="http://schemas.openxmlformats.org/officeDocument/2006/relationships/hyperlink" Target="http://www.riss.kr/link?id=S18822" TargetMode="External"/><Relationship Id="rId210" Type="http://schemas.openxmlformats.org/officeDocument/2006/relationships/hyperlink" Target="http://www.riss.kr/link?id=S416807" TargetMode="External"/><Relationship Id="rId448" Type="http://schemas.openxmlformats.org/officeDocument/2006/relationships/hyperlink" Target="http://www.riss.kr/link?id=S14916" TargetMode="External"/><Relationship Id="rId655" Type="http://schemas.openxmlformats.org/officeDocument/2006/relationships/hyperlink" Target="http://www.riss.kr/link?id=S410797" TargetMode="External"/><Relationship Id="rId862" Type="http://schemas.openxmlformats.org/officeDocument/2006/relationships/hyperlink" Target="http://www.riss.kr/link?id=S115754" TargetMode="External"/><Relationship Id="rId294" Type="http://schemas.openxmlformats.org/officeDocument/2006/relationships/hyperlink" Target="http://www.riss.kr/link?id=S407942" TargetMode="External"/><Relationship Id="rId308" Type="http://schemas.openxmlformats.org/officeDocument/2006/relationships/hyperlink" Target="http://www.riss.kr/link?id=S38346" TargetMode="External"/><Relationship Id="rId515" Type="http://schemas.openxmlformats.org/officeDocument/2006/relationships/hyperlink" Target="http://www.riss.kr/link?id=S16015" TargetMode="External"/><Relationship Id="rId722" Type="http://schemas.openxmlformats.org/officeDocument/2006/relationships/hyperlink" Target="http://www.riss.kr/link?id=S30007494" TargetMode="External"/><Relationship Id="rId89" Type="http://schemas.openxmlformats.org/officeDocument/2006/relationships/hyperlink" Target="http://www.riss.kr/link?id=S410185" TargetMode="External"/><Relationship Id="rId154" Type="http://schemas.openxmlformats.org/officeDocument/2006/relationships/hyperlink" Target="http://www.riss.kr/link?id=S405626" TargetMode="External"/><Relationship Id="rId361" Type="http://schemas.openxmlformats.org/officeDocument/2006/relationships/hyperlink" Target="http://www.riss.kr/link?id=S16072" TargetMode="External"/><Relationship Id="rId599" Type="http://schemas.openxmlformats.org/officeDocument/2006/relationships/hyperlink" Target="http://www.riss.kr/link?id=S20881" TargetMode="External"/><Relationship Id="rId459" Type="http://schemas.openxmlformats.org/officeDocument/2006/relationships/hyperlink" Target="http://www.riss.kr/link?id=S90006683" TargetMode="External"/><Relationship Id="rId666" Type="http://schemas.openxmlformats.org/officeDocument/2006/relationships/hyperlink" Target="http://www.riss.kr/link?id=S409282" TargetMode="External"/><Relationship Id="rId873" Type="http://schemas.openxmlformats.org/officeDocument/2006/relationships/hyperlink" Target="http://www.riss.kr/link?id=S60898" TargetMode="External"/><Relationship Id="rId16" Type="http://schemas.openxmlformats.org/officeDocument/2006/relationships/hyperlink" Target="http://www.riss.kr/link?id=S90019138" TargetMode="External"/><Relationship Id="rId221" Type="http://schemas.openxmlformats.org/officeDocument/2006/relationships/hyperlink" Target="http://www.riss.kr/link?id=S23469" TargetMode="External"/><Relationship Id="rId319" Type="http://schemas.openxmlformats.org/officeDocument/2006/relationships/hyperlink" Target="http://www.riss.kr/link?id=S104527" TargetMode="External"/><Relationship Id="rId526" Type="http://schemas.openxmlformats.org/officeDocument/2006/relationships/hyperlink" Target="http://www.riss.kr/link?id=S16627" TargetMode="External"/><Relationship Id="rId733" Type="http://schemas.openxmlformats.org/officeDocument/2006/relationships/hyperlink" Target="http://www.riss.kr/link?id=S411666" TargetMode="External"/><Relationship Id="rId940" Type="http://schemas.openxmlformats.org/officeDocument/2006/relationships/hyperlink" Target="http://www.riss.kr/link?id=S40249" TargetMode="External"/><Relationship Id="rId165" Type="http://schemas.openxmlformats.org/officeDocument/2006/relationships/hyperlink" Target="http://www.riss.kr/link?id=S16252" TargetMode="External"/><Relationship Id="rId372" Type="http://schemas.openxmlformats.org/officeDocument/2006/relationships/hyperlink" Target="http://www.riss.kr/link?id=S16067" TargetMode="External"/><Relationship Id="rId677" Type="http://schemas.openxmlformats.org/officeDocument/2006/relationships/hyperlink" Target="http://www.riss.kr/link?id=S402996" TargetMode="External"/><Relationship Id="rId800" Type="http://schemas.openxmlformats.org/officeDocument/2006/relationships/hyperlink" Target="http://www.riss.kr/link?id=S63516" TargetMode="External"/><Relationship Id="rId232" Type="http://schemas.openxmlformats.org/officeDocument/2006/relationships/hyperlink" Target="http://www.riss.kr/link?id=S11926" TargetMode="External"/><Relationship Id="rId884" Type="http://schemas.openxmlformats.org/officeDocument/2006/relationships/hyperlink" Target="http://www.riss.kr/link?id=S80312" TargetMode="External"/><Relationship Id="rId27" Type="http://schemas.openxmlformats.org/officeDocument/2006/relationships/hyperlink" Target="http://www.riss.kr/link?id=S14693" TargetMode="External"/><Relationship Id="rId537" Type="http://schemas.openxmlformats.org/officeDocument/2006/relationships/hyperlink" Target="http://www.riss.kr/link?id=S16558" TargetMode="External"/><Relationship Id="rId744" Type="http://schemas.openxmlformats.org/officeDocument/2006/relationships/hyperlink" Target="http://www.riss.kr/link?id=S15576" TargetMode="External"/><Relationship Id="rId951" Type="http://schemas.openxmlformats.org/officeDocument/2006/relationships/hyperlink" Target="http://www.riss.kr/link?id=S104123" TargetMode="External"/><Relationship Id="rId80" Type="http://schemas.openxmlformats.org/officeDocument/2006/relationships/hyperlink" Target="http://www.riss.kr/link?id=S20013054" TargetMode="External"/><Relationship Id="rId176" Type="http://schemas.openxmlformats.org/officeDocument/2006/relationships/hyperlink" Target="http://www.riss.kr/link?id=S16432" TargetMode="External"/><Relationship Id="rId383" Type="http://schemas.openxmlformats.org/officeDocument/2006/relationships/hyperlink" Target="http://www.riss.kr/link?id=S12868" TargetMode="External"/><Relationship Id="rId590" Type="http://schemas.openxmlformats.org/officeDocument/2006/relationships/hyperlink" Target="http://www.riss.kr/link?id=S31023689" TargetMode="External"/><Relationship Id="rId604" Type="http://schemas.openxmlformats.org/officeDocument/2006/relationships/hyperlink" Target="http://www.riss.kr/link?id=S20890" TargetMode="External"/><Relationship Id="rId811" Type="http://schemas.openxmlformats.org/officeDocument/2006/relationships/hyperlink" Target="http://www.riss.kr/link?id=S417041" TargetMode="External"/><Relationship Id="rId243" Type="http://schemas.openxmlformats.org/officeDocument/2006/relationships/hyperlink" Target="http://www.riss.kr/link?id=S20867" TargetMode="External"/><Relationship Id="rId450" Type="http://schemas.openxmlformats.org/officeDocument/2006/relationships/hyperlink" Target="http://www.riss.kr/link?id=S416806" TargetMode="External"/><Relationship Id="rId688" Type="http://schemas.openxmlformats.org/officeDocument/2006/relationships/hyperlink" Target="http://www.riss.kr/link?id=S20014915" TargetMode="External"/><Relationship Id="rId895" Type="http://schemas.openxmlformats.org/officeDocument/2006/relationships/hyperlink" Target="http://www.riss.kr/link?id=S44714" TargetMode="External"/><Relationship Id="rId909" Type="http://schemas.openxmlformats.org/officeDocument/2006/relationships/hyperlink" Target="http://www.riss.kr/link?id=S84178" TargetMode="External"/><Relationship Id="rId38" Type="http://schemas.openxmlformats.org/officeDocument/2006/relationships/hyperlink" Target="http://www.riss.kr/link?id=S70826" TargetMode="External"/><Relationship Id="rId103" Type="http://schemas.openxmlformats.org/officeDocument/2006/relationships/hyperlink" Target="http://www.riss.kr/link?id=S400716" TargetMode="External"/><Relationship Id="rId310" Type="http://schemas.openxmlformats.org/officeDocument/2006/relationships/hyperlink" Target="http://www.riss.kr/link?id=S31025232" TargetMode="External"/><Relationship Id="rId548" Type="http://schemas.openxmlformats.org/officeDocument/2006/relationships/hyperlink" Target="http://www.riss.kr/link?id=S108179" TargetMode="External"/><Relationship Id="rId755" Type="http://schemas.openxmlformats.org/officeDocument/2006/relationships/hyperlink" Target="http://www.riss.kr/link?id=S28534" TargetMode="External"/><Relationship Id="rId962" Type="http://schemas.openxmlformats.org/officeDocument/2006/relationships/hyperlink" Target="http://www.riss.kr/link?id=S104181" TargetMode="External"/><Relationship Id="rId91" Type="http://schemas.openxmlformats.org/officeDocument/2006/relationships/hyperlink" Target="http://www.riss.kr/link?id=S85045" TargetMode="External"/><Relationship Id="rId187" Type="http://schemas.openxmlformats.org/officeDocument/2006/relationships/hyperlink" Target="http://www.riss.kr/link?id=S60526" TargetMode="External"/><Relationship Id="rId394" Type="http://schemas.openxmlformats.org/officeDocument/2006/relationships/hyperlink" Target="http://www.riss.kr/link?id=S13555" TargetMode="External"/><Relationship Id="rId408" Type="http://schemas.openxmlformats.org/officeDocument/2006/relationships/hyperlink" Target="http://www.riss.kr/link?id=S14024" TargetMode="External"/><Relationship Id="rId615" Type="http://schemas.openxmlformats.org/officeDocument/2006/relationships/hyperlink" Target="http://www.riss.kr/link?id=S28961" TargetMode="External"/><Relationship Id="rId822" Type="http://schemas.openxmlformats.org/officeDocument/2006/relationships/hyperlink" Target="http://www.riss.kr/link?id=S20070027" TargetMode="External"/><Relationship Id="rId254" Type="http://schemas.openxmlformats.org/officeDocument/2006/relationships/hyperlink" Target="http://www.riss.kr/link?id=S408115" TargetMode="External"/><Relationship Id="rId699" Type="http://schemas.openxmlformats.org/officeDocument/2006/relationships/hyperlink" Target="http://www.riss.kr/link?id=S20085548" TargetMode="External"/><Relationship Id="rId49" Type="http://schemas.openxmlformats.org/officeDocument/2006/relationships/hyperlink" Target="http://www.riss.kr/link?id=S29089" TargetMode="External"/><Relationship Id="rId114" Type="http://schemas.openxmlformats.org/officeDocument/2006/relationships/hyperlink" Target="http://www.riss.kr/link?id=S417317" TargetMode="External"/><Relationship Id="rId461" Type="http://schemas.openxmlformats.org/officeDocument/2006/relationships/hyperlink" Target="http://www.riss.kr/link?id=S21696" TargetMode="External"/><Relationship Id="rId559" Type="http://schemas.openxmlformats.org/officeDocument/2006/relationships/hyperlink" Target="http://www.riss.kr/link?id=S403685" TargetMode="External"/><Relationship Id="rId766" Type="http://schemas.openxmlformats.org/officeDocument/2006/relationships/hyperlink" Target="http://www.riss.kr/link?id=S12927" TargetMode="External"/><Relationship Id="rId198" Type="http://schemas.openxmlformats.org/officeDocument/2006/relationships/hyperlink" Target="http://www.riss.kr/link?id=S31011779" TargetMode="External"/><Relationship Id="rId321" Type="http://schemas.openxmlformats.org/officeDocument/2006/relationships/hyperlink" Target="http://www.riss.kr/link?id=S31031409" TargetMode="External"/><Relationship Id="rId419" Type="http://schemas.openxmlformats.org/officeDocument/2006/relationships/hyperlink" Target="http://www.riss.kr/link?id=S405844" TargetMode="External"/><Relationship Id="rId626" Type="http://schemas.openxmlformats.org/officeDocument/2006/relationships/hyperlink" Target="http://www.riss.kr/link?id=S416464" TargetMode="External"/><Relationship Id="rId973" Type="http://schemas.openxmlformats.org/officeDocument/2006/relationships/hyperlink" Target="http://www.riss.kr/link?id=S58112" TargetMode="External"/><Relationship Id="rId833" Type="http://schemas.openxmlformats.org/officeDocument/2006/relationships/hyperlink" Target="http://www.riss.kr/link?id=S45128" TargetMode="External"/><Relationship Id="rId265" Type="http://schemas.openxmlformats.org/officeDocument/2006/relationships/hyperlink" Target="http://www.riss.kr/link?id=S42441" TargetMode="External"/><Relationship Id="rId472" Type="http://schemas.openxmlformats.org/officeDocument/2006/relationships/hyperlink" Target="http://www.riss.kr/link?id=S68611" TargetMode="External"/><Relationship Id="rId900" Type="http://schemas.openxmlformats.org/officeDocument/2006/relationships/hyperlink" Target="http://www.riss.kr/link?id=S63727" TargetMode="External"/><Relationship Id="rId125" Type="http://schemas.openxmlformats.org/officeDocument/2006/relationships/hyperlink" Target="http://www.riss.kr/link?id=S17146" TargetMode="External"/><Relationship Id="rId332" Type="http://schemas.openxmlformats.org/officeDocument/2006/relationships/hyperlink" Target="http://www.riss.kr/link?id=S16404" TargetMode="External"/><Relationship Id="rId777" Type="http://schemas.openxmlformats.org/officeDocument/2006/relationships/hyperlink" Target="http://www.riss.kr/link?id=S15504" TargetMode="External"/><Relationship Id="rId637" Type="http://schemas.openxmlformats.org/officeDocument/2006/relationships/hyperlink" Target="http://www.riss.kr/link?id=S31023273" TargetMode="External"/><Relationship Id="rId844" Type="http://schemas.openxmlformats.org/officeDocument/2006/relationships/hyperlink" Target="http://www.riss.kr/link?id=S19616" TargetMode="External"/><Relationship Id="rId276" Type="http://schemas.openxmlformats.org/officeDocument/2006/relationships/hyperlink" Target="http://www.riss.kr/link?id=S104848" TargetMode="External"/><Relationship Id="rId483" Type="http://schemas.openxmlformats.org/officeDocument/2006/relationships/hyperlink" Target="http://www.riss.kr/link?id=S105345" TargetMode="External"/><Relationship Id="rId690" Type="http://schemas.openxmlformats.org/officeDocument/2006/relationships/hyperlink" Target="http://www.riss.kr/link?id=S31002302" TargetMode="External"/><Relationship Id="rId704" Type="http://schemas.openxmlformats.org/officeDocument/2006/relationships/hyperlink" Target="http://www.riss.kr/link?id=S16489" TargetMode="External"/><Relationship Id="rId911" Type="http://schemas.openxmlformats.org/officeDocument/2006/relationships/hyperlink" Target="http://www.riss.kr/link?id=S43699" TargetMode="External"/><Relationship Id="rId40" Type="http://schemas.openxmlformats.org/officeDocument/2006/relationships/hyperlink" Target="http://www.riss.kr/link?id=S16798" TargetMode="External"/><Relationship Id="rId136" Type="http://schemas.openxmlformats.org/officeDocument/2006/relationships/hyperlink" Target="http://www.riss.kr/link?id=S414978" TargetMode="External"/><Relationship Id="rId343" Type="http://schemas.openxmlformats.org/officeDocument/2006/relationships/hyperlink" Target="http://www.riss.kr/link?id=S115994" TargetMode="External"/><Relationship Id="rId550" Type="http://schemas.openxmlformats.org/officeDocument/2006/relationships/hyperlink" Target="http://www.riss.kr/link?id=S402182" TargetMode="External"/><Relationship Id="rId788" Type="http://schemas.openxmlformats.org/officeDocument/2006/relationships/hyperlink" Target="http://www.riss.kr/link?id=S63539" TargetMode="External"/><Relationship Id="rId203" Type="http://schemas.openxmlformats.org/officeDocument/2006/relationships/hyperlink" Target="http://www.riss.kr/link?id=S16206" TargetMode="External"/><Relationship Id="rId648" Type="http://schemas.openxmlformats.org/officeDocument/2006/relationships/hyperlink" Target="http://www.riss.kr/link?id=S6601" TargetMode="External"/><Relationship Id="rId855" Type="http://schemas.openxmlformats.org/officeDocument/2006/relationships/hyperlink" Target="http://www.riss.kr/link?id=S19595" TargetMode="External"/><Relationship Id="rId287" Type="http://schemas.openxmlformats.org/officeDocument/2006/relationships/hyperlink" Target="http://www.riss.kr/link?id=S90001056" TargetMode="External"/><Relationship Id="rId410" Type="http://schemas.openxmlformats.org/officeDocument/2006/relationships/hyperlink" Target="http://www.riss.kr/link?id=S405207" TargetMode="External"/><Relationship Id="rId494" Type="http://schemas.openxmlformats.org/officeDocument/2006/relationships/hyperlink" Target="http://www.riss.kr/link?id=S413153" TargetMode="External"/><Relationship Id="rId508" Type="http://schemas.openxmlformats.org/officeDocument/2006/relationships/hyperlink" Target="http://www.riss.kr/link?id=S402867" TargetMode="External"/><Relationship Id="rId715" Type="http://schemas.openxmlformats.org/officeDocument/2006/relationships/hyperlink" Target="http://www.riss.kr/link?id=S11603111" TargetMode="External"/><Relationship Id="rId922" Type="http://schemas.openxmlformats.org/officeDocument/2006/relationships/hyperlink" Target="http://www.riss.kr/link?id=S49444" TargetMode="External"/><Relationship Id="rId147" Type="http://schemas.openxmlformats.org/officeDocument/2006/relationships/hyperlink" Target="http://www.riss.kr/link?id=S17324" TargetMode="External"/><Relationship Id="rId354" Type="http://schemas.openxmlformats.org/officeDocument/2006/relationships/hyperlink" Target="http://www.riss.kr/link?id=S16079" TargetMode="External"/><Relationship Id="rId799" Type="http://schemas.openxmlformats.org/officeDocument/2006/relationships/hyperlink" Target="http://www.riss.kr/link?id=S48936" TargetMode="External"/><Relationship Id="rId51" Type="http://schemas.openxmlformats.org/officeDocument/2006/relationships/hyperlink" Target="http://www.riss.kr/link?id=S17392" TargetMode="External"/><Relationship Id="rId561" Type="http://schemas.openxmlformats.org/officeDocument/2006/relationships/hyperlink" Target="http://www.riss.kr/link?id=S15711" TargetMode="External"/><Relationship Id="rId659" Type="http://schemas.openxmlformats.org/officeDocument/2006/relationships/hyperlink" Target="http://www.riss.kr/link?id=S13240" TargetMode="External"/><Relationship Id="rId866" Type="http://schemas.openxmlformats.org/officeDocument/2006/relationships/hyperlink" Target="http://www.riss.kr/link?id=S35299" TargetMode="External"/><Relationship Id="rId214" Type="http://schemas.openxmlformats.org/officeDocument/2006/relationships/hyperlink" Target="http://www.riss.kr/link?id=S20010150" TargetMode="External"/><Relationship Id="rId298" Type="http://schemas.openxmlformats.org/officeDocument/2006/relationships/hyperlink" Target="http://www.riss.kr/link?id=S20011127" TargetMode="External"/><Relationship Id="rId421" Type="http://schemas.openxmlformats.org/officeDocument/2006/relationships/hyperlink" Target="http://www.riss.kr/link?id=S403109" TargetMode="External"/><Relationship Id="rId519" Type="http://schemas.openxmlformats.org/officeDocument/2006/relationships/hyperlink" Target="http://www.riss.kr/link?id=S409757" TargetMode="External"/><Relationship Id="rId158" Type="http://schemas.openxmlformats.org/officeDocument/2006/relationships/hyperlink" Target="http://www.riss.kr/link?id=S30341" TargetMode="External"/><Relationship Id="rId726" Type="http://schemas.openxmlformats.org/officeDocument/2006/relationships/hyperlink" Target="http://www.riss.kr/link?id=S20011409" TargetMode="External"/><Relationship Id="rId933" Type="http://schemas.openxmlformats.org/officeDocument/2006/relationships/hyperlink" Target="http://www.riss.kr/link?id=S21980" TargetMode="External"/><Relationship Id="rId62" Type="http://schemas.openxmlformats.org/officeDocument/2006/relationships/hyperlink" Target="http://www.riss.kr/link?id=S14685" TargetMode="External"/><Relationship Id="rId365" Type="http://schemas.openxmlformats.org/officeDocument/2006/relationships/hyperlink" Target="http://www.riss.kr/link?id=S12588" TargetMode="External"/><Relationship Id="rId572" Type="http://schemas.openxmlformats.org/officeDocument/2006/relationships/hyperlink" Target="http://www.riss.kr/link?id=S29121" TargetMode="External"/><Relationship Id="rId225" Type="http://schemas.openxmlformats.org/officeDocument/2006/relationships/hyperlink" Target="http://www.riss.kr/link?id=S85559" TargetMode="External"/><Relationship Id="rId432" Type="http://schemas.openxmlformats.org/officeDocument/2006/relationships/hyperlink" Target="http://www.riss.kr/link?id=S16059" TargetMode="External"/><Relationship Id="rId877" Type="http://schemas.openxmlformats.org/officeDocument/2006/relationships/hyperlink" Target="http://www.riss.kr/link?id=S69646" TargetMode="External"/><Relationship Id="rId737" Type="http://schemas.openxmlformats.org/officeDocument/2006/relationships/hyperlink" Target="http://www.riss.kr/link?id=S12014" TargetMode="External"/><Relationship Id="rId944" Type="http://schemas.openxmlformats.org/officeDocument/2006/relationships/hyperlink" Target="http://www.riss.kr/link?id=S63537" TargetMode="External"/><Relationship Id="rId73" Type="http://schemas.openxmlformats.org/officeDocument/2006/relationships/hyperlink" Target="http://www.riss.kr/link?id=S20636" TargetMode="External"/><Relationship Id="rId169" Type="http://schemas.openxmlformats.org/officeDocument/2006/relationships/hyperlink" Target="http://www.riss.kr/link?id=S17074" TargetMode="External"/><Relationship Id="rId376" Type="http://schemas.openxmlformats.org/officeDocument/2006/relationships/hyperlink" Target="http://www.riss.kr/link?id=S31002943" TargetMode="External"/><Relationship Id="rId583" Type="http://schemas.openxmlformats.org/officeDocument/2006/relationships/hyperlink" Target="http://www.riss.kr/link?id=S90009235" TargetMode="External"/><Relationship Id="rId790" Type="http://schemas.openxmlformats.org/officeDocument/2006/relationships/hyperlink" Target="http://www.riss.kr/link?id=S85490" TargetMode="External"/><Relationship Id="rId804" Type="http://schemas.openxmlformats.org/officeDocument/2006/relationships/hyperlink" Target="http://www.riss.kr/link?id=S77936" TargetMode="External"/><Relationship Id="rId4" Type="http://schemas.openxmlformats.org/officeDocument/2006/relationships/hyperlink" Target="http://www.riss.kr/link?id=S409990" TargetMode="External"/><Relationship Id="rId236" Type="http://schemas.openxmlformats.org/officeDocument/2006/relationships/hyperlink" Target="http://www.riss.kr/link?id=S17531" TargetMode="External"/><Relationship Id="rId443" Type="http://schemas.openxmlformats.org/officeDocument/2006/relationships/hyperlink" Target="http://www.riss.kr/link?id=S12831" TargetMode="External"/><Relationship Id="rId650" Type="http://schemas.openxmlformats.org/officeDocument/2006/relationships/hyperlink" Target="http://www.riss.kr/link?id=S20012183" TargetMode="External"/><Relationship Id="rId888" Type="http://schemas.openxmlformats.org/officeDocument/2006/relationships/hyperlink" Target="http://www.riss.kr/link?id=S19808" TargetMode="External"/><Relationship Id="rId303" Type="http://schemas.openxmlformats.org/officeDocument/2006/relationships/hyperlink" Target="http://www.riss.kr/link?id=S17518" TargetMode="External"/><Relationship Id="rId748" Type="http://schemas.openxmlformats.org/officeDocument/2006/relationships/hyperlink" Target="http://www.riss.kr/link?id=S31024691" TargetMode="External"/><Relationship Id="rId955" Type="http://schemas.openxmlformats.org/officeDocument/2006/relationships/hyperlink" Target="http://www.riss.kr/link?id=S104262" TargetMode="External"/><Relationship Id="rId84" Type="http://schemas.openxmlformats.org/officeDocument/2006/relationships/hyperlink" Target="http://www.riss.kr/link?id=S16085" TargetMode="External"/><Relationship Id="rId387" Type="http://schemas.openxmlformats.org/officeDocument/2006/relationships/hyperlink" Target="http://www.riss.kr/link?id=S90023891" TargetMode="External"/><Relationship Id="rId510" Type="http://schemas.openxmlformats.org/officeDocument/2006/relationships/hyperlink" Target="http://www.riss.kr/link?id=S17467" TargetMode="External"/><Relationship Id="rId594" Type="http://schemas.openxmlformats.org/officeDocument/2006/relationships/hyperlink" Target="http://www.riss.kr/link?id=S31000856" TargetMode="External"/><Relationship Id="rId608" Type="http://schemas.openxmlformats.org/officeDocument/2006/relationships/hyperlink" Target="http://www.riss.kr/link?id=S13543" TargetMode="External"/><Relationship Id="rId815" Type="http://schemas.openxmlformats.org/officeDocument/2006/relationships/hyperlink" Target="http://www.riss.kr/link?id=S20091842" TargetMode="External"/><Relationship Id="rId247" Type="http://schemas.openxmlformats.org/officeDocument/2006/relationships/hyperlink" Target="http://www.riss.kr/link?id=S17530" TargetMode="External"/><Relationship Id="rId899" Type="http://schemas.openxmlformats.org/officeDocument/2006/relationships/hyperlink" Target="http://www.riss.kr/link?id=S80026" TargetMode="External"/><Relationship Id="rId107" Type="http://schemas.openxmlformats.org/officeDocument/2006/relationships/hyperlink" Target="http://www.riss.kr/link?id=S17152" TargetMode="External"/><Relationship Id="rId454" Type="http://schemas.openxmlformats.org/officeDocument/2006/relationships/hyperlink" Target="http://www.riss.kr/link?id=S412198" TargetMode="External"/><Relationship Id="rId661" Type="http://schemas.openxmlformats.org/officeDocument/2006/relationships/hyperlink" Target="http://www.riss.kr/link?id=S31019601" TargetMode="External"/><Relationship Id="rId759" Type="http://schemas.openxmlformats.org/officeDocument/2006/relationships/hyperlink" Target="http://www.riss.kr/link?id=S6141" TargetMode="External"/><Relationship Id="rId966" Type="http://schemas.openxmlformats.org/officeDocument/2006/relationships/hyperlink" Target="http://www.riss.kr/link?id=S61039" TargetMode="External"/><Relationship Id="rId11" Type="http://schemas.openxmlformats.org/officeDocument/2006/relationships/hyperlink" Target="http://www.riss.kr/link?id=S17591" TargetMode="External"/><Relationship Id="rId314" Type="http://schemas.openxmlformats.org/officeDocument/2006/relationships/hyperlink" Target="http://www.riss.kr/link?id=S416814" TargetMode="External"/><Relationship Id="rId398" Type="http://schemas.openxmlformats.org/officeDocument/2006/relationships/hyperlink" Target="http://www.riss.kr/link?id=S90008450" TargetMode="External"/><Relationship Id="rId521" Type="http://schemas.openxmlformats.org/officeDocument/2006/relationships/hyperlink" Target="http://www.riss.kr/link?id=S15532" TargetMode="External"/><Relationship Id="rId619" Type="http://schemas.openxmlformats.org/officeDocument/2006/relationships/hyperlink" Target="http://www.riss.kr/link?id=S20010759" TargetMode="External"/><Relationship Id="rId95" Type="http://schemas.openxmlformats.org/officeDocument/2006/relationships/hyperlink" Target="http://www.riss.kr/link?id=S5355" TargetMode="External"/><Relationship Id="rId160" Type="http://schemas.openxmlformats.org/officeDocument/2006/relationships/hyperlink" Target="http://www.riss.kr/link?id=S402314" TargetMode="External"/><Relationship Id="rId826" Type="http://schemas.openxmlformats.org/officeDocument/2006/relationships/hyperlink" Target="http://www.riss.kr/link?id=S40515" TargetMode="External"/><Relationship Id="rId258" Type="http://schemas.openxmlformats.org/officeDocument/2006/relationships/hyperlink" Target="http://www.riss.kr/link?id=S143934" TargetMode="External"/><Relationship Id="rId465" Type="http://schemas.openxmlformats.org/officeDocument/2006/relationships/hyperlink" Target="http://www.riss.kr/link?id=S21159" TargetMode="External"/><Relationship Id="rId672" Type="http://schemas.openxmlformats.org/officeDocument/2006/relationships/hyperlink" Target="http://www.riss.kr/link?id=S417077" TargetMode="External"/><Relationship Id="rId22" Type="http://schemas.openxmlformats.org/officeDocument/2006/relationships/hyperlink" Target="http://www.riss.kr/link?id=S21699" TargetMode="External"/><Relationship Id="rId118" Type="http://schemas.openxmlformats.org/officeDocument/2006/relationships/hyperlink" Target="http://www.riss.kr/link?id=S115375" TargetMode="External"/><Relationship Id="rId325" Type="http://schemas.openxmlformats.org/officeDocument/2006/relationships/hyperlink" Target="http://www.riss.kr/link?id=S16083" TargetMode="External"/><Relationship Id="rId532" Type="http://schemas.openxmlformats.org/officeDocument/2006/relationships/hyperlink" Target="http://www.riss.kr/link?id=S15527" TargetMode="External"/><Relationship Id="rId977" Type="http://schemas.openxmlformats.org/officeDocument/2006/relationships/hyperlink" Target="http://www.riss.kr/link?id=S20109" TargetMode="External"/><Relationship Id="rId171" Type="http://schemas.openxmlformats.org/officeDocument/2006/relationships/hyperlink" Target="http://www.riss.kr/link?id=S80384" TargetMode="External"/><Relationship Id="rId837" Type="http://schemas.openxmlformats.org/officeDocument/2006/relationships/hyperlink" Target="http://www.riss.kr/link?id=S21878" TargetMode="External"/><Relationship Id="rId269" Type="http://schemas.openxmlformats.org/officeDocument/2006/relationships/hyperlink" Target="http://www.riss.kr/link?id=S402120" TargetMode="External"/><Relationship Id="rId476" Type="http://schemas.openxmlformats.org/officeDocument/2006/relationships/hyperlink" Target="http://www.riss.kr/link?id=S411696" TargetMode="External"/><Relationship Id="rId683" Type="http://schemas.openxmlformats.org/officeDocument/2006/relationships/hyperlink" Target="http://www.riss.kr/link?id=S28428" TargetMode="External"/><Relationship Id="rId890" Type="http://schemas.openxmlformats.org/officeDocument/2006/relationships/hyperlink" Target="http://www.riss.kr/link?id=S416880" TargetMode="External"/><Relationship Id="rId904" Type="http://schemas.openxmlformats.org/officeDocument/2006/relationships/hyperlink" Target="http://www.riss.kr/link?id=S35658" TargetMode="External"/><Relationship Id="rId33" Type="http://schemas.openxmlformats.org/officeDocument/2006/relationships/hyperlink" Target="http://www.riss.kr/link?id=S31000236" TargetMode="External"/><Relationship Id="rId129" Type="http://schemas.openxmlformats.org/officeDocument/2006/relationships/hyperlink" Target="http://www.riss.kr/link?id=S400897" TargetMode="External"/><Relationship Id="rId336" Type="http://schemas.openxmlformats.org/officeDocument/2006/relationships/hyperlink" Target="http://www.riss.kr/link?id=S408353" TargetMode="External"/><Relationship Id="rId543" Type="http://schemas.openxmlformats.org/officeDocument/2006/relationships/hyperlink" Target="http://www.riss.kr/link?id=S6626" TargetMode="External"/><Relationship Id="rId182" Type="http://schemas.openxmlformats.org/officeDocument/2006/relationships/hyperlink" Target="http://www.riss.kr/link?id=S143666" TargetMode="External"/><Relationship Id="rId403" Type="http://schemas.openxmlformats.org/officeDocument/2006/relationships/hyperlink" Target="http://www.riss.kr/link?id=S20085525" TargetMode="External"/><Relationship Id="rId750" Type="http://schemas.openxmlformats.org/officeDocument/2006/relationships/hyperlink" Target="http://www.riss.kr/link?id=S15438" TargetMode="External"/><Relationship Id="rId848" Type="http://schemas.openxmlformats.org/officeDocument/2006/relationships/hyperlink" Target="http://www.riss.kr/link?id=S416847" TargetMode="External"/><Relationship Id="rId487" Type="http://schemas.openxmlformats.org/officeDocument/2006/relationships/hyperlink" Target="http://www.riss.kr/link?id=S20011296" TargetMode="External"/><Relationship Id="rId610" Type="http://schemas.openxmlformats.org/officeDocument/2006/relationships/hyperlink" Target="http://www.riss.kr/link?id=S11634165" TargetMode="External"/><Relationship Id="rId694" Type="http://schemas.openxmlformats.org/officeDocument/2006/relationships/hyperlink" Target="http://www.riss.kr/link?id=S412793" TargetMode="External"/><Relationship Id="rId708" Type="http://schemas.openxmlformats.org/officeDocument/2006/relationships/hyperlink" Target="http://www.riss.kr/link?id=S16322" TargetMode="External"/><Relationship Id="rId915" Type="http://schemas.openxmlformats.org/officeDocument/2006/relationships/hyperlink" Target="http://www.riss.kr/link?id=S13948" TargetMode="External"/><Relationship Id="rId347" Type="http://schemas.openxmlformats.org/officeDocument/2006/relationships/hyperlink" Target="http://www.riss.kr/link?id=S15476" TargetMode="External"/><Relationship Id="rId44" Type="http://schemas.openxmlformats.org/officeDocument/2006/relationships/hyperlink" Target="http://www.riss.kr/link?id=S23698" TargetMode="External"/><Relationship Id="rId554" Type="http://schemas.openxmlformats.org/officeDocument/2006/relationships/hyperlink" Target="http://www.riss.kr/link?id=S20950" TargetMode="External"/><Relationship Id="rId761" Type="http://schemas.openxmlformats.org/officeDocument/2006/relationships/hyperlink" Target="http://www.riss.kr/link?id=S17778" TargetMode="External"/><Relationship Id="rId859" Type="http://schemas.openxmlformats.org/officeDocument/2006/relationships/hyperlink" Target="http://www.riss.kr/link?id=S93106" TargetMode="External"/><Relationship Id="rId193" Type="http://schemas.openxmlformats.org/officeDocument/2006/relationships/hyperlink" Target="http://www.riss.kr/link?id=S90002399" TargetMode="External"/><Relationship Id="rId207" Type="http://schemas.openxmlformats.org/officeDocument/2006/relationships/hyperlink" Target="http://www.riss.kr/link?id=S418434" TargetMode="External"/><Relationship Id="rId414" Type="http://schemas.openxmlformats.org/officeDocument/2006/relationships/hyperlink" Target="http://www.riss.kr/link?id=S405766" TargetMode="External"/><Relationship Id="rId498" Type="http://schemas.openxmlformats.org/officeDocument/2006/relationships/hyperlink" Target="http://www.riss.kr/link?id=S407616" TargetMode="External"/><Relationship Id="rId621" Type="http://schemas.openxmlformats.org/officeDocument/2006/relationships/hyperlink" Target="http://www.riss.kr/link?id=S15411" TargetMode="External"/><Relationship Id="rId260" Type="http://schemas.openxmlformats.org/officeDocument/2006/relationships/hyperlink" Target="http://www.riss.kr/link?id=S402827" TargetMode="External"/><Relationship Id="rId719" Type="http://schemas.openxmlformats.org/officeDocument/2006/relationships/hyperlink" Target="http://www.riss.kr/link?id=S17558" TargetMode="External"/><Relationship Id="rId926" Type="http://schemas.openxmlformats.org/officeDocument/2006/relationships/hyperlink" Target="http://www.riss.kr/link?id=S31425" TargetMode="External"/><Relationship Id="rId55" Type="http://schemas.openxmlformats.org/officeDocument/2006/relationships/hyperlink" Target="http://www.riss.kr/link?id=S116057" TargetMode="External"/><Relationship Id="rId120" Type="http://schemas.openxmlformats.org/officeDocument/2006/relationships/hyperlink" Target="http://www.riss.kr/link?id=S414399" TargetMode="External"/><Relationship Id="rId358" Type="http://schemas.openxmlformats.org/officeDocument/2006/relationships/hyperlink" Target="http://www.riss.kr/link?id=S16074" TargetMode="External"/><Relationship Id="rId565" Type="http://schemas.openxmlformats.org/officeDocument/2006/relationships/hyperlink" Target="http://www.riss.kr/link?id=S15472" TargetMode="External"/><Relationship Id="rId772" Type="http://schemas.openxmlformats.org/officeDocument/2006/relationships/hyperlink" Target="http://www.riss.kr/link?id=S20527" TargetMode="External"/><Relationship Id="rId218" Type="http://schemas.openxmlformats.org/officeDocument/2006/relationships/hyperlink" Target="http://www.riss.kr/link?id=S16699" TargetMode="External"/><Relationship Id="rId425" Type="http://schemas.openxmlformats.org/officeDocument/2006/relationships/hyperlink" Target="http://www.riss.kr/link?id=S16060" TargetMode="External"/><Relationship Id="rId632" Type="http://schemas.openxmlformats.org/officeDocument/2006/relationships/hyperlink" Target="http://www.riss.kr/link?id=S417085" TargetMode="External"/><Relationship Id="rId271" Type="http://schemas.openxmlformats.org/officeDocument/2006/relationships/hyperlink" Target="http://www.riss.kr/link?id=S21836" TargetMode="External"/><Relationship Id="rId937" Type="http://schemas.openxmlformats.org/officeDocument/2006/relationships/hyperlink" Target="http://www.riss.kr/link?id=S105323" TargetMode="External"/><Relationship Id="rId66" Type="http://schemas.openxmlformats.org/officeDocument/2006/relationships/hyperlink" Target="http://www.riss.kr/link?id=S417245" TargetMode="External"/><Relationship Id="rId131" Type="http://schemas.openxmlformats.org/officeDocument/2006/relationships/hyperlink" Target="http://www.riss.kr/link?id=S57569" TargetMode="External"/><Relationship Id="rId369" Type="http://schemas.openxmlformats.org/officeDocument/2006/relationships/hyperlink" Target="http://www.riss.kr/link?id=S16068" TargetMode="External"/><Relationship Id="rId576" Type="http://schemas.openxmlformats.org/officeDocument/2006/relationships/hyperlink" Target="http://www.riss.kr/link?id=S15063" TargetMode="External"/><Relationship Id="rId783" Type="http://schemas.openxmlformats.org/officeDocument/2006/relationships/hyperlink" Target="http://www.riss.kr/link?id=S11606249" TargetMode="External"/><Relationship Id="rId229" Type="http://schemas.openxmlformats.org/officeDocument/2006/relationships/hyperlink" Target="http://www.riss.kr/link?id=S15628" TargetMode="External"/><Relationship Id="rId436" Type="http://schemas.openxmlformats.org/officeDocument/2006/relationships/hyperlink" Target="http://www.riss.kr/link?id=S16057" TargetMode="External"/><Relationship Id="rId643" Type="http://schemas.openxmlformats.org/officeDocument/2006/relationships/hyperlink" Target="http://www.riss.kr/link?id=S415386" TargetMode="External"/><Relationship Id="rId850" Type="http://schemas.openxmlformats.org/officeDocument/2006/relationships/hyperlink" Target="http://www.riss.kr/link?id=S87915" TargetMode="External"/><Relationship Id="rId948" Type="http://schemas.openxmlformats.org/officeDocument/2006/relationships/hyperlink" Target="http://www.riss.kr/link?id=S413798" TargetMode="External"/><Relationship Id="rId77" Type="http://schemas.openxmlformats.org/officeDocument/2006/relationships/hyperlink" Target="http://www.riss.kr/link?id=S411913" TargetMode="External"/><Relationship Id="rId282" Type="http://schemas.openxmlformats.org/officeDocument/2006/relationships/hyperlink" Target="http://www.riss.kr/link?id=S30000638" TargetMode="External"/><Relationship Id="rId503" Type="http://schemas.openxmlformats.org/officeDocument/2006/relationships/hyperlink" Target="http://www.riss.kr/link?id=S409124" TargetMode="External"/><Relationship Id="rId587" Type="http://schemas.openxmlformats.org/officeDocument/2006/relationships/hyperlink" Target="http://www.riss.kr/link?id=S11574226" TargetMode="External"/><Relationship Id="rId710" Type="http://schemas.openxmlformats.org/officeDocument/2006/relationships/hyperlink" Target="http://www.riss.kr/link?id=S11643712" TargetMode="External"/><Relationship Id="rId808" Type="http://schemas.openxmlformats.org/officeDocument/2006/relationships/hyperlink" Target="http://www.riss.kr/link?id=S417018" TargetMode="External"/><Relationship Id="rId8" Type="http://schemas.openxmlformats.org/officeDocument/2006/relationships/hyperlink" Target="http://www.riss.kr/link?id=S5452" TargetMode="External"/><Relationship Id="rId142" Type="http://schemas.openxmlformats.org/officeDocument/2006/relationships/hyperlink" Target="http://www.riss.kr/link?id=S60967" TargetMode="External"/><Relationship Id="rId447" Type="http://schemas.openxmlformats.org/officeDocument/2006/relationships/hyperlink" Target="http://www.riss.kr/link?id=S16902" TargetMode="External"/><Relationship Id="rId794" Type="http://schemas.openxmlformats.org/officeDocument/2006/relationships/hyperlink" Target="http://www.riss.kr/link?id=S48390" TargetMode="External"/><Relationship Id="rId654" Type="http://schemas.openxmlformats.org/officeDocument/2006/relationships/hyperlink" Target="http://www.riss.kr/link?id=S16848" TargetMode="External"/><Relationship Id="rId861" Type="http://schemas.openxmlformats.org/officeDocument/2006/relationships/hyperlink" Target="http://www.riss.kr/link?id=S31001099" TargetMode="External"/><Relationship Id="rId959" Type="http://schemas.openxmlformats.org/officeDocument/2006/relationships/hyperlink" Target="http://www.riss.kr/link?id=S79477" TargetMode="External"/><Relationship Id="rId293" Type="http://schemas.openxmlformats.org/officeDocument/2006/relationships/hyperlink" Target="http://www.riss.kr/link?id=S103860" TargetMode="External"/><Relationship Id="rId307" Type="http://schemas.openxmlformats.org/officeDocument/2006/relationships/hyperlink" Target="http://www.riss.kr/link?id=S60899" TargetMode="External"/><Relationship Id="rId514" Type="http://schemas.openxmlformats.org/officeDocument/2006/relationships/hyperlink" Target="http://www.riss.kr/link?id=S31000230" TargetMode="External"/><Relationship Id="rId721" Type="http://schemas.openxmlformats.org/officeDocument/2006/relationships/hyperlink" Target="http://www.riss.kr/link?id=S115630" TargetMode="External"/><Relationship Id="rId88" Type="http://schemas.openxmlformats.org/officeDocument/2006/relationships/hyperlink" Target="http://www.riss.kr/link?id=S407073" TargetMode="External"/><Relationship Id="rId153" Type="http://schemas.openxmlformats.org/officeDocument/2006/relationships/hyperlink" Target="http://www.riss.kr/link?id=S90024680" TargetMode="External"/><Relationship Id="rId360" Type="http://schemas.openxmlformats.org/officeDocument/2006/relationships/hyperlink" Target="http://www.riss.kr/link?id=S402394" TargetMode="External"/><Relationship Id="rId598" Type="http://schemas.openxmlformats.org/officeDocument/2006/relationships/hyperlink" Target="http://www.riss.kr/link?id=S35207" TargetMode="External"/><Relationship Id="rId819" Type="http://schemas.openxmlformats.org/officeDocument/2006/relationships/hyperlink" Target="http://www.riss.kr/link?id=S27654" TargetMode="External"/><Relationship Id="rId220" Type="http://schemas.openxmlformats.org/officeDocument/2006/relationships/hyperlink" Target="http://www.riss.kr/link?id=S31700" TargetMode="External"/><Relationship Id="rId458" Type="http://schemas.openxmlformats.org/officeDocument/2006/relationships/hyperlink" Target="http://www.riss.kr/link?id=S20156" TargetMode="External"/><Relationship Id="rId665" Type="http://schemas.openxmlformats.org/officeDocument/2006/relationships/hyperlink" Target="http://www.riss.kr/link?id=S17420" TargetMode="External"/><Relationship Id="rId872" Type="http://schemas.openxmlformats.org/officeDocument/2006/relationships/hyperlink" Target="http://www.riss.kr/link?id=S11625015" TargetMode="External"/><Relationship Id="rId15" Type="http://schemas.openxmlformats.org/officeDocument/2006/relationships/hyperlink" Target="http://www.riss.kr/link?id=S11574113" TargetMode="External"/><Relationship Id="rId318" Type="http://schemas.openxmlformats.org/officeDocument/2006/relationships/hyperlink" Target="http://www.riss.kr/link?id=S402589" TargetMode="External"/><Relationship Id="rId525" Type="http://schemas.openxmlformats.org/officeDocument/2006/relationships/hyperlink" Target="http://www.riss.kr/link?id=S28468" TargetMode="External"/><Relationship Id="rId732" Type="http://schemas.openxmlformats.org/officeDocument/2006/relationships/hyperlink" Target="http://www.riss.kr/link?id=S60841" TargetMode="External"/><Relationship Id="rId99" Type="http://schemas.openxmlformats.org/officeDocument/2006/relationships/hyperlink" Target="http://www.riss.kr/link?id=S16672" TargetMode="External"/><Relationship Id="rId164" Type="http://schemas.openxmlformats.org/officeDocument/2006/relationships/hyperlink" Target="http://www.riss.kr/link?id=S17129" TargetMode="External"/><Relationship Id="rId371" Type="http://schemas.openxmlformats.org/officeDocument/2006/relationships/hyperlink" Target="http://www.riss.kr/link?id=S418720" TargetMode="External"/><Relationship Id="rId469" Type="http://schemas.openxmlformats.org/officeDocument/2006/relationships/hyperlink" Target="http://www.riss.kr/link?id=S28149" TargetMode="External"/><Relationship Id="rId676" Type="http://schemas.openxmlformats.org/officeDocument/2006/relationships/hyperlink" Target="http://www.riss.kr/link?id=S402360" TargetMode="External"/><Relationship Id="rId883" Type="http://schemas.openxmlformats.org/officeDocument/2006/relationships/hyperlink" Target="http://www.riss.kr/link?id=S7127" TargetMode="External"/><Relationship Id="rId26" Type="http://schemas.openxmlformats.org/officeDocument/2006/relationships/hyperlink" Target="http://www.riss.kr/link?id=S404755" TargetMode="External"/><Relationship Id="rId231" Type="http://schemas.openxmlformats.org/officeDocument/2006/relationships/hyperlink" Target="http://www.riss.kr/link?id=S16191" TargetMode="External"/><Relationship Id="rId329" Type="http://schemas.openxmlformats.org/officeDocument/2006/relationships/hyperlink" Target="http://www.riss.kr/link?id=S61261" TargetMode="External"/><Relationship Id="rId536" Type="http://schemas.openxmlformats.org/officeDocument/2006/relationships/hyperlink" Target="http://www.riss.kr/link?id=S31001281" TargetMode="External"/><Relationship Id="rId175" Type="http://schemas.openxmlformats.org/officeDocument/2006/relationships/hyperlink" Target="http://www.riss.kr/link?id=S15418" TargetMode="External"/><Relationship Id="rId743" Type="http://schemas.openxmlformats.org/officeDocument/2006/relationships/hyperlink" Target="http://www.riss.kr/link?id=S15985" TargetMode="External"/><Relationship Id="rId950" Type="http://schemas.openxmlformats.org/officeDocument/2006/relationships/hyperlink" Target="http://www.riss.kr/link?id=S36572" TargetMode="External"/><Relationship Id="rId382" Type="http://schemas.openxmlformats.org/officeDocument/2006/relationships/hyperlink" Target="http://www.riss.kr/link?id=S5542" TargetMode="External"/><Relationship Id="rId603" Type="http://schemas.openxmlformats.org/officeDocument/2006/relationships/hyperlink" Target="http://www.riss.kr/link?id=S20891" TargetMode="External"/><Relationship Id="rId687" Type="http://schemas.openxmlformats.org/officeDocument/2006/relationships/hyperlink" Target="http://www.riss.kr/link?id=S401354" TargetMode="External"/><Relationship Id="rId810" Type="http://schemas.openxmlformats.org/officeDocument/2006/relationships/hyperlink" Target="http://www.riss.kr/link?id=S26171" TargetMode="External"/><Relationship Id="rId908" Type="http://schemas.openxmlformats.org/officeDocument/2006/relationships/hyperlink" Target="http://www.riss.kr/link?id=S48722" TargetMode="External"/><Relationship Id="rId242" Type="http://schemas.openxmlformats.org/officeDocument/2006/relationships/hyperlink" Target="http://www.riss.kr/link?id=S16119" TargetMode="External"/><Relationship Id="rId894" Type="http://schemas.openxmlformats.org/officeDocument/2006/relationships/hyperlink" Target="http://www.riss.kr/link?id=S416788" TargetMode="External"/><Relationship Id="rId37" Type="http://schemas.openxmlformats.org/officeDocument/2006/relationships/hyperlink" Target="http://www.riss.kr/link?id=S15668" TargetMode="External"/><Relationship Id="rId102" Type="http://schemas.openxmlformats.org/officeDocument/2006/relationships/hyperlink" Target="http://www.riss.kr/link?id=S16989" TargetMode="External"/><Relationship Id="rId547" Type="http://schemas.openxmlformats.org/officeDocument/2006/relationships/hyperlink" Target="http://www.riss.kr/link?id=S73295" TargetMode="External"/><Relationship Id="rId754" Type="http://schemas.openxmlformats.org/officeDocument/2006/relationships/hyperlink" Target="http://www.riss.kr/link?id=S31011773" TargetMode="External"/><Relationship Id="rId961" Type="http://schemas.openxmlformats.org/officeDocument/2006/relationships/hyperlink" Target="http://www.riss.kr/link?id=S104180" TargetMode="External"/><Relationship Id="rId90" Type="http://schemas.openxmlformats.org/officeDocument/2006/relationships/hyperlink" Target="http://www.riss.kr/link?id=S29005" TargetMode="External"/><Relationship Id="rId186" Type="http://schemas.openxmlformats.org/officeDocument/2006/relationships/hyperlink" Target="http://www.riss.kr/link?id=S31000325" TargetMode="External"/><Relationship Id="rId393" Type="http://schemas.openxmlformats.org/officeDocument/2006/relationships/hyperlink" Target="http://www.riss.kr/link?id=S16064" TargetMode="External"/><Relationship Id="rId407" Type="http://schemas.openxmlformats.org/officeDocument/2006/relationships/hyperlink" Target="http://www.riss.kr/link?id=S97822" TargetMode="External"/><Relationship Id="rId614" Type="http://schemas.openxmlformats.org/officeDocument/2006/relationships/hyperlink" Target="http://www.riss.kr/link?id=S5548" TargetMode="External"/><Relationship Id="rId821" Type="http://schemas.openxmlformats.org/officeDocument/2006/relationships/hyperlink" Target="http://www.riss.kr/link?id=S19603" TargetMode="External"/><Relationship Id="rId253" Type="http://schemas.openxmlformats.org/officeDocument/2006/relationships/hyperlink" Target="http://www.riss.kr/link?id=S30004950" TargetMode="External"/><Relationship Id="rId460" Type="http://schemas.openxmlformats.org/officeDocument/2006/relationships/hyperlink" Target="http://www.riss.kr/link?id=S11575513" TargetMode="External"/><Relationship Id="rId698" Type="http://schemas.openxmlformats.org/officeDocument/2006/relationships/hyperlink" Target="http://www.riss.kr/link?id=S13274" TargetMode="External"/><Relationship Id="rId919" Type="http://schemas.openxmlformats.org/officeDocument/2006/relationships/hyperlink" Target="http://www.riss.kr/link?id=S38258" TargetMode="External"/><Relationship Id="rId48" Type="http://schemas.openxmlformats.org/officeDocument/2006/relationships/hyperlink" Target="http://www.riss.kr/link?id=S17579" TargetMode="External"/><Relationship Id="rId113" Type="http://schemas.openxmlformats.org/officeDocument/2006/relationships/hyperlink" Target="http://www.riss.kr/link?id=S28294" TargetMode="External"/><Relationship Id="rId320" Type="http://schemas.openxmlformats.org/officeDocument/2006/relationships/hyperlink" Target="http://www.riss.kr/link?id=S21689" TargetMode="External"/><Relationship Id="rId558" Type="http://schemas.openxmlformats.org/officeDocument/2006/relationships/hyperlink" Target="http://www.riss.kr/link?id=S115629" TargetMode="External"/><Relationship Id="rId765" Type="http://schemas.openxmlformats.org/officeDocument/2006/relationships/hyperlink" Target="http://www.riss.kr/link?id=S31028687" TargetMode="External"/><Relationship Id="rId972" Type="http://schemas.openxmlformats.org/officeDocument/2006/relationships/hyperlink" Target="http://www.riss.kr/link?id=S85829" TargetMode="External"/><Relationship Id="rId197" Type="http://schemas.openxmlformats.org/officeDocument/2006/relationships/hyperlink" Target="http://www.riss.kr/link?id=S414391" TargetMode="External"/><Relationship Id="rId418" Type="http://schemas.openxmlformats.org/officeDocument/2006/relationships/hyperlink" Target="http://www.riss.kr/link?id=S13289" TargetMode="External"/><Relationship Id="rId625" Type="http://schemas.openxmlformats.org/officeDocument/2006/relationships/hyperlink" Target="http://www.riss.kr/link?id=S15954" TargetMode="External"/><Relationship Id="rId832" Type="http://schemas.openxmlformats.org/officeDocument/2006/relationships/hyperlink" Target="http://www.riss.kr/link?id=S48404" TargetMode="External"/><Relationship Id="rId264" Type="http://schemas.openxmlformats.org/officeDocument/2006/relationships/hyperlink" Target="http://www.riss.kr/link?id=S402265" TargetMode="External"/><Relationship Id="rId471" Type="http://schemas.openxmlformats.org/officeDocument/2006/relationships/hyperlink" Target="http://www.riss.kr/link?id=S21692" TargetMode="External"/><Relationship Id="rId59" Type="http://schemas.openxmlformats.org/officeDocument/2006/relationships/hyperlink" Target="http://www.riss.kr/link?id=S21302" TargetMode="External"/><Relationship Id="rId124" Type="http://schemas.openxmlformats.org/officeDocument/2006/relationships/hyperlink" Target="http://www.riss.kr/link?id=S16440" TargetMode="External"/><Relationship Id="rId569" Type="http://schemas.openxmlformats.org/officeDocument/2006/relationships/hyperlink" Target="http://www.riss.kr/link?id=S24337" TargetMode="External"/><Relationship Id="rId776" Type="http://schemas.openxmlformats.org/officeDocument/2006/relationships/hyperlink" Target="http://www.riss.kr/link?id=S414819" TargetMode="External"/><Relationship Id="rId331" Type="http://schemas.openxmlformats.org/officeDocument/2006/relationships/hyperlink" Target="http://www.riss.kr/link?id=S414304" TargetMode="External"/><Relationship Id="rId429" Type="http://schemas.openxmlformats.org/officeDocument/2006/relationships/hyperlink" Target="http://www.riss.kr/link?id=S90000827" TargetMode="External"/><Relationship Id="rId636" Type="http://schemas.openxmlformats.org/officeDocument/2006/relationships/hyperlink" Target="http://www.riss.kr/link?id=S107335" TargetMode="External"/><Relationship Id="rId843" Type="http://schemas.openxmlformats.org/officeDocument/2006/relationships/hyperlink" Target="http://www.riss.kr/link?id=S48729" TargetMode="External"/><Relationship Id="rId275" Type="http://schemas.openxmlformats.org/officeDocument/2006/relationships/hyperlink" Target="http://www.riss.kr/link?id=S31000353" TargetMode="External"/><Relationship Id="rId482" Type="http://schemas.openxmlformats.org/officeDocument/2006/relationships/hyperlink" Target="http://www.riss.kr/link?id=S11588287" TargetMode="External"/><Relationship Id="rId703" Type="http://schemas.openxmlformats.org/officeDocument/2006/relationships/hyperlink" Target="http://www.riss.kr/link?id=S80310" TargetMode="External"/><Relationship Id="rId910" Type="http://schemas.openxmlformats.org/officeDocument/2006/relationships/hyperlink" Target="http://www.riss.kr/link?id=S84179" TargetMode="External"/><Relationship Id="rId135" Type="http://schemas.openxmlformats.org/officeDocument/2006/relationships/hyperlink" Target="http://www.riss.kr/link?id=S30004502" TargetMode="External"/><Relationship Id="rId342" Type="http://schemas.openxmlformats.org/officeDocument/2006/relationships/hyperlink" Target="http://www.riss.kr/link?id=S12566" TargetMode="External"/><Relationship Id="rId787" Type="http://schemas.openxmlformats.org/officeDocument/2006/relationships/hyperlink" Target="http://www.riss.kr/link?id=S64419" TargetMode="External"/><Relationship Id="rId202" Type="http://schemas.openxmlformats.org/officeDocument/2006/relationships/hyperlink" Target="http://www.riss.kr/link?id=S401818" TargetMode="External"/><Relationship Id="rId647" Type="http://schemas.openxmlformats.org/officeDocument/2006/relationships/hyperlink" Target="http://www.riss.kr/link?id=S417529" TargetMode="External"/><Relationship Id="rId854" Type="http://schemas.openxmlformats.org/officeDocument/2006/relationships/hyperlink" Target="http://www.riss.kr/link?id=S63709" TargetMode="External"/><Relationship Id="rId286" Type="http://schemas.openxmlformats.org/officeDocument/2006/relationships/hyperlink" Target="http://www.riss.kr/link?id=S61420" TargetMode="External"/><Relationship Id="rId493" Type="http://schemas.openxmlformats.org/officeDocument/2006/relationships/hyperlink" Target="http://www.riss.kr/link?id=S11573535" TargetMode="External"/><Relationship Id="rId507" Type="http://schemas.openxmlformats.org/officeDocument/2006/relationships/hyperlink" Target="http://www.riss.kr/link?id=S20012366" TargetMode="External"/><Relationship Id="rId714" Type="http://schemas.openxmlformats.org/officeDocument/2006/relationships/hyperlink" Target="http://www.riss.kr/link?id=S43399" TargetMode="External"/><Relationship Id="rId921" Type="http://schemas.openxmlformats.org/officeDocument/2006/relationships/hyperlink" Target="http://www.riss.kr/link?id=S104082" TargetMode="External"/><Relationship Id="rId50" Type="http://schemas.openxmlformats.org/officeDocument/2006/relationships/hyperlink" Target="http://www.riss.kr/link?id=S17393" TargetMode="External"/><Relationship Id="rId146" Type="http://schemas.openxmlformats.org/officeDocument/2006/relationships/hyperlink" Target="http://www.riss.kr/link?id=S17552" TargetMode="External"/><Relationship Id="rId353" Type="http://schemas.openxmlformats.org/officeDocument/2006/relationships/hyperlink" Target="http://www.riss.kr/link?id=S411965" TargetMode="External"/><Relationship Id="rId560" Type="http://schemas.openxmlformats.org/officeDocument/2006/relationships/hyperlink" Target="http://www.riss.kr/link?id=S18799" TargetMode="External"/><Relationship Id="rId798" Type="http://schemas.openxmlformats.org/officeDocument/2006/relationships/hyperlink" Target="http://www.riss.kr/link?id=S62294" TargetMode="External"/><Relationship Id="rId213" Type="http://schemas.openxmlformats.org/officeDocument/2006/relationships/hyperlink" Target="http://www.riss.kr/link?id=S17318" TargetMode="External"/><Relationship Id="rId420" Type="http://schemas.openxmlformats.org/officeDocument/2006/relationships/hyperlink" Target="http://www.riss.kr/link?id=S28470" TargetMode="External"/><Relationship Id="rId658" Type="http://schemas.openxmlformats.org/officeDocument/2006/relationships/hyperlink" Target="http://www.riss.kr/link?id=S17031" TargetMode="External"/><Relationship Id="rId865" Type="http://schemas.openxmlformats.org/officeDocument/2006/relationships/hyperlink" Target="http://www.riss.kr/link?id=S63464" TargetMode="External"/><Relationship Id="rId297" Type="http://schemas.openxmlformats.org/officeDocument/2006/relationships/hyperlink" Target="http://www.riss.kr/link?id=S24614" TargetMode="External"/><Relationship Id="rId518" Type="http://schemas.openxmlformats.org/officeDocument/2006/relationships/hyperlink" Target="http://www.riss.kr/link?id=S17254" TargetMode="External"/><Relationship Id="rId725" Type="http://schemas.openxmlformats.org/officeDocument/2006/relationships/hyperlink" Target="http://www.riss.kr/link?id=S50066" TargetMode="External"/><Relationship Id="rId932" Type="http://schemas.openxmlformats.org/officeDocument/2006/relationships/hyperlink" Target="http://www.riss.kr/link?id=S143626" TargetMode="External"/><Relationship Id="rId157" Type="http://schemas.openxmlformats.org/officeDocument/2006/relationships/hyperlink" Target="http://www.riss.kr/link?id=S82964" TargetMode="External"/><Relationship Id="rId364" Type="http://schemas.openxmlformats.org/officeDocument/2006/relationships/hyperlink" Target="http://www.riss.kr/link?id=S3100498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90482" TargetMode="External"/><Relationship Id="rId671" Type="http://schemas.openxmlformats.org/officeDocument/2006/relationships/hyperlink" Target="http://www.riss.kr/link?id=S43165" TargetMode="External"/><Relationship Id="rId769" Type="http://schemas.openxmlformats.org/officeDocument/2006/relationships/hyperlink" Target="http://www.riss.kr/link?id=S416102" TargetMode="External"/><Relationship Id="rId976" Type="http://schemas.openxmlformats.org/officeDocument/2006/relationships/hyperlink" Target="http://www.riss.kr/link?id=S35578" TargetMode="External"/><Relationship Id="rId21" Type="http://schemas.openxmlformats.org/officeDocument/2006/relationships/hyperlink" Target="http://www.riss.kr/link?id=S143755" TargetMode="External"/><Relationship Id="rId324" Type="http://schemas.openxmlformats.org/officeDocument/2006/relationships/hyperlink" Target="http://www.riss.kr/link?id=S405313" TargetMode="External"/><Relationship Id="rId531" Type="http://schemas.openxmlformats.org/officeDocument/2006/relationships/hyperlink" Target="http://www.riss.kr/link?id=S20069046" TargetMode="External"/><Relationship Id="rId629" Type="http://schemas.openxmlformats.org/officeDocument/2006/relationships/hyperlink" Target="http://www.riss.kr/link?id=S31015676" TargetMode="External"/><Relationship Id="rId170" Type="http://schemas.openxmlformats.org/officeDocument/2006/relationships/hyperlink" Target="http://www.riss.kr/link?id=S61578" TargetMode="External"/><Relationship Id="rId836" Type="http://schemas.openxmlformats.org/officeDocument/2006/relationships/hyperlink" Target="http://www.riss.kr/link?id=S35290" TargetMode="External"/><Relationship Id="rId268" Type="http://schemas.openxmlformats.org/officeDocument/2006/relationships/hyperlink" Target="http://www.riss.kr/link?id=S404348" TargetMode="External"/><Relationship Id="rId475" Type="http://schemas.openxmlformats.org/officeDocument/2006/relationships/hyperlink" Target="http://www.riss.kr/link?id=S20215" TargetMode="External"/><Relationship Id="rId682" Type="http://schemas.openxmlformats.org/officeDocument/2006/relationships/hyperlink" Target="http://www.riss.kr/link?id=S29090" TargetMode="External"/><Relationship Id="rId903" Type="http://schemas.openxmlformats.org/officeDocument/2006/relationships/hyperlink" Target="http://www.riss.kr/link?id=S62753" TargetMode="External"/><Relationship Id="rId32" Type="http://schemas.openxmlformats.org/officeDocument/2006/relationships/hyperlink" Target="http://www.riss.kr/link?id=S16316" TargetMode="External"/><Relationship Id="rId128" Type="http://schemas.openxmlformats.org/officeDocument/2006/relationships/hyperlink" Target="http://www.riss.kr/link?id=S15647" TargetMode="External"/><Relationship Id="rId335" Type="http://schemas.openxmlformats.org/officeDocument/2006/relationships/hyperlink" Target="http://www.riss.kr/link?id=S5079" TargetMode="External"/><Relationship Id="rId542" Type="http://schemas.openxmlformats.org/officeDocument/2006/relationships/hyperlink" Target="http://www.riss.kr/link?id=S14360" TargetMode="External"/><Relationship Id="rId181" Type="http://schemas.openxmlformats.org/officeDocument/2006/relationships/hyperlink" Target="http://www.riss.kr/link?id=S16953" TargetMode="External"/><Relationship Id="rId402" Type="http://schemas.openxmlformats.org/officeDocument/2006/relationships/hyperlink" Target="http://www.riss.kr/link?id=S21317" TargetMode="External"/><Relationship Id="rId847" Type="http://schemas.openxmlformats.org/officeDocument/2006/relationships/hyperlink" Target="http://www.riss.kr/link?id=S50135" TargetMode="External"/><Relationship Id="rId279" Type="http://schemas.openxmlformats.org/officeDocument/2006/relationships/hyperlink" Target="http://www.riss.kr/link?id=S31010133" TargetMode="External"/><Relationship Id="rId486" Type="http://schemas.openxmlformats.org/officeDocument/2006/relationships/hyperlink" Target="http://www.riss.kr/link?id=S16024" TargetMode="External"/><Relationship Id="rId693" Type="http://schemas.openxmlformats.org/officeDocument/2006/relationships/hyperlink" Target="http://www.riss.kr/link?id=S12262" TargetMode="External"/><Relationship Id="rId707" Type="http://schemas.openxmlformats.org/officeDocument/2006/relationships/hyperlink" Target="http://www.riss.kr/link?id=S53708" TargetMode="External"/><Relationship Id="rId914" Type="http://schemas.openxmlformats.org/officeDocument/2006/relationships/hyperlink" Target="http://www.riss.kr/link?id=S80221" TargetMode="External"/><Relationship Id="rId43" Type="http://schemas.openxmlformats.org/officeDocument/2006/relationships/hyperlink" Target="http://www.riss.kr/link?id=S83265" TargetMode="External"/><Relationship Id="rId139" Type="http://schemas.openxmlformats.org/officeDocument/2006/relationships/hyperlink" Target="http://www.riss.kr/link?id=S16969" TargetMode="External"/><Relationship Id="rId346" Type="http://schemas.openxmlformats.org/officeDocument/2006/relationships/hyperlink" Target="http://www.riss.kr/link?id=S15020" TargetMode="External"/><Relationship Id="rId553" Type="http://schemas.openxmlformats.org/officeDocument/2006/relationships/hyperlink" Target="http://www.riss.kr/link?id=S20951" TargetMode="External"/><Relationship Id="rId760" Type="http://schemas.openxmlformats.org/officeDocument/2006/relationships/hyperlink" Target="http://www.riss.kr/link?id=S115391" TargetMode="External"/><Relationship Id="rId192" Type="http://schemas.openxmlformats.org/officeDocument/2006/relationships/hyperlink" Target="http://www.riss.kr/link?id=S13455" TargetMode="External"/><Relationship Id="rId206" Type="http://schemas.openxmlformats.org/officeDocument/2006/relationships/hyperlink" Target="http://www.riss.kr/link?id=S63720" TargetMode="External"/><Relationship Id="rId413" Type="http://schemas.openxmlformats.org/officeDocument/2006/relationships/hyperlink" Target="http://www.riss.kr/link?id=S16907" TargetMode="External"/><Relationship Id="rId858" Type="http://schemas.openxmlformats.org/officeDocument/2006/relationships/hyperlink" Target="http://www.riss.kr/link?id=S115749" TargetMode="External"/><Relationship Id="rId497" Type="http://schemas.openxmlformats.org/officeDocument/2006/relationships/hyperlink" Target="http://www.riss.kr/link?id=S407614" TargetMode="External"/><Relationship Id="rId620" Type="http://schemas.openxmlformats.org/officeDocument/2006/relationships/hyperlink" Target="http://www.riss.kr/link?id=S17210" TargetMode="External"/><Relationship Id="rId718" Type="http://schemas.openxmlformats.org/officeDocument/2006/relationships/hyperlink" Target="http://www.riss.kr/link?id=S115374" TargetMode="External"/><Relationship Id="rId925" Type="http://schemas.openxmlformats.org/officeDocument/2006/relationships/hyperlink" Target="http://www.riss.kr/link?id=S19733" TargetMode="External"/><Relationship Id="rId357" Type="http://schemas.openxmlformats.org/officeDocument/2006/relationships/hyperlink" Target="http://www.riss.kr/link?id=S16077" TargetMode="External"/><Relationship Id="rId54" Type="http://schemas.openxmlformats.org/officeDocument/2006/relationships/hyperlink" Target="http://www.riss.kr/link?id=S6788" TargetMode="External"/><Relationship Id="rId217" Type="http://schemas.openxmlformats.org/officeDocument/2006/relationships/hyperlink" Target="http://www.riss.kr/link?id=S414544" TargetMode="External"/><Relationship Id="rId564" Type="http://schemas.openxmlformats.org/officeDocument/2006/relationships/hyperlink" Target="http://www.riss.kr/link?id=S58540" TargetMode="External"/><Relationship Id="rId771" Type="http://schemas.openxmlformats.org/officeDocument/2006/relationships/hyperlink" Target="http://www.riss.kr/link?id=S58267" TargetMode="External"/><Relationship Id="rId869" Type="http://schemas.openxmlformats.org/officeDocument/2006/relationships/hyperlink" Target="http://www.riss.kr/link?id=S85462" TargetMode="External"/><Relationship Id="rId424" Type="http://schemas.openxmlformats.org/officeDocument/2006/relationships/hyperlink" Target="http://www.riss.kr/link?id=S12915" TargetMode="External"/><Relationship Id="rId631" Type="http://schemas.openxmlformats.org/officeDocument/2006/relationships/hyperlink" Target="http://www.riss.kr/link?id=S416272" TargetMode="External"/><Relationship Id="rId729" Type="http://schemas.openxmlformats.org/officeDocument/2006/relationships/hyperlink" Target="http://www.riss.kr/link?id=S20015069" TargetMode="External"/><Relationship Id="rId270" Type="http://schemas.openxmlformats.org/officeDocument/2006/relationships/hyperlink" Target="http://www.riss.kr/link?id=S405412" TargetMode="External"/><Relationship Id="rId936" Type="http://schemas.openxmlformats.org/officeDocument/2006/relationships/hyperlink" Target="http://www.riss.kr/link?id=S62819" TargetMode="External"/><Relationship Id="rId65" Type="http://schemas.openxmlformats.org/officeDocument/2006/relationships/hyperlink" Target="http://www.riss.kr/link?id=S29072" TargetMode="External"/><Relationship Id="rId130" Type="http://schemas.openxmlformats.org/officeDocument/2006/relationships/hyperlink" Target="http://www.riss.kr/link?id=S60957" TargetMode="External"/><Relationship Id="rId368" Type="http://schemas.openxmlformats.org/officeDocument/2006/relationships/hyperlink" Target="http://www.riss.kr/link?id=S24593" TargetMode="External"/><Relationship Id="rId575" Type="http://schemas.openxmlformats.org/officeDocument/2006/relationships/hyperlink" Target="http://www.riss.kr/link?id=S24135" TargetMode="External"/><Relationship Id="rId782" Type="http://schemas.openxmlformats.org/officeDocument/2006/relationships/hyperlink" Target="http://www.riss.kr/link?id=S114439" TargetMode="External"/><Relationship Id="rId228" Type="http://schemas.openxmlformats.org/officeDocument/2006/relationships/hyperlink" Target="http://www.riss.kr/link?id=S92049" TargetMode="External"/><Relationship Id="rId435" Type="http://schemas.openxmlformats.org/officeDocument/2006/relationships/hyperlink" Target="http://www.riss.kr/link?id=S414984" TargetMode="External"/><Relationship Id="rId642" Type="http://schemas.openxmlformats.org/officeDocument/2006/relationships/hyperlink" Target="http://www.riss.kr/link?id=S417604" TargetMode="External"/><Relationship Id="rId281" Type="http://schemas.openxmlformats.org/officeDocument/2006/relationships/hyperlink" Target="http://www.riss.kr/link?id=S31011616" TargetMode="External"/><Relationship Id="rId502" Type="http://schemas.openxmlformats.org/officeDocument/2006/relationships/hyperlink" Target="http://www.riss.kr/link?id=S50051" TargetMode="External"/><Relationship Id="rId947" Type="http://schemas.openxmlformats.org/officeDocument/2006/relationships/hyperlink" Target="http://www.riss.kr/link?id=S61680" TargetMode="External"/><Relationship Id="rId76" Type="http://schemas.openxmlformats.org/officeDocument/2006/relationships/hyperlink" Target="http://www.riss.kr/link?id=S13034" TargetMode="External"/><Relationship Id="rId141" Type="http://schemas.openxmlformats.org/officeDocument/2006/relationships/hyperlink" Target="http://www.riss.kr/link?id=S30000666" TargetMode="External"/><Relationship Id="rId379" Type="http://schemas.openxmlformats.org/officeDocument/2006/relationships/hyperlink" Target="http://www.riss.kr/link?id=S103752" TargetMode="External"/><Relationship Id="rId586" Type="http://schemas.openxmlformats.org/officeDocument/2006/relationships/hyperlink" Target="http://www.riss.kr/link?id=S13243" TargetMode="External"/><Relationship Id="rId793" Type="http://schemas.openxmlformats.org/officeDocument/2006/relationships/hyperlink" Target="http://www.riss.kr/link?id=S20010476" TargetMode="External"/><Relationship Id="rId807" Type="http://schemas.openxmlformats.org/officeDocument/2006/relationships/hyperlink" Target="http://www.riss.kr/link?id=S7757" TargetMode="External"/><Relationship Id="rId7" Type="http://schemas.openxmlformats.org/officeDocument/2006/relationships/hyperlink" Target="http://www.riss.kr/link?id=S11597808" TargetMode="External"/><Relationship Id="rId239" Type="http://schemas.openxmlformats.org/officeDocument/2006/relationships/hyperlink" Target="http://www.riss.kr/link?id=S16189" TargetMode="External"/><Relationship Id="rId446" Type="http://schemas.openxmlformats.org/officeDocument/2006/relationships/hyperlink" Target="http://www.riss.kr/link?id=S13259" TargetMode="External"/><Relationship Id="rId653" Type="http://schemas.openxmlformats.org/officeDocument/2006/relationships/hyperlink" Target="http://www.riss.kr/link?id=S6600" TargetMode="External"/><Relationship Id="rId292" Type="http://schemas.openxmlformats.org/officeDocument/2006/relationships/hyperlink" Target="http://www.riss.kr/link?id=S136637" TargetMode="External"/><Relationship Id="rId306" Type="http://schemas.openxmlformats.org/officeDocument/2006/relationships/hyperlink" Target="http://www.riss.kr/link?id=S103439" TargetMode="External"/><Relationship Id="rId860" Type="http://schemas.openxmlformats.org/officeDocument/2006/relationships/hyperlink" Target="http://www.riss.kr/link?id=S104164" TargetMode="External"/><Relationship Id="rId958" Type="http://schemas.openxmlformats.org/officeDocument/2006/relationships/hyperlink" Target="http://www.riss.kr/link?id=S104204" TargetMode="External"/><Relationship Id="rId87" Type="http://schemas.openxmlformats.org/officeDocument/2006/relationships/hyperlink" Target="http://www.riss.kr/link?id=S11582253" TargetMode="External"/><Relationship Id="rId513" Type="http://schemas.openxmlformats.org/officeDocument/2006/relationships/hyperlink" Target="http://www.riss.kr/link?id=S83171" TargetMode="External"/><Relationship Id="rId597" Type="http://schemas.openxmlformats.org/officeDocument/2006/relationships/hyperlink" Target="http://www.riss.kr/link?id=S13542" TargetMode="External"/><Relationship Id="rId720" Type="http://schemas.openxmlformats.org/officeDocument/2006/relationships/hyperlink" Target="http://www.riss.kr/link?id=S13026" TargetMode="External"/><Relationship Id="rId818" Type="http://schemas.openxmlformats.org/officeDocument/2006/relationships/hyperlink" Target="http://www.riss.kr/link?id=S60897" TargetMode="External"/><Relationship Id="rId152" Type="http://schemas.openxmlformats.org/officeDocument/2006/relationships/hyperlink" Target="http://www.riss.kr/link?id=S403698" TargetMode="External"/><Relationship Id="rId457" Type="http://schemas.openxmlformats.org/officeDocument/2006/relationships/hyperlink" Target="http://www.riss.kr/link?id=S11927" TargetMode="External"/><Relationship Id="rId664" Type="http://schemas.openxmlformats.org/officeDocument/2006/relationships/hyperlink" Target="http://www.riss.kr/link?id=S17423" TargetMode="External"/><Relationship Id="rId871" Type="http://schemas.openxmlformats.org/officeDocument/2006/relationships/hyperlink" Target="http://www.riss.kr/link?id=S116123" TargetMode="External"/><Relationship Id="rId969" Type="http://schemas.openxmlformats.org/officeDocument/2006/relationships/hyperlink" Target="http://www.riss.kr/link?id=S63728" TargetMode="External"/><Relationship Id="rId14" Type="http://schemas.openxmlformats.org/officeDocument/2006/relationships/hyperlink" Target="http://www.riss.kr/link?id=S418336" TargetMode="External"/><Relationship Id="rId317" Type="http://schemas.openxmlformats.org/officeDocument/2006/relationships/hyperlink" Target="http://www.riss.kr/link?id=S13700" TargetMode="External"/><Relationship Id="rId524" Type="http://schemas.openxmlformats.org/officeDocument/2006/relationships/hyperlink" Target="http://www.riss.kr/link?id=S28869" TargetMode="External"/><Relationship Id="rId731" Type="http://schemas.openxmlformats.org/officeDocument/2006/relationships/hyperlink" Target="http://www.riss.kr/link?id=S16670" TargetMode="External"/><Relationship Id="rId98" Type="http://schemas.openxmlformats.org/officeDocument/2006/relationships/hyperlink" Target="http://www.riss.kr/link?id=S405354" TargetMode="External"/><Relationship Id="rId163" Type="http://schemas.openxmlformats.org/officeDocument/2006/relationships/hyperlink" Target="http://www.riss.kr/link?id=S408343" TargetMode="External"/><Relationship Id="rId370" Type="http://schemas.openxmlformats.org/officeDocument/2006/relationships/hyperlink" Target="http://www.riss.kr/link?id=S11645644" TargetMode="External"/><Relationship Id="rId829" Type="http://schemas.openxmlformats.org/officeDocument/2006/relationships/hyperlink" Target="http://www.riss.kr/link?id=S67352" TargetMode="External"/><Relationship Id="rId230" Type="http://schemas.openxmlformats.org/officeDocument/2006/relationships/hyperlink" Target="http://www.riss.kr/link?id=S31157" TargetMode="External"/><Relationship Id="rId468" Type="http://schemas.openxmlformats.org/officeDocument/2006/relationships/hyperlink" Target="http://www.riss.kr/link?id=S60909" TargetMode="External"/><Relationship Id="rId675" Type="http://schemas.openxmlformats.org/officeDocument/2006/relationships/hyperlink" Target="http://www.riss.kr/link?id=S13525" TargetMode="External"/><Relationship Id="rId882" Type="http://schemas.openxmlformats.org/officeDocument/2006/relationships/hyperlink" Target="http://www.riss.kr/link?id=S20085286" TargetMode="External"/><Relationship Id="rId25" Type="http://schemas.openxmlformats.org/officeDocument/2006/relationships/hyperlink" Target="http://www.riss.kr/link?id=S11644176" TargetMode="External"/><Relationship Id="rId328" Type="http://schemas.openxmlformats.org/officeDocument/2006/relationships/hyperlink" Target="http://www.riss.kr/link?id=S30000647" TargetMode="External"/><Relationship Id="rId535" Type="http://schemas.openxmlformats.org/officeDocument/2006/relationships/hyperlink" Target="http://www.riss.kr/link?id=S114686" TargetMode="External"/><Relationship Id="rId742" Type="http://schemas.openxmlformats.org/officeDocument/2006/relationships/hyperlink" Target="http://www.riss.kr/link?id=S17458" TargetMode="External"/><Relationship Id="rId174" Type="http://schemas.openxmlformats.org/officeDocument/2006/relationships/hyperlink" Target="http://www.riss.kr/link?id=S20417" TargetMode="External"/><Relationship Id="rId381" Type="http://schemas.openxmlformats.org/officeDocument/2006/relationships/hyperlink" Target="http://www.riss.kr/link?id=S15726" TargetMode="External"/><Relationship Id="rId602" Type="http://schemas.openxmlformats.org/officeDocument/2006/relationships/hyperlink" Target="http://www.riss.kr/link?id=S20886" TargetMode="External"/><Relationship Id="rId241" Type="http://schemas.openxmlformats.org/officeDocument/2006/relationships/hyperlink" Target="http://www.riss.kr/link?id=S21143" TargetMode="External"/><Relationship Id="rId479" Type="http://schemas.openxmlformats.org/officeDocument/2006/relationships/hyperlink" Target="http://www.riss.kr/link?id=S31013729" TargetMode="External"/><Relationship Id="rId686" Type="http://schemas.openxmlformats.org/officeDocument/2006/relationships/hyperlink" Target="http://www.riss.kr/link?id=S14380" TargetMode="External"/><Relationship Id="rId893" Type="http://schemas.openxmlformats.org/officeDocument/2006/relationships/hyperlink" Target="http://www.riss.kr/link?id=S19681" TargetMode="External"/><Relationship Id="rId907" Type="http://schemas.openxmlformats.org/officeDocument/2006/relationships/hyperlink" Target="http://www.riss.kr/link?id=S60119" TargetMode="External"/><Relationship Id="rId36" Type="http://schemas.openxmlformats.org/officeDocument/2006/relationships/hyperlink" Target="http://www.riss.kr/link?id=S31002771" TargetMode="External"/><Relationship Id="rId339" Type="http://schemas.openxmlformats.org/officeDocument/2006/relationships/hyperlink" Target="http://www.riss.kr/link?id=S15023" TargetMode="External"/><Relationship Id="rId546" Type="http://schemas.openxmlformats.org/officeDocument/2006/relationships/hyperlink" Target="http://www.riss.kr/link?id=S105342" TargetMode="External"/><Relationship Id="rId753" Type="http://schemas.openxmlformats.org/officeDocument/2006/relationships/hyperlink" Target="http://www.riss.kr/link?id=S61686" TargetMode="External"/><Relationship Id="rId101" Type="http://schemas.openxmlformats.org/officeDocument/2006/relationships/hyperlink" Target="http://www.riss.kr/link?id=S16573" TargetMode="External"/><Relationship Id="rId185" Type="http://schemas.openxmlformats.org/officeDocument/2006/relationships/hyperlink" Target="http://www.riss.kr/link?id=S29119" TargetMode="External"/><Relationship Id="rId406" Type="http://schemas.openxmlformats.org/officeDocument/2006/relationships/hyperlink" Target="http://www.riss.kr/link?id=S29059" TargetMode="External"/><Relationship Id="rId960" Type="http://schemas.openxmlformats.org/officeDocument/2006/relationships/hyperlink" Target="http://www.riss.kr/link?id=S104122" TargetMode="External"/><Relationship Id="rId392" Type="http://schemas.openxmlformats.org/officeDocument/2006/relationships/hyperlink" Target="http://www.riss.kr/link?id=S36261" TargetMode="External"/><Relationship Id="rId613" Type="http://schemas.openxmlformats.org/officeDocument/2006/relationships/hyperlink" Target="http://www.riss.kr/link?id=S11644259" TargetMode="External"/><Relationship Id="rId697" Type="http://schemas.openxmlformats.org/officeDocument/2006/relationships/hyperlink" Target="http://www.riss.kr/link?id=S68638" TargetMode="External"/><Relationship Id="rId820" Type="http://schemas.openxmlformats.org/officeDocument/2006/relationships/hyperlink" Target="http://www.riss.kr/link?id=S27803" TargetMode="External"/><Relationship Id="rId918" Type="http://schemas.openxmlformats.org/officeDocument/2006/relationships/hyperlink" Target="http://www.riss.kr/link?id=S61209" TargetMode="External"/><Relationship Id="rId252" Type="http://schemas.openxmlformats.org/officeDocument/2006/relationships/hyperlink" Target="http://www.riss.kr/link?id=S29360" TargetMode="External"/><Relationship Id="rId47" Type="http://schemas.openxmlformats.org/officeDocument/2006/relationships/hyperlink" Target="http://www.riss.kr/link?id=S16589" TargetMode="External"/><Relationship Id="rId112" Type="http://schemas.openxmlformats.org/officeDocument/2006/relationships/hyperlink" Target="http://www.riss.kr/link?id=S17150" TargetMode="External"/><Relationship Id="rId557" Type="http://schemas.openxmlformats.org/officeDocument/2006/relationships/hyperlink" Target="http://www.riss.kr/link?id=S415066" TargetMode="External"/><Relationship Id="rId764" Type="http://schemas.openxmlformats.org/officeDocument/2006/relationships/hyperlink" Target="http://www.riss.kr/link?id=S11574764" TargetMode="External"/><Relationship Id="rId971" Type="http://schemas.openxmlformats.org/officeDocument/2006/relationships/hyperlink" Target="http://www.riss.kr/link?id=S63688" TargetMode="External"/><Relationship Id="rId196" Type="http://schemas.openxmlformats.org/officeDocument/2006/relationships/hyperlink" Target="http://www.riss.kr/link?id=S30007518" TargetMode="External"/><Relationship Id="rId417" Type="http://schemas.openxmlformats.org/officeDocument/2006/relationships/hyperlink" Target="http://www.riss.kr/link?id=S24597" TargetMode="External"/><Relationship Id="rId624" Type="http://schemas.openxmlformats.org/officeDocument/2006/relationships/hyperlink" Target="http://www.riss.kr/link?id=S143757" TargetMode="External"/><Relationship Id="rId831" Type="http://schemas.openxmlformats.org/officeDocument/2006/relationships/hyperlink" Target="http://www.riss.kr/link?id=S54489" TargetMode="External"/><Relationship Id="rId263" Type="http://schemas.openxmlformats.org/officeDocument/2006/relationships/hyperlink" Target="http://www.riss.kr/link?id=S30006757" TargetMode="External"/><Relationship Id="rId470" Type="http://schemas.openxmlformats.org/officeDocument/2006/relationships/hyperlink" Target="http://www.riss.kr/link?id=S57498" TargetMode="External"/><Relationship Id="rId929" Type="http://schemas.openxmlformats.org/officeDocument/2006/relationships/hyperlink" Target="http://www.riss.kr/link?id=S20069376" TargetMode="External"/><Relationship Id="rId58" Type="http://schemas.openxmlformats.org/officeDocument/2006/relationships/hyperlink" Target="http://www.riss.kr/link?id=S16306" TargetMode="External"/><Relationship Id="rId123" Type="http://schemas.openxmlformats.org/officeDocument/2006/relationships/hyperlink" Target="http://www.riss.kr/link?id=S15658" TargetMode="External"/><Relationship Id="rId330" Type="http://schemas.openxmlformats.org/officeDocument/2006/relationships/hyperlink" Target="http://www.riss.kr/link?id=S418178" TargetMode="External"/><Relationship Id="rId568" Type="http://schemas.openxmlformats.org/officeDocument/2006/relationships/hyperlink" Target="http://www.riss.kr/link?id=S406197" TargetMode="External"/><Relationship Id="rId775" Type="http://schemas.openxmlformats.org/officeDocument/2006/relationships/hyperlink" Target="http://www.riss.kr/link?id=S417506" TargetMode="External"/><Relationship Id="rId428" Type="http://schemas.openxmlformats.org/officeDocument/2006/relationships/hyperlink" Target="http://www.riss.kr/link?id=S66354" TargetMode="External"/><Relationship Id="rId635" Type="http://schemas.openxmlformats.org/officeDocument/2006/relationships/hyperlink" Target="http://www.riss.kr/link?id=S72024" TargetMode="External"/><Relationship Id="rId842" Type="http://schemas.openxmlformats.org/officeDocument/2006/relationships/hyperlink" Target="http://www.riss.kr/link?id=S67972" TargetMode="External"/><Relationship Id="rId274" Type="http://schemas.openxmlformats.org/officeDocument/2006/relationships/hyperlink" Target="http://www.riss.kr/link?id=S418684" TargetMode="External"/><Relationship Id="rId481" Type="http://schemas.openxmlformats.org/officeDocument/2006/relationships/hyperlink" Target="http://www.riss.kr/link?id=S15441" TargetMode="External"/><Relationship Id="rId702" Type="http://schemas.openxmlformats.org/officeDocument/2006/relationships/hyperlink" Target="http://www.riss.kr/link?id=S410779" TargetMode="External"/><Relationship Id="rId69" Type="http://schemas.openxmlformats.org/officeDocument/2006/relationships/hyperlink" Target="http://www.riss.kr/link?id=S407021" TargetMode="External"/><Relationship Id="rId134" Type="http://schemas.openxmlformats.org/officeDocument/2006/relationships/hyperlink" Target="http://www.riss.kr/link?id=S414163" TargetMode="External"/><Relationship Id="rId579" Type="http://schemas.openxmlformats.org/officeDocument/2006/relationships/hyperlink" Target="http://www.riss.kr/link?id=S16542" TargetMode="External"/><Relationship Id="rId786" Type="http://schemas.openxmlformats.org/officeDocument/2006/relationships/hyperlink" Target="http://www.riss.kr/link?id=S88228" TargetMode="External"/><Relationship Id="rId341" Type="http://schemas.openxmlformats.org/officeDocument/2006/relationships/hyperlink" Target="http://www.riss.kr/link?id=S16081" TargetMode="External"/><Relationship Id="rId439" Type="http://schemas.openxmlformats.org/officeDocument/2006/relationships/hyperlink" Target="http://www.riss.kr/link?id=S23468" TargetMode="External"/><Relationship Id="rId646" Type="http://schemas.openxmlformats.org/officeDocument/2006/relationships/hyperlink" Target="http://www.riss.kr/link?id=S20099271" TargetMode="External"/><Relationship Id="rId201" Type="http://schemas.openxmlformats.org/officeDocument/2006/relationships/hyperlink" Target="http://www.riss.kr/link?id=S60840" TargetMode="External"/><Relationship Id="rId285" Type="http://schemas.openxmlformats.org/officeDocument/2006/relationships/hyperlink" Target="http://www.riss.kr/link?id=S401790" TargetMode="External"/><Relationship Id="rId506" Type="http://schemas.openxmlformats.org/officeDocument/2006/relationships/hyperlink" Target="http://www.riss.kr/link?id=S402424" TargetMode="External"/><Relationship Id="rId853" Type="http://schemas.openxmlformats.org/officeDocument/2006/relationships/hyperlink" Target="http://www.riss.kr/link?id=S20068237" TargetMode="External"/><Relationship Id="rId492" Type="http://schemas.openxmlformats.org/officeDocument/2006/relationships/hyperlink" Target="http://www.riss.kr/link?id=S20095808" TargetMode="External"/><Relationship Id="rId713" Type="http://schemas.openxmlformats.org/officeDocument/2006/relationships/hyperlink" Target="http://www.riss.kr/link?id=S17577" TargetMode="External"/><Relationship Id="rId797" Type="http://schemas.openxmlformats.org/officeDocument/2006/relationships/hyperlink" Target="http://www.riss.kr/link?id=S61213" TargetMode="External"/><Relationship Id="rId920" Type="http://schemas.openxmlformats.org/officeDocument/2006/relationships/hyperlink" Target="http://www.riss.kr/link?id=S27664" TargetMode="External"/><Relationship Id="rId145" Type="http://schemas.openxmlformats.org/officeDocument/2006/relationships/hyperlink" Target="http://www.riss.kr/link?id=S15636" TargetMode="External"/><Relationship Id="rId352" Type="http://schemas.openxmlformats.org/officeDocument/2006/relationships/hyperlink" Target="http://www.riss.kr/link?id=S29016" TargetMode="External"/><Relationship Id="rId212" Type="http://schemas.openxmlformats.org/officeDocument/2006/relationships/hyperlink" Target="http://www.riss.kr/link?id=S38401" TargetMode="External"/><Relationship Id="rId657" Type="http://schemas.openxmlformats.org/officeDocument/2006/relationships/hyperlink" Target="http://www.riss.kr/link?id=S418358" TargetMode="External"/><Relationship Id="rId864" Type="http://schemas.openxmlformats.org/officeDocument/2006/relationships/hyperlink" Target="http://www.riss.kr/link?id=S21959" TargetMode="External"/><Relationship Id="rId296" Type="http://schemas.openxmlformats.org/officeDocument/2006/relationships/hyperlink" Target="http://www.riss.kr/link?id=S401473" TargetMode="External"/><Relationship Id="rId517" Type="http://schemas.openxmlformats.org/officeDocument/2006/relationships/hyperlink" Target="http://www.riss.kr/link?id=S20010588" TargetMode="External"/><Relationship Id="rId724" Type="http://schemas.openxmlformats.org/officeDocument/2006/relationships/hyperlink" Target="http://www.riss.kr/link?id=S28261" TargetMode="External"/><Relationship Id="rId931" Type="http://schemas.openxmlformats.org/officeDocument/2006/relationships/hyperlink" Target="http://www.riss.kr/link?id=S61212" TargetMode="External"/><Relationship Id="rId60" Type="http://schemas.openxmlformats.org/officeDocument/2006/relationships/hyperlink" Target="http://www.riss.kr/link?id=S45403" TargetMode="External"/><Relationship Id="rId156" Type="http://schemas.openxmlformats.org/officeDocument/2006/relationships/hyperlink" Target="http://www.riss.kr/link?id=S31027851" TargetMode="External"/><Relationship Id="rId363" Type="http://schemas.openxmlformats.org/officeDocument/2006/relationships/hyperlink" Target="http://www.riss.kr/link?id=S16565" TargetMode="External"/><Relationship Id="rId570" Type="http://schemas.openxmlformats.org/officeDocument/2006/relationships/hyperlink" Target="http://www.riss.kr/link?id=S17230" TargetMode="External"/><Relationship Id="rId223" Type="http://schemas.openxmlformats.org/officeDocument/2006/relationships/hyperlink" Target="http://www.riss.kr/link?id=S16941" TargetMode="External"/><Relationship Id="rId430" Type="http://schemas.openxmlformats.org/officeDocument/2006/relationships/hyperlink" Target="http://www.riss.kr/link?id=S49464" TargetMode="External"/><Relationship Id="rId668" Type="http://schemas.openxmlformats.org/officeDocument/2006/relationships/hyperlink" Target="http://www.riss.kr/link?id=S113997" TargetMode="External"/><Relationship Id="rId875" Type="http://schemas.openxmlformats.org/officeDocument/2006/relationships/hyperlink" Target="http://www.riss.kr/link?id=S19685" TargetMode="External"/><Relationship Id="rId18" Type="http://schemas.openxmlformats.org/officeDocument/2006/relationships/hyperlink" Target="http://www.riss.kr/link?id=S90500" TargetMode="External"/><Relationship Id="rId528" Type="http://schemas.openxmlformats.org/officeDocument/2006/relationships/hyperlink" Target="http://www.riss.kr/link?id=S59777" TargetMode="External"/><Relationship Id="rId735" Type="http://schemas.openxmlformats.org/officeDocument/2006/relationships/hyperlink" Target="http://www.riss.kr/link?id=S43048" TargetMode="External"/><Relationship Id="rId942" Type="http://schemas.openxmlformats.org/officeDocument/2006/relationships/hyperlink" Target="http://www.riss.kr/link?id=S144142" TargetMode="External"/><Relationship Id="rId167" Type="http://schemas.openxmlformats.org/officeDocument/2006/relationships/hyperlink" Target="http://www.riss.kr/link?id=S412559" TargetMode="External"/><Relationship Id="rId374" Type="http://schemas.openxmlformats.org/officeDocument/2006/relationships/hyperlink" Target="http://www.riss.kr/link?id=S405339" TargetMode="External"/><Relationship Id="rId581" Type="http://schemas.openxmlformats.org/officeDocument/2006/relationships/hyperlink" Target="http://www.riss.kr/link?id=S23595" TargetMode="External"/><Relationship Id="rId71" Type="http://schemas.openxmlformats.org/officeDocument/2006/relationships/hyperlink" Target="http://www.riss.kr/link?id=S23637" TargetMode="External"/><Relationship Id="rId234" Type="http://schemas.openxmlformats.org/officeDocument/2006/relationships/hyperlink" Target="http://www.riss.kr/link?id=S403172" TargetMode="External"/><Relationship Id="rId679" Type="http://schemas.openxmlformats.org/officeDocument/2006/relationships/hyperlink" Target="http://www.riss.kr/link?id=S403200" TargetMode="External"/><Relationship Id="rId802" Type="http://schemas.openxmlformats.org/officeDocument/2006/relationships/hyperlink" Target="http://www.riss.kr/link?id=S80195" TargetMode="External"/><Relationship Id="rId886" Type="http://schemas.openxmlformats.org/officeDocument/2006/relationships/hyperlink" Target="http://www.riss.kr/link?id=S35765" TargetMode="External"/><Relationship Id="rId2" Type="http://schemas.openxmlformats.org/officeDocument/2006/relationships/hyperlink" Target="http://www.riss.kr/link?id=S16981" TargetMode="External"/><Relationship Id="rId29" Type="http://schemas.openxmlformats.org/officeDocument/2006/relationships/hyperlink" Target="http://www.riss.kr/link?id=S16319" TargetMode="External"/><Relationship Id="rId441" Type="http://schemas.openxmlformats.org/officeDocument/2006/relationships/hyperlink" Target="http://www.riss.kr/link?id=S15539" TargetMode="External"/><Relationship Id="rId539" Type="http://schemas.openxmlformats.org/officeDocument/2006/relationships/hyperlink" Target="http://www.riss.kr/link?id=S31027366" TargetMode="External"/><Relationship Id="rId746" Type="http://schemas.openxmlformats.org/officeDocument/2006/relationships/hyperlink" Target="http://www.riss.kr/link?id=S15953" TargetMode="External"/><Relationship Id="rId178" Type="http://schemas.openxmlformats.org/officeDocument/2006/relationships/hyperlink" Target="http://www.riss.kr/link?id=S405425" TargetMode="External"/><Relationship Id="rId301" Type="http://schemas.openxmlformats.org/officeDocument/2006/relationships/hyperlink" Target="http://www.riss.kr/link?id=S16089" TargetMode="External"/><Relationship Id="rId953" Type="http://schemas.openxmlformats.org/officeDocument/2006/relationships/hyperlink" Target="http://www.riss.kr/link?id=S104125" TargetMode="External"/><Relationship Id="rId82" Type="http://schemas.openxmlformats.org/officeDocument/2006/relationships/hyperlink" Target="http://www.riss.kr/link?id=S112893" TargetMode="External"/><Relationship Id="rId385" Type="http://schemas.openxmlformats.org/officeDocument/2006/relationships/hyperlink" Target="http://www.riss.kr/link?id=S16910" TargetMode="External"/><Relationship Id="rId592" Type="http://schemas.openxmlformats.org/officeDocument/2006/relationships/hyperlink" Target="http://www.riss.kr/link?id=S410425" TargetMode="External"/><Relationship Id="rId606" Type="http://schemas.openxmlformats.org/officeDocument/2006/relationships/hyperlink" Target="http://www.riss.kr/link?id=S45501" TargetMode="External"/><Relationship Id="rId813" Type="http://schemas.openxmlformats.org/officeDocument/2006/relationships/hyperlink" Target="http://www.riss.kr/link?id=S411199" TargetMode="External"/><Relationship Id="rId245" Type="http://schemas.openxmlformats.org/officeDocument/2006/relationships/hyperlink" Target="http://www.riss.kr/link?id=S115381" TargetMode="External"/><Relationship Id="rId452" Type="http://schemas.openxmlformats.org/officeDocument/2006/relationships/hyperlink" Target="http://www.riss.kr/link?id=S16897" TargetMode="External"/><Relationship Id="rId897" Type="http://schemas.openxmlformats.org/officeDocument/2006/relationships/hyperlink" Target="http://www.riss.kr/link?id=S36924" TargetMode="External"/><Relationship Id="rId105" Type="http://schemas.openxmlformats.org/officeDocument/2006/relationships/hyperlink" Target="http://www.riss.kr/link?id=S24636" TargetMode="External"/><Relationship Id="rId312" Type="http://schemas.openxmlformats.org/officeDocument/2006/relationships/hyperlink" Target="http://www.riss.kr/link?id=S416809" TargetMode="External"/><Relationship Id="rId757" Type="http://schemas.openxmlformats.org/officeDocument/2006/relationships/hyperlink" Target="http://www.riss.kr/link?id=S407845" TargetMode="External"/><Relationship Id="rId964" Type="http://schemas.openxmlformats.org/officeDocument/2006/relationships/hyperlink" Target="http://www.riss.kr/link?id=S11643948" TargetMode="External"/><Relationship Id="rId93" Type="http://schemas.openxmlformats.org/officeDocument/2006/relationships/hyperlink" Target="http://www.riss.kr/link?id=S60409" TargetMode="External"/><Relationship Id="rId189" Type="http://schemas.openxmlformats.org/officeDocument/2006/relationships/hyperlink" Target="http://www.riss.kr/link?id=S115377" TargetMode="External"/><Relationship Id="rId396" Type="http://schemas.openxmlformats.org/officeDocument/2006/relationships/hyperlink" Target="http://www.riss.kr/link?id=S12949" TargetMode="External"/><Relationship Id="rId617" Type="http://schemas.openxmlformats.org/officeDocument/2006/relationships/hyperlink" Target="http://www.riss.kr/link?id=S39035" TargetMode="External"/><Relationship Id="rId824" Type="http://schemas.openxmlformats.org/officeDocument/2006/relationships/hyperlink" Target="http://www.riss.kr/link?id=S19734" TargetMode="External"/><Relationship Id="rId256" Type="http://schemas.openxmlformats.org/officeDocument/2006/relationships/hyperlink" Target="http://www.riss.kr/link?id=S115379" TargetMode="External"/><Relationship Id="rId463" Type="http://schemas.openxmlformats.org/officeDocument/2006/relationships/hyperlink" Target="http://www.riss.kr/link?id=S11572188" TargetMode="External"/><Relationship Id="rId670" Type="http://schemas.openxmlformats.org/officeDocument/2006/relationships/hyperlink" Target="http://www.riss.kr/link?id=S405698" TargetMode="External"/><Relationship Id="rId116" Type="http://schemas.openxmlformats.org/officeDocument/2006/relationships/hyperlink" Target="http://www.riss.kr/link?id=S15663" TargetMode="External"/><Relationship Id="rId323" Type="http://schemas.openxmlformats.org/officeDocument/2006/relationships/hyperlink" Target="http://www.riss.kr/link?id=S16084" TargetMode="External"/><Relationship Id="rId530" Type="http://schemas.openxmlformats.org/officeDocument/2006/relationships/hyperlink" Target="http://www.riss.kr/link?id=S97869" TargetMode="External"/><Relationship Id="rId768" Type="http://schemas.openxmlformats.org/officeDocument/2006/relationships/hyperlink" Target="http://www.riss.kr/link?id=S11621370" TargetMode="External"/><Relationship Id="rId975" Type="http://schemas.openxmlformats.org/officeDocument/2006/relationships/hyperlink" Target="http://www.riss.kr/link?id=S19811" TargetMode="External"/><Relationship Id="rId20" Type="http://schemas.openxmlformats.org/officeDocument/2006/relationships/hyperlink" Target="http://www.riss.kr/link?id=S90021094" TargetMode="External"/><Relationship Id="rId628" Type="http://schemas.openxmlformats.org/officeDocument/2006/relationships/hyperlink" Target="http://www.riss.kr/link?id=S404213" TargetMode="External"/><Relationship Id="rId835" Type="http://schemas.openxmlformats.org/officeDocument/2006/relationships/hyperlink" Target="http://www.riss.kr/link?id=S111037" TargetMode="External"/><Relationship Id="rId267" Type="http://schemas.openxmlformats.org/officeDocument/2006/relationships/hyperlink" Target="http://www.riss.kr/link?id=S11644049" TargetMode="External"/><Relationship Id="rId474" Type="http://schemas.openxmlformats.org/officeDocument/2006/relationships/hyperlink" Target="http://www.riss.kr/link?id=S24599" TargetMode="External"/><Relationship Id="rId127" Type="http://schemas.openxmlformats.org/officeDocument/2006/relationships/hyperlink" Target="http://www.riss.kr/link?id=S15648" TargetMode="External"/><Relationship Id="rId681" Type="http://schemas.openxmlformats.org/officeDocument/2006/relationships/hyperlink" Target="http://www.riss.kr/link?id=S115388" TargetMode="External"/><Relationship Id="rId779" Type="http://schemas.openxmlformats.org/officeDocument/2006/relationships/hyperlink" Target="http://www.riss.kr/link?id=S29114" TargetMode="External"/><Relationship Id="rId902" Type="http://schemas.openxmlformats.org/officeDocument/2006/relationships/hyperlink" Target="http://www.riss.kr/link?id=S114746" TargetMode="External"/><Relationship Id="rId31" Type="http://schemas.openxmlformats.org/officeDocument/2006/relationships/hyperlink" Target="http://www.riss.kr/link?id=S29073" TargetMode="External"/><Relationship Id="rId334" Type="http://schemas.openxmlformats.org/officeDocument/2006/relationships/hyperlink" Target="http://www.riss.kr/link?id=S402922" TargetMode="External"/><Relationship Id="rId541" Type="http://schemas.openxmlformats.org/officeDocument/2006/relationships/hyperlink" Target="http://www.riss.kr/link?id=S31025348" TargetMode="External"/><Relationship Id="rId639" Type="http://schemas.openxmlformats.org/officeDocument/2006/relationships/hyperlink" Target="http://www.riss.kr/link?id=S402427" TargetMode="External"/><Relationship Id="rId180" Type="http://schemas.openxmlformats.org/officeDocument/2006/relationships/hyperlink" Target="http://www.riss.kr/link?id=S16713" TargetMode="External"/><Relationship Id="rId278" Type="http://schemas.openxmlformats.org/officeDocument/2006/relationships/hyperlink" Target="http://www.riss.kr/link?id=S31027196" TargetMode="External"/><Relationship Id="rId401" Type="http://schemas.openxmlformats.org/officeDocument/2006/relationships/hyperlink" Target="http://www.riss.kr/link?id=S31000238" TargetMode="External"/><Relationship Id="rId846" Type="http://schemas.openxmlformats.org/officeDocument/2006/relationships/hyperlink" Target="http://www.riss.kr/link?id=S417589" TargetMode="External"/><Relationship Id="rId485" Type="http://schemas.openxmlformats.org/officeDocument/2006/relationships/hyperlink" Target="http://www.riss.kr/link?id=S28375" TargetMode="External"/><Relationship Id="rId692" Type="http://schemas.openxmlformats.org/officeDocument/2006/relationships/hyperlink" Target="http://www.riss.kr/link?id=S405210" TargetMode="External"/><Relationship Id="rId706" Type="http://schemas.openxmlformats.org/officeDocument/2006/relationships/hyperlink" Target="http://www.riss.kr/link?id=S415882" TargetMode="External"/><Relationship Id="rId913" Type="http://schemas.openxmlformats.org/officeDocument/2006/relationships/hyperlink" Target="http://www.riss.kr/link?id=S61475" TargetMode="External"/><Relationship Id="rId42" Type="http://schemas.openxmlformats.org/officeDocument/2006/relationships/hyperlink" Target="http://www.riss.kr/link?id=S11587025" TargetMode="External"/><Relationship Id="rId138" Type="http://schemas.openxmlformats.org/officeDocument/2006/relationships/hyperlink" Target="http://www.riss.kr/link?id=S24641" TargetMode="External"/><Relationship Id="rId345" Type="http://schemas.openxmlformats.org/officeDocument/2006/relationships/hyperlink" Target="http://www.riss.kr/link?id=S20010946" TargetMode="External"/><Relationship Id="rId552" Type="http://schemas.openxmlformats.org/officeDocument/2006/relationships/hyperlink" Target="http://www.riss.kr/link?id=S16616" TargetMode="External"/><Relationship Id="rId191" Type="http://schemas.openxmlformats.org/officeDocument/2006/relationships/hyperlink" Target="http://www.riss.kr/link?id=S13454" TargetMode="External"/><Relationship Id="rId205" Type="http://schemas.openxmlformats.org/officeDocument/2006/relationships/hyperlink" Target="http://www.riss.kr/link?id=S20411" TargetMode="External"/><Relationship Id="rId412" Type="http://schemas.openxmlformats.org/officeDocument/2006/relationships/hyperlink" Target="http://www.riss.kr/link?id=S15019" TargetMode="External"/><Relationship Id="rId857" Type="http://schemas.openxmlformats.org/officeDocument/2006/relationships/hyperlink" Target="http://www.riss.kr/link?id=S35840" TargetMode="External"/><Relationship Id="rId289" Type="http://schemas.openxmlformats.org/officeDocument/2006/relationships/hyperlink" Target="http://www.riss.kr/link?id=S90008279" TargetMode="External"/><Relationship Id="rId496" Type="http://schemas.openxmlformats.org/officeDocument/2006/relationships/hyperlink" Target="http://www.riss.kr/link?id=S16890" TargetMode="External"/><Relationship Id="rId717" Type="http://schemas.openxmlformats.org/officeDocument/2006/relationships/hyperlink" Target="http://www.riss.kr/link?id=S48354" TargetMode="External"/><Relationship Id="rId924" Type="http://schemas.openxmlformats.org/officeDocument/2006/relationships/hyperlink" Target="http://www.riss.kr/link?id=S91440" TargetMode="External"/><Relationship Id="rId53" Type="http://schemas.openxmlformats.org/officeDocument/2006/relationships/hyperlink" Target="http://www.riss.kr/link?id=S11640488" TargetMode="External"/><Relationship Id="rId149" Type="http://schemas.openxmlformats.org/officeDocument/2006/relationships/hyperlink" Target="http://www.riss.kr/link?id=S17550" TargetMode="External"/><Relationship Id="rId356" Type="http://schemas.openxmlformats.org/officeDocument/2006/relationships/hyperlink" Target="http://www.riss.kr/link?id=S415749" TargetMode="External"/><Relationship Id="rId563" Type="http://schemas.openxmlformats.org/officeDocument/2006/relationships/hyperlink" Target="http://www.riss.kr/link?id=S20010431" TargetMode="External"/><Relationship Id="rId770" Type="http://schemas.openxmlformats.org/officeDocument/2006/relationships/hyperlink" Target="http://www.riss.kr/link?id=S115748" TargetMode="External"/><Relationship Id="rId216" Type="http://schemas.openxmlformats.org/officeDocument/2006/relationships/hyperlink" Target="http://www.riss.kr/link?id=S412775" TargetMode="External"/><Relationship Id="rId423" Type="http://schemas.openxmlformats.org/officeDocument/2006/relationships/hyperlink" Target="http://www.riss.kr/link?id=S20557" TargetMode="External"/><Relationship Id="rId868" Type="http://schemas.openxmlformats.org/officeDocument/2006/relationships/hyperlink" Target="http://www.riss.kr/link?id=S49427" TargetMode="External"/><Relationship Id="rId630" Type="http://schemas.openxmlformats.org/officeDocument/2006/relationships/hyperlink" Target="http://www.riss.kr/link?id=S410682" TargetMode="External"/><Relationship Id="rId728" Type="http://schemas.openxmlformats.org/officeDocument/2006/relationships/hyperlink" Target="http://www.riss.kr/link?id=S405999" TargetMode="External"/><Relationship Id="rId935" Type="http://schemas.openxmlformats.org/officeDocument/2006/relationships/hyperlink" Target="http://www.riss.kr/link?id=S20066775" TargetMode="External"/><Relationship Id="rId64" Type="http://schemas.openxmlformats.org/officeDocument/2006/relationships/hyperlink" Target="http://www.riss.kr/link?id=S29226" TargetMode="External"/><Relationship Id="rId367" Type="http://schemas.openxmlformats.org/officeDocument/2006/relationships/hyperlink" Target="http://www.riss.kr/link?id=S96424" TargetMode="External"/><Relationship Id="rId574" Type="http://schemas.openxmlformats.org/officeDocument/2006/relationships/hyperlink" Target="http://www.riss.kr/link?id=S28226" TargetMode="External"/><Relationship Id="rId227" Type="http://schemas.openxmlformats.org/officeDocument/2006/relationships/hyperlink" Target="http://www.riss.kr/link?id=S16196" TargetMode="External"/><Relationship Id="rId781" Type="http://schemas.openxmlformats.org/officeDocument/2006/relationships/hyperlink" Target="http://www.riss.kr/link?id=S11581308" TargetMode="External"/><Relationship Id="rId879" Type="http://schemas.openxmlformats.org/officeDocument/2006/relationships/hyperlink" Target="http://www.riss.kr/link?id=S417050" TargetMode="External"/><Relationship Id="rId434" Type="http://schemas.openxmlformats.org/officeDocument/2006/relationships/hyperlink" Target="http://www.riss.kr/link?id=S16058" TargetMode="External"/><Relationship Id="rId641" Type="http://schemas.openxmlformats.org/officeDocument/2006/relationships/hyperlink" Target="http://www.riss.kr/link?id=S16998" TargetMode="External"/><Relationship Id="rId739" Type="http://schemas.openxmlformats.org/officeDocument/2006/relationships/hyperlink" Target="http://www.riss.kr/link?id=S414717" TargetMode="External"/><Relationship Id="rId280" Type="http://schemas.openxmlformats.org/officeDocument/2006/relationships/hyperlink" Target="http://www.riss.kr/link?id=S31031955" TargetMode="External"/><Relationship Id="rId501" Type="http://schemas.openxmlformats.org/officeDocument/2006/relationships/hyperlink" Target="http://www.riss.kr/link?id=S416408" TargetMode="External"/><Relationship Id="rId946" Type="http://schemas.openxmlformats.org/officeDocument/2006/relationships/hyperlink" Target="http://www.riss.kr/link?id=S63540" TargetMode="External"/><Relationship Id="rId75" Type="http://schemas.openxmlformats.org/officeDocument/2006/relationships/hyperlink" Target="http://www.riss.kr/link?id=S410895" TargetMode="External"/><Relationship Id="rId140" Type="http://schemas.openxmlformats.org/officeDocument/2006/relationships/hyperlink" Target="http://www.riss.kr/link?id=S13442" TargetMode="External"/><Relationship Id="rId378" Type="http://schemas.openxmlformats.org/officeDocument/2006/relationships/hyperlink" Target="http://www.riss.kr/link?id=S16065" TargetMode="External"/><Relationship Id="rId585" Type="http://schemas.openxmlformats.org/officeDocument/2006/relationships/hyperlink" Target="http://www.riss.kr/link?id=S411588" TargetMode="External"/><Relationship Id="rId792" Type="http://schemas.openxmlformats.org/officeDocument/2006/relationships/hyperlink" Target="http://www.riss.kr/link?id=S48720" TargetMode="External"/><Relationship Id="rId806" Type="http://schemas.openxmlformats.org/officeDocument/2006/relationships/hyperlink" Target="http://www.riss.kr/link?id=S68575" TargetMode="External"/><Relationship Id="rId6" Type="http://schemas.openxmlformats.org/officeDocument/2006/relationships/hyperlink" Target="http://www.riss.kr/link?id=S11597824" TargetMode="External"/><Relationship Id="rId238" Type="http://schemas.openxmlformats.org/officeDocument/2006/relationships/hyperlink" Target="http://www.riss.kr/link?id=S16688" TargetMode="External"/><Relationship Id="rId445" Type="http://schemas.openxmlformats.org/officeDocument/2006/relationships/hyperlink" Target="http://www.riss.kr/link?id=S6854" TargetMode="External"/><Relationship Id="rId652" Type="http://schemas.openxmlformats.org/officeDocument/2006/relationships/hyperlink" Target="http://www.riss.kr/link?id=S143758" TargetMode="External"/><Relationship Id="rId291" Type="http://schemas.openxmlformats.org/officeDocument/2006/relationships/hyperlink" Target="http://www.riss.kr/link?id=S21281" TargetMode="External"/><Relationship Id="rId305" Type="http://schemas.openxmlformats.org/officeDocument/2006/relationships/hyperlink" Target="http://www.riss.kr/link?id=S416811" TargetMode="External"/><Relationship Id="rId512" Type="http://schemas.openxmlformats.org/officeDocument/2006/relationships/hyperlink" Target="http://www.riss.kr/link?id=S17464" TargetMode="External"/><Relationship Id="rId957" Type="http://schemas.openxmlformats.org/officeDocument/2006/relationships/hyperlink" Target="http://www.riss.kr/link?id=S104203" TargetMode="External"/><Relationship Id="rId86" Type="http://schemas.openxmlformats.org/officeDocument/2006/relationships/hyperlink" Target="http://www.riss.kr/link?id=S20703" TargetMode="External"/><Relationship Id="rId151" Type="http://schemas.openxmlformats.org/officeDocument/2006/relationships/hyperlink" Target="http://www.riss.kr/link?id=S31014477" TargetMode="External"/><Relationship Id="rId389" Type="http://schemas.openxmlformats.org/officeDocument/2006/relationships/hyperlink" Target="http://www.riss.kr/link?id=S90023683" TargetMode="External"/><Relationship Id="rId596" Type="http://schemas.openxmlformats.org/officeDocument/2006/relationships/hyperlink" Target="http://www.riss.kr/link?id=S13527" TargetMode="External"/><Relationship Id="rId817" Type="http://schemas.openxmlformats.org/officeDocument/2006/relationships/hyperlink" Target="http://www.riss.kr/link?id=S60981" TargetMode="External"/><Relationship Id="rId249" Type="http://schemas.openxmlformats.org/officeDocument/2006/relationships/hyperlink" Target="http://www.riss.kr/link?id=S11574592" TargetMode="External"/><Relationship Id="rId456" Type="http://schemas.openxmlformats.org/officeDocument/2006/relationships/hyperlink" Target="http://www.riss.kr/link?id=S410763" TargetMode="External"/><Relationship Id="rId663" Type="http://schemas.openxmlformats.org/officeDocument/2006/relationships/hyperlink" Target="http://www.riss.kr/link?id=S18795" TargetMode="External"/><Relationship Id="rId870" Type="http://schemas.openxmlformats.org/officeDocument/2006/relationships/hyperlink" Target="http://www.riss.kr/link?id=S31000872" TargetMode="External"/><Relationship Id="rId13" Type="http://schemas.openxmlformats.org/officeDocument/2006/relationships/hyperlink" Target="http://www.riss.kr/link?id=S30006959" TargetMode="External"/><Relationship Id="rId109" Type="http://schemas.openxmlformats.org/officeDocument/2006/relationships/hyperlink" Target="http://www.riss.kr/link?id=S417040" TargetMode="External"/><Relationship Id="rId316" Type="http://schemas.openxmlformats.org/officeDocument/2006/relationships/hyperlink" Target="http://www.riss.kr/link?id=S28130" TargetMode="External"/><Relationship Id="rId523" Type="http://schemas.openxmlformats.org/officeDocument/2006/relationships/hyperlink" Target="http://www.riss.kr/link?id=S15584" TargetMode="External"/><Relationship Id="rId968" Type="http://schemas.openxmlformats.org/officeDocument/2006/relationships/hyperlink" Target="http://www.riss.kr/link?id=S24367" TargetMode="External"/><Relationship Id="rId97" Type="http://schemas.openxmlformats.org/officeDocument/2006/relationships/hyperlink" Target="http://www.riss.kr/link?id=S13000" TargetMode="External"/><Relationship Id="rId730" Type="http://schemas.openxmlformats.org/officeDocument/2006/relationships/hyperlink" Target="http://www.riss.kr/link?id=S86061" TargetMode="External"/><Relationship Id="rId828" Type="http://schemas.openxmlformats.org/officeDocument/2006/relationships/hyperlink" Target="http://www.riss.kr/link?id=S19817" TargetMode="External"/><Relationship Id="rId162" Type="http://schemas.openxmlformats.org/officeDocument/2006/relationships/hyperlink" Target="http://www.riss.kr/link?id=S11575588" TargetMode="External"/><Relationship Id="rId467" Type="http://schemas.openxmlformats.org/officeDocument/2006/relationships/hyperlink" Target="http://www.riss.kr/link?id=S20402" TargetMode="External"/><Relationship Id="rId674" Type="http://schemas.openxmlformats.org/officeDocument/2006/relationships/hyperlink" Target="http://www.riss.kr/link?id=S417596" TargetMode="External"/><Relationship Id="rId881" Type="http://schemas.openxmlformats.org/officeDocument/2006/relationships/hyperlink" Target="http://www.riss.kr/link?id=S36930" TargetMode="External"/><Relationship Id="rId979" Type="http://schemas.openxmlformats.org/officeDocument/2006/relationships/vmlDrawing" Target="../drawings/vmlDrawing3.vml"/><Relationship Id="rId24" Type="http://schemas.openxmlformats.org/officeDocument/2006/relationships/hyperlink" Target="http://www.riss.kr/link?id=S143756" TargetMode="External"/><Relationship Id="rId327" Type="http://schemas.openxmlformats.org/officeDocument/2006/relationships/hyperlink" Target="http://www.riss.kr/link?id=S24546" TargetMode="External"/><Relationship Id="rId534" Type="http://schemas.openxmlformats.org/officeDocument/2006/relationships/hyperlink" Target="http://www.riss.kr/link?id=S48092" TargetMode="External"/><Relationship Id="rId741" Type="http://schemas.openxmlformats.org/officeDocument/2006/relationships/hyperlink" Target="http://www.riss.kr/link?id=S15537" TargetMode="External"/><Relationship Id="rId839" Type="http://schemas.openxmlformats.org/officeDocument/2006/relationships/hyperlink" Target="http://www.riss.kr/link?id=S93244" TargetMode="External"/><Relationship Id="rId173" Type="http://schemas.openxmlformats.org/officeDocument/2006/relationships/hyperlink" Target="http://www.riss.kr/link?id=S11575509" TargetMode="External"/><Relationship Id="rId380" Type="http://schemas.openxmlformats.org/officeDocument/2006/relationships/hyperlink" Target="http://www.riss.kr/link?id=S13020" TargetMode="External"/><Relationship Id="rId601" Type="http://schemas.openxmlformats.org/officeDocument/2006/relationships/hyperlink" Target="http://www.riss.kr/link?id=S30006165" TargetMode="External"/><Relationship Id="rId240" Type="http://schemas.openxmlformats.org/officeDocument/2006/relationships/hyperlink" Target="http://www.riss.kr/link?id=S115378" TargetMode="External"/><Relationship Id="rId478" Type="http://schemas.openxmlformats.org/officeDocument/2006/relationships/hyperlink" Target="http://www.riss.kr/link?id=S115899" TargetMode="External"/><Relationship Id="rId685" Type="http://schemas.openxmlformats.org/officeDocument/2006/relationships/hyperlink" Target="http://www.riss.kr/link?id=S85659" TargetMode="External"/><Relationship Id="rId892" Type="http://schemas.openxmlformats.org/officeDocument/2006/relationships/hyperlink" Target="http://www.riss.kr/link?id=S416936" TargetMode="External"/><Relationship Id="rId906" Type="http://schemas.openxmlformats.org/officeDocument/2006/relationships/hyperlink" Target="http://www.riss.kr/link?id=S61535" TargetMode="External"/><Relationship Id="rId35" Type="http://schemas.openxmlformats.org/officeDocument/2006/relationships/hyperlink" Target="http://www.riss.kr/link?id=S13692" TargetMode="External"/><Relationship Id="rId100" Type="http://schemas.openxmlformats.org/officeDocument/2006/relationships/hyperlink" Target="http://www.riss.kr/link?id=S12338" TargetMode="External"/><Relationship Id="rId338" Type="http://schemas.openxmlformats.org/officeDocument/2006/relationships/hyperlink" Target="http://www.riss.kr/link?id=S21308" TargetMode="External"/><Relationship Id="rId545" Type="http://schemas.openxmlformats.org/officeDocument/2006/relationships/hyperlink" Target="http://www.riss.kr/link?id=S417089" TargetMode="External"/><Relationship Id="rId752" Type="http://schemas.openxmlformats.org/officeDocument/2006/relationships/hyperlink" Target="http://www.riss.kr/link?id=S411651" TargetMode="External"/><Relationship Id="rId184" Type="http://schemas.openxmlformats.org/officeDocument/2006/relationships/hyperlink" Target="http://www.riss.kr/link?id=S405708" TargetMode="External"/><Relationship Id="rId391" Type="http://schemas.openxmlformats.org/officeDocument/2006/relationships/hyperlink" Target="http://www.riss.kr/link?id=S28117" TargetMode="External"/><Relationship Id="rId405" Type="http://schemas.openxmlformats.org/officeDocument/2006/relationships/hyperlink" Target="http://www.riss.kr/link?id=S17285" TargetMode="External"/><Relationship Id="rId612" Type="http://schemas.openxmlformats.org/officeDocument/2006/relationships/hyperlink" Target="http://www.riss.kr/link?id=S31026610" TargetMode="External"/><Relationship Id="rId251" Type="http://schemas.openxmlformats.org/officeDocument/2006/relationships/hyperlink" Target="http://www.riss.kr/link?id=S17525" TargetMode="External"/><Relationship Id="rId489" Type="http://schemas.openxmlformats.org/officeDocument/2006/relationships/hyperlink" Target="http://www.riss.kr/link?id=S15591" TargetMode="External"/><Relationship Id="rId696" Type="http://schemas.openxmlformats.org/officeDocument/2006/relationships/hyperlink" Target="http://www.riss.kr/link?id=S11645053" TargetMode="External"/><Relationship Id="rId917" Type="http://schemas.openxmlformats.org/officeDocument/2006/relationships/hyperlink" Target="http://www.riss.kr/link?id=S49446" TargetMode="External"/><Relationship Id="rId46" Type="http://schemas.openxmlformats.org/officeDocument/2006/relationships/hyperlink" Target="http://www.riss.kr/link?id=S20012637" TargetMode="External"/><Relationship Id="rId349" Type="http://schemas.openxmlformats.org/officeDocument/2006/relationships/hyperlink" Target="http://www.riss.kr/link?id=S17509" TargetMode="External"/><Relationship Id="rId556" Type="http://schemas.openxmlformats.org/officeDocument/2006/relationships/hyperlink" Target="http://www.riss.kr/link?id=S414260" TargetMode="External"/><Relationship Id="rId763" Type="http://schemas.openxmlformats.org/officeDocument/2006/relationships/hyperlink" Target="http://www.riss.kr/link?id=S21137" TargetMode="External"/><Relationship Id="rId111" Type="http://schemas.openxmlformats.org/officeDocument/2006/relationships/hyperlink" Target="http://www.riss.kr/link?id=S16973" TargetMode="External"/><Relationship Id="rId195" Type="http://schemas.openxmlformats.org/officeDocument/2006/relationships/hyperlink" Target="http://www.riss.kr/link?id=S14891" TargetMode="External"/><Relationship Id="rId209" Type="http://schemas.openxmlformats.org/officeDocument/2006/relationships/hyperlink" Target="http://www.riss.kr/link?id=S28951" TargetMode="External"/><Relationship Id="rId416" Type="http://schemas.openxmlformats.org/officeDocument/2006/relationships/hyperlink" Target="http://www.riss.kr/link?id=S85287" TargetMode="External"/><Relationship Id="rId970" Type="http://schemas.openxmlformats.org/officeDocument/2006/relationships/hyperlink" Target="http://www.riss.kr/link?id=S20069318" TargetMode="External"/><Relationship Id="rId623" Type="http://schemas.openxmlformats.org/officeDocument/2006/relationships/hyperlink" Target="http://www.riss.kr/link?id=S12821" TargetMode="External"/><Relationship Id="rId830" Type="http://schemas.openxmlformats.org/officeDocument/2006/relationships/hyperlink" Target="http://www.riss.kr/link?id=S48399" TargetMode="External"/><Relationship Id="rId928" Type="http://schemas.openxmlformats.org/officeDocument/2006/relationships/hyperlink" Target="http://www.riss.kr/link?id=S60986" TargetMode="External"/><Relationship Id="rId57" Type="http://schemas.openxmlformats.org/officeDocument/2006/relationships/hyperlink" Target="http://www.riss.kr/link?id=S31000997" TargetMode="External"/><Relationship Id="rId262" Type="http://schemas.openxmlformats.org/officeDocument/2006/relationships/hyperlink" Target="http://www.riss.kr/link?id=S30006261" TargetMode="External"/><Relationship Id="rId567" Type="http://schemas.openxmlformats.org/officeDocument/2006/relationships/hyperlink" Target="http://www.riss.kr/link?id=S403127" TargetMode="External"/><Relationship Id="rId122" Type="http://schemas.openxmlformats.org/officeDocument/2006/relationships/hyperlink" Target="http://www.riss.kr/link?id=S416801" TargetMode="External"/><Relationship Id="rId774" Type="http://schemas.openxmlformats.org/officeDocument/2006/relationships/hyperlink" Target="http://www.riss.kr/link?id=S24498" TargetMode="External"/><Relationship Id="rId427" Type="http://schemas.openxmlformats.org/officeDocument/2006/relationships/hyperlink" Target="http://www.riss.kr/link?id=S403288" TargetMode="External"/><Relationship Id="rId634" Type="http://schemas.openxmlformats.org/officeDocument/2006/relationships/hyperlink" Target="http://www.riss.kr/link?id=S31002774" TargetMode="External"/><Relationship Id="rId841" Type="http://schemas.openxmlformats.org/officeDocument/2006/relationships/hyperlink" Target="http://www.riss.kr/link?id=S60896" TargetMode="External"/><Relationship Id="rId273" Type="http://schemas.openxmlformats.org/officeDocument/2006/relationships/hyperlink" Target="http://www.riss.kr/link?id=S14551" TargetMode="External"/><Relationship Id="rId480" Type="http://schemas.openxmlformats.org/officeDocument/2006/relationships/hyperlink" Target="http://www.riss.kr/link?id=S18154" TargetMode="External"/><Relationship Id="rId701" Type="http://schemas.openxmlformats.org/officeDocument/2006/relationships/hyperlink" Target="http://www.riss.kr/link?id=S11574145" TargetMode="External"/><Relationship Id="rId939" Type="http://schemas.openxmlformats.org/officeDocument/2006/relationships/hyperlink" Target="http://www.riss.kr/link?id=S80251" TargetMode="External"/><Relationship Id="rId68" Type="http://schemas.openxmlformats.org/officeDocument/2006/relationships/hyperlink" Target="http://www.riss.kr/link?id=S17573" TargetMode="External"/><Relationship Id="rId133" Type="http://schemas.openxmlformats.org/officeDocument/2006/relationships/hyperlink" Target="http://www.riss.kr/link?id=S16729" TargetMode="External"/><Relationship Id="rId340" Type="http://schemas.openxmlformats.org/officeDocument/2006/relationships/hyperlink" Target="http://www.riss.kr/link?id=S15021" TargetMode="External"/><Relationship Id="rId578" Type="http://schemas.openxmlformats.org/officeDocument/2006/relationships/hyperlink" Target="http://www.riss.kr/link?id=S5799" TargetMode="External"/><Relationship Id="rId785" Type="http://schemas.openxmlformats.org/officeDocument/2006/relationships/hyperlink" Target="http://www.riss.kr/link?id=S20095138" TargetMode="External"/><Relationship Id="rId200" Type="http://schemas.openxmlformats.org/officeDocument/2006/relationships/hyperlink" Target="http://www.riss.kr/link?id=S405428" TargetMode="External"/><Relationship Id="rId438" Type="http://schemas.openxmlformats.org/officeDocument/2006/relationships/hyperlink" Target="http://www.riss.kr/link?id=S48296" TargetMode="External"/><Relationship Id="rId645" Type="http://schemas.openxmlformats.org/officeDocument/2006/relationships/hyperlink" Target="http://www.riss.kr/link?id=S408997" TargetMode="External"/><Relationship Id="rId852" Type="http://schemas.openxmlformats.org/officeDocument/2006/relationships/hyperlink" Target="http://www.riss.kr/link?id=S78202" TargetMode="External"/><Relationship Id="rId284" Type="http://schemas.openxmlformats.org/officeDocument/2006/relationships/hyperlink" Target="http://www.riss.kr/link?id=S31019599" TargetMode="External"/><Relationship Id="rId491" Type="http://schemas.openxmlformats.org/officeDocument/2006/relationships/hyperlink" Target="http://www.riss.kr/link?id=S50057" TargetMode="External"/><Relationship Id="rId505" Type="http://schemas.openxmlformats.org/officeDocument/2006/relationships/hyperlink" Target="http://www.riss.kr/link?id=S22129" TargetMode="External"/><Relationship Id="rId712" Type="http://schemas.openxmlformats.org/officeDocument/2006/relationships/hyperlink" Target="http://www.riss.kr/link?id=S17168" TargetMode="External"/><Relationship Id="rId79" Type="http://schemas.openxmlformats.org/officeDocument/2006/relationships/hyperlink" Target="http://www.riss.kr/link?id=S16996" TargetMode="External"/><Relationship Id="rId144" Type="http://schemas.openxmlformats.org/officeDocument/2006/relationships/hyperlink" Target="http://www.riss.kr/link?id=S17067" TargetMode="External"/><Relationship Id="rId589" Type="http://schemas.openxmlformats.org/officeDocument/2006/relationships/hyperlink" Target="http://www.riss.kr/link?id=S414990" TargetMode="External"/><Relationship Id="rId796" Type="http://schemas.openxmlformats.org/officeDocument/2006/relationships/hyperlink" Target="http://www.riss.kr/link?id=S108985" TargetMode="External"/><Relationship Id="rId351" Type="http://schemas.openxmlformats.org/officeDocument/2006/relationships/hyperlink" Target="http://www.riss.kr/link?id=S404893" TargetMode="External"/><Relationship Id="rId449" Type="http://schemas.openxmlformats.org/officeDocument/2006/relationships/hyperlink" Target="http://www.riss.kr/link?id=S14961" TargetMode="External"/><Relationship Id="rId656" Type="http://schemas.openxmlformats.org/officeDocument/2006/relationships/hyperlink" Target="http://www.riss.kr/link?id=S103626" TargetMode="External"/><Relationship Id="rId863" Type="http://schemas.openxmlformats.org/officeDocument/2006/relationships/hyperlink" Target="http://www.riss.kr/link?id=S36958" TargetMode="External"/><Relationship Id="rId211" Type="http://schemas.openxmlformats.org/officeDocument/2006/relationships/hyperlink" Target="http://www.riss.kr/link?id=S15630" TargetMode="External"/><Relationship Id="rId295" Type="http://schemas.openxmlformats.org/officeDocument/2006/relationships/hyperlink" Target="http://www.riss.kr/link?id=S410059" TargetMode="External"/><Relationship Id="rId309" Type="http://schemas.openxmlformats.org/officeDocument/2006/relationships/hyperlink" Target="http://www.riss.kr/link?id=S15605" TargetMode="External"/><Relationship Id="rId516" Type="http://schemas.openxmlformats.org/officeDocument/2006/relationships/hyperlink" Target="http://www.riss.kr/link?id=S20010548" TargetMode="External"/><Relationship Id="rId723" Type="http://schemas.openxmlformats.org/officeDocument/2006/relationships/hyperlink" Target="http://www.riss.kr/link?id=S17539" TargetMode="External"/><Relationship Id="rId930" Type="http://schemas.openxmlformats.org/officeDocument/2006/relationships/hyperlink" Target="http://www.riss.kr/link?id=S416813" TargetMode="External"/><Relationship Id="rId155" Type="http://schemas.openxmlformats.org/officeDocument/2006/relationships/hyperlink" Target="http://www.riss.kr/link?id=S19535" TargetMode="External"/><Relationship Id="rId362" Type="http://schemas.openxmlformats.org/officeDocument/2006/relationships/hyperlink" Target="http://www.riss.kr/link?id=S13168" TargetMode="External"/><Relationship Id="rId222" Type="http://schemas.openxmlformats.org/officeDocument/2006/relationships/hyperlink" Target="http://www.riss.kr/link?id=S11575031" TargetMode="External"/><Relationship Id="rId667" Type="http://schemas.openxmlformats.org/officeDocument/2006/relationships/hyperlink" Target="http://www.riss.kr/link?id=S20067228" TargetMode="External"/><Relationship Id="rId874" Type="http://schemas.openxmlformats.org/officeDocument/2006/relationships/hyperlink" Target="http://www.riss.kr/link?id=S104199" TargetMode="External"/><Relationship Id="rId17" Type="http://schemas.openxmlformats.org/officeDocument/2006/relationships/hyperlink" Target="http://www.riss.kr/link?id=S20035778" TargetMode="External"/><Relationship Id="rId527" Type="http://schemas.openxmlformats.org/officeDocument/2006/relationships/hyperlink" Target="http://www.riss.kr/link?id=S405098" TargetMode="External"/><Relationship Id="rId734" Type="http://schemas.openxmlformats.org/officeDocument/2006/relationships/hyperlink" Target="http://www.riss.kr/link?id=S16656" TargetMode="External"/><Relationship Id="rId941" Type="http://schemas.openxmlformats.org/officeDocument/2006/relationships/hyperlink" Target="http://www.riss.kr/link?id=S27656" TargetMode="External"/><Relationship Id="rId70" Type="http://schemas.openxmlformats.org/officeDocument/2006/relationships/hyperlink" Target="http://www.riss.kr/link?id=S104401" TargetMode="External"/><Relationship Id="rId166" Type="http://schemas.openxmlformats.org/officeDocument/2006/relationships/hyperlink" Target="http://www.riss.kr/link?id=S57882" TargetMode="External"/><Relationship Id="rId373" Type="http://schemas.openxmlformats.org/officeDocument/2006/relationships/hyperlink" Target="http://www.riss.kr/link?id=S20212" TargetMode="External"/><Relationship Id="rId580" Type="http://schemas.openxmlformats.org/officeDocument/2006/relationships/hyperlink" Target="http://www.riss.kr/link?id=S13269" TargetMode="External"/><Relationship Id="rId801" Type="http://schemas.openxmlformats.org/officeDocument/2006/relationships/hyperlink" Target="http://www.riss.kr/link?id=S87980" TargetMode="External"/><Relationship Id="rId1" Type="http://schemas.openxmlformats.org/officeDocument/2006/relationships/hyperlink" Target="http://www.riss.kr/link?id=S19593" TargetMode="External"/><Relationship Id="rId233" Type="http://schemas.openxmlformats.org/officeDocument/2006/relationships/hyperlink" Target="http://www.riss.kr/link?id=S11574028" TargetMode="External"/><Relationship Id="rId440" Type="http://schemas.openxmlformats.org/officeDocument/2006/relationships/hyperlink" Target="http://www.riss.kr/link?id=S16049" TargetMode="External"/><Relationship Id="rId678" Type="http://schemas.openxmlformats.org/officeDocument/2006/relationships/hyperlink" Target="http://www.riss.kr/link?id=S402361" TargetMode="External"/><Relationship Id="rId885" Type="http://schemas.openxmlformats.org/officeDocument/2006/relationships/hyperlink" Target="http://www.riss.kr/link?id=S80194" TargetMode="External"/><Relationship Id="rId28" Type="http://schemas.openxmlformats.org/officeDocument/2006/relationships/hyperlink" Target="http://www.riss.kr/link?id=S414099" TargetMode="External"/><Relationship Id="rId300" Type="http://schemas.openxmlformats.org/officeDocument/2006/relationships/hyperlink" Target="http://www.riss.kr/link?id=S28236" TargetMode="External"/><Relationship Id="rId538" Type="http://schemas.openxmlformats.org/officeDocument/2006/relationships/hyperlink" Target="http://www.riss.kr/link?id=S49062" TargetMode="External"/><Relationship Id="rId745" Type="http://schemas.openxmlformats.org/officeDocument/2006/relationships/hyperlink" Target="http://www.riss.kr/link?id=S12296" TargetMode="External"/><Relationship Id="rId952" Type="http://schemas.openxmlformats.org/officeDocument/2006/relationships/hyperlink" Target="http://www.riss.kr/link?id=S104124" TargetMode="External"/><Relationship Id="rId81" Type="http://schemas.openxmlformats.org/officeDocument/2006/relationships/hyperlink" Target="http://www.riss.kr/link?id=S115372" TargetMode="External"/><Relationship Id="rId177" Type="http://schemas.openxmlformats.org/officeDocument/2006/relationships/hyperlink" Target="http://www.riss.kr/link?id=S14879" TargetMode="External"/><Relationship Id="rId384" Type="http://schemas.openxmlformats.org/officeDocument/2006/relationships/hyperlink" Target="http://www.riss.kr/link?id=S103340" TargetMode="External"/><Relationship Id="rId591" Type="http://schemas.openxmlformats.org/officeDocument/2006/relationships/hyperlink" Target="http://www.riss.kr/link?id=S5090" TargetMode="External"/><Relationship Id="rId605" Type="http://schemas.openxmlformats.org/officeDocument/2006/relationships/hyperlink" Target="http://www.riss.kr/link?id=S31000857" TargetMode="External"/><Relationship Id="rId812" Type="http://schemas.openxmlformats.org/officeDocument/2006/relationships/hyperlink" Target="http://www.riss.kr/link?id=S41124" TargetMode="External"/><Relationship Id="rId244" Type="http://schemas.openxmlformats.org/officeDocument/2006/relationships/hyperlink" Target="http://www.riss.kr/link?id=S31016059" TargetMode="External"/><Relationship Id="rId689" Type="http://schemas.openxmlformats.org/officeDocument/2006/relationships/hyperlink" Target="http://www.riss.kr/link?id=S115390" TargetMode="External"/><Relationship Id="rId896" Type="http://schemas.openxmlformats.org/officeDocument/2006/relationships/hyperlink" Target="http://www.riss.kr/link?id=S60895" TargetMode="External"/><Relationship Id="rId39" Type="http://schemas.openxmlformats.org/officeDocument/2006/relationships/hyperlink" Target="http://www.riss.kr/link?id=S13541" TargetMode="External"/><Relationship Id="rId451" Type="http://schemas.openxmlformats.org/officeDocument/2006/relationships/hyperlink" Target="http://www.riss.kr/link?id=S14875" TargetMode="External"/><Relationship Id="rId549" Type="http://schemas.openxmlformats.org/officeDocument/2006/relationships/hyperlink" Target="http://www.riss.kr/link?id=S416149" TargetMode="External"/><Relationship Id="rId756" Type="http://schemas.openxmlformats.org/officeDocument/2006/relationships/hyperlink" Target="http://www.riss.kr/link?id=S97926" TargetMode="External"/><Relationship Id="rId104" Type="http://schemas.openxmlformats.org/officeDocument/2006/relationships/hyperlink" Target="http://www.riss.kr/link?id=S31024384" TargetMode="External"/><Relationship Id="rId188" Type="http://schemas.openxmlformats.org/officeDocument/2006/relationships/hyperlink" Target="http://www.riss.kr/link?id=S13463" TargetMode="External"/><Relationship Id="rId311" Type="http://schemas.openxmlformats.org/officeDocument/2006/relationships/hyperlink" Target="http://www.riss.kr/link?id=S11584132" TargetMode="External"/><Relationship Id="rId395" Type="http://schemas.openxmlformats.org/officeDocument/2006/relationships/hyperlink" Target="http://www.riss.kr/link?id=S20013675" TargetMode="External"/><Relationship Id="rId409" Type="http://schemas.openxmlformats.org/officeDocument/2006/relationships/hyperlink" Target="http://www.riss.kr/link?id=S17499" TargetMode="External"/><Relationship Id="rId963" Type="http://schemas.openxmlformats.org/officeDocument/2006/relationships/hyperlink" Target="http://www.riss.kr/link?id=S104177" TargetMode="External"/><Relationship Id="rId92" Type="http://schemas.openxmlformats.org/officeDocument/2006/relationships/hyperlink" Target="http://www.riss.kr/link?id=S16751" TargetMode="External"/><Relationship Id="rId616" Type="http://schemas.openxmlformats.org/officeDocument/2006/relationships/hyperlink" Target="http://www.riss.kr/link?id=S21812" TargetMode="External"/><Relationship Id="rId823" Type="http://schemas.openxmlformats.org/officeDocument/2006/relationships/hyperlink" Target="http://www.riss.kr/link?id=S48402" TargetMode="External"/><Relationship Id="rId255" Type="http://schemas.openxmlformats.org/officeDocument/2006/relationships/hyperlink" Target="http://www.riss.kr/link?id=S411436" TargetMode="External"/><Relationship Id="rId462" Type="http://schemas.openxmlformats.org/officeDocument/2006/relationships/hyperlink" Target="http://www.riss.kr/link?id=S15596" TargetMode="External"/><Relationship Id="rId115" Type="http://schemas.openxmlformats.org/officeDocument/2006/relationships/hyperlink" Target="http://www.riss.kr/link?id=S16735" TargetMode="External"/><Relationship Id="rId322" Type="http://schemas.openxmlformats.org/officeDocument/2006/relationships/hyperlink" Target="http://www.riss.kr/link?id=S24433" TargetMode="External"/><Relationship Id="rId767" Type="http://schemas.openxmlformats.org/officeDocument/2006/relationships/hyperlink" Target="http://www.riss.kr/link?id=S15780" TargetMode="External"/><Relationship Id="rId974" Type="http://schemas.openxmlformats.org/officeDocument/2006/relationships/hyperlink" Target="http://www.riss.kr/link?id=S60985" TargetMode="External"/><Relationship Id="rId61" Type="http://schemas.openxmlformats.org/officeDocument/2006/relationships/hyperlink" Target="http://www.riss.kr/link?id=S406089" TargetMode="External"/><Relationship Id="rId199" Type="http://schemas.openxmlformats.org/officeDocument/2006/relationships/hyperlink" Target="http://www.riss.kr/link?id=S31014183" TargetMode="External"/><Relationship Id="rId571" Type="http://schemas.openxmlformats.org/officeDocument/2006/relationships/hyperlink" Target="http://www.riss.kr/link?id=S20010854" TargetMode="External"/><Relationship Id="rId627" Type="http://schemas.openxmlformats.org/officeDocument/2006/relationships/hyperlink" Target="http://www.riss.kr/link?id=S402100" TargetMode="External"/><Relationship Id="rId669" Type="http://schemas.openxmlformats.org/officeDocument/2006/relationships/hyperlink" Target="http://www.riss.kr/link?id=S20012913" TargetMode="External"/><Relationship Id="rId834" Type="http://schemas.openxmlformats.org/officeDocument/2006/relationships/hyperlink" Target="http://www.riss.kr/link?id=S45160" TargetMode="External"/><Relationship Id="rId876" Type="http://schemas.openxmlformats.org/officeDocument/2006/relationships/hyperlink" Target="http://www.riss.kr/link?id=S72786" TargetMode="External"/><Relationship Id="rId19" Type="http://schemas.openxmlformats.org/officeDocument/2006/relationships/hyperlink" Target="http://www.riss.kr/link?id=S115371" TargetMode="External"/><Relationship Id="rId224" Type="http://schemas.openxmlformats.org/officeDocument/2006/relationships/hyperlink" Target="http://www.riss.kr/link?id=S29847" TargetMode="External"/><Relationship Id="rId266" Type="http://schemas.openxmlformats.org/officeDocument/2006/relationships/hyperlink" Target="http://www.riss.kr/link?id=S64816" TargetMode="External"/><Relationship Id="rId431" Type="http://schemas.openxmlformats.org/officeDocument/2006/relationships/hyperlink" Target="http://www.riss.kr/link?id=S20404" TargetMode="External"/><Relationship Id="rId473" Type="http://schemas.openxmlformats.org/officeDocument/2006/relationships/hyperlink" Target="http://www.riss.kr/link?id=S16027" TargetMode="External"/><Relationship Id="rId529" Type="http://schemas.openxmlformats.org/officeDocument/2006/relationships/hyperlink" Target="http://www.riss.kr/link?id=S414541" TargetMode="External"/><Relationship Id="rId680" Type="http://schemas.openxmlformats.org/officeDocument/2006/relationships/hyperlink" Target="http://www.riss.kr/link?id=S15236" TargetMode="External"/><Relationship Id="rId736" Type="http://schemas.openxmlformats.org/officeDocument/2006/relationships/hyperlink" Target="http://www.riss.kr/link?id=S18502" TargetMode="External"/><Relationship Id="rId901" Type="http://schemas.openxmlformats.org/officeDocument/2006/relationships/hyperlink" Target="http://www.riss.kr/link?id=S19819" TargetMode="External"/><Relationship Id="rId30" Type="http://schemas.openxmlformats.org/officeDocument/2006/relationships/hyperlink" Target="http://www.riss.kr/link?id=S60413" TargetMode="External"/><Relationship Id="rId126" Type="http://schemas.openxmlformats.org/officeDocument/2006/relationships/hyperlink" Target="http://www.riss.kr/link?id=S5004" TargetMode="External"/><Relationship Id="rId168" Type="http://schemas.openxmlformats.org/officeDocument/2006/relationships/hyperlink" Target="http://www.riss.kr/link?id=S417181" TargetMode="External"/><Relationship Id="rId333" Type="http://schemas.openxmlformats.org/officeDocument/2006/relationships/hyperlink" Target="http://www.riss.kr/link?id=S30007669" TargetMode="External"/><Relationship Id="rId540" Type="http://schemas.openxmlformats.org/officeDocument/2006/relationships/hyperlink" Target="http://www.riss.kr/link?id=S90009813" TargetMode="External"/><Relationship Id="rId778" Type="http://schemas.openxmlformats.org/officeDocument/2006/relationships/hyperlink" Target="http://www.riss.kr/link?id=S115392" TargetMode="External"/><Relationship Id="rId943" Type="http://schemas.openxmlformats.org/officeDocument/2006/relationships/hyperlink" Target="http://www.riss.kr/link?id=S19719" TargetMode="External"/><Relationship Id="rId72" Type="http://schemas.openxmlformats.org/officeDocument/2006/relationships/hyperlink" Target="http://www.riss.kr/link?id=S28902" TargetMode="External"/><Relationship Id="rId375" Type="http://schemas.openxmlformats.org/officeDocument/2006/relationships/hyperlink" Target="http://www.riss.kr/link?id=S5099" TargetMode="External"/><Relationship Id="rId582" Type="http://schemas.openxmlformats.org/officeDocument/2006/relationships/hyperlink" Target="http://www.riss.kr/link?id=S13936" TargetMode="External"/><Relationship Id="rId638" Type="http://schemas.openxmlformats.org/officeDocument/2006/relationships/hyperlink" Target="http://www.riss.kr/link?id=S91311" TargetMode="External"/><Relationship Id="rId803" Type="http://schemas.openxmlformats.org/officeDocument/2006/relationships/hyperlink" Target="http://www.riss.kr/link?id=S30780" TargetMode="External"/><Relationship Id="rId845" Type="http://schemas.openxmlformats.org/officeDocument/2006/relationships/hyperlink" Target="http://www.riss.kr/link?id=S416895" TargetMode="External"/><Relationship Id="rId3" Type="http://schemas.openxmlformats.org/officeDocument/2006/relationships/hyperlink" Target="http://www.riss.kr/link?id=S405713" TargetMode="External"/><Relationship Id="rId235" Type="http://schemas.openxmlformats.org/officeDocument/2006/relationships/hyperlink" Target="http://www.riss.kr/link?id=S401504" TargetMode="External"/><Relationship Id="rId277" Type="http://schemas.openxmlformats.org/officeDocument/2006/relationships/hyperlink" Target="http://www.riss.kr/link?id=S410183" TargetMode="External"/><Relationship Id="rId400" Type="http://schemas.openxmlformats.org/officeDocument/2006/relationships/hyperlink" Target="http://www.riss.kr/link?id=S403985" TargetMode="External"/><Relationship Id="rId442" Type="http://schemas.openxmlformats.org/officeDocument/2006/relationships/hyperlink" Target="http://www.riss.kr/link?id=S17078" TargetMode="External"/><Relationship Id="rId484" Type="http://schemas.openxmlformats.org/officeDocument/2006/relationships/hyperlink" Target="http://www.riss.kr/link?id=S16895" TargetMode="External"/><Relationship Id="rId705" Type="http://schemas.openxmlformats.org/officeDocument/2006/relationships/hyperlink" Target="http://www.riss.kr/link?id=S15907" TargetMode="External"/><Relationship Id="rId887" Type="http://schemas.openxmlformats.org/officeDocument/2006/relationships/hyperlink" Target="http://www.riss.kr/link?id=S60956" TargetMode="External"/><Relationship Id="rId137" Type="http://schemas.openxmlformats.org/officeDocument/2006/relationships/hyperlink" Target="http://www.riss.kr/link?id=S416689" TargetMode="External"/><Relationship Id="rId302" Type="http://schemas.openxmlformats.org/officeDocument/2006/relationships/hyperlink" Target="http://www.riss.kr/link?id=S20022179" TargetMode="External"/><Relationship Id="rId344" Type="http://schemas.openxmlformats.org/officeDocument/2006/relationships/hyperlink" Target="http://www.riss.kr/link?id=S12876" TargetMode="External"/><Relationship Id="rId691" Type="http://schemas.openxmlformats.org/officeDocument/2006/relationships/hyperlink" Target="http://www.riss.kr/link?id=S407287" TargetMode="External"/><Relationship Id="rId747" Type="http://schemas.openxmlformats.org/officeDocument/2006/relationships/hyperlink" Target="http://www.riss.kr/link?id=S29694" TargetMode="External"/><Relationship Id="rId789" Type="http://schemas.openxmlformats.org/officeDocument/2006/relationships/hyperlink" Target="http://www.riss.kr/link?id=S25143" TargetMode="External"/><Relationship Id="rId912" Type="http://schemas.openxmlformats.org/officeDocument/2006/relationships/hyperlink" Target="http://www.riss.kr/link?id=S417133" TargetMode="External"/><Relationship Id="rId954" Type="http://schemas.openxmlformats.org/officeDocument/2006/relationships/hyperlink" Target="http://www.riss.kr/link?id=S104126" TargetMode="External"/><Relationship Id="rId41" Type="http://schemas.openxmlformats.org/officeDocument/2006/relationships/hyperlink" Target="http://www.riss.kr/link?id=S17586" TargetMode="External"/><Relationship Id="rId83" Type="http://schemas.openxmlformats.org/officeDocument/2006/relationships/hyperlink" Target="http://www.riss.kr/link?id=S115393" TargetMode="External"/><Relationship Id="rId179" Type="http://schemas.openxmlformats.org/officeDocument/2006/relationships/hyperlink" Target="http://www.riss.kr/link?id=S15001" TargetMode="External"/><Relationship Id="rId386" Type="http://schemas.openxmlformats.org/officeDocument/2006/relationships/hyperlink" Target="http://www.riss.kr/link?id=S12896" TargetMode="External"/><Relationship Id="rId551" Type="http://schemas.openxmlformats.org/officeDocument/2006/relationships/hyperlink" Target="http://www.riss.kr/link?id=S410619" TargetMode="External"/><Relationship Id="rId593" Type="http://schemas.openxmlformats.org/officeDocument/2006/relationships/hyperlink" Target="http://www.riss.kr/link?id=S103468" TargetMode="External"/><Relationship Id="rId607" Type="http://schemas.openxmlformats.org/officeDocument/2006/relationships/hyperlink" Target="http://www.riss.kr/link?id=S20888" TargetMode="External"/><Relationship Id="rId649" Type="http://schemas.openxmlformats.org/officeDocument/2006/relationships/hyperlink" Target="http://www.riss.kr/link?id=S413600" TargetMode="External"/><Relationship Id="rId814" Type="http://schemas.openxmlformats.org/officeDocument/2006/relationships/hyperlink" Target="http://www.riss.kr/link?id=S31658" TargetMode="External"/><Relationship Id="rId856" Type="http://schemas.openxmlformats.org/officeDocument/2006/relationships/hyperlink" Target="http://www.riss.kr/link?id=S115750" TargetMode="External"/><Relationship Id="rId190" Type="http://schemas.openxmlformats.org/officeDocument/2006/relationships/hyperlink" Target="http://www.riss.kr/link?id=S16220" TargetMode="External"/><Relationship Id="rId204" Type="http://schemas.openxmlformats.org/officeDocument/2006/relationships/hyperlink" Target="http://www.riss.kr/link?id=S14978" TargetMode="External"/><Relationship Id="rId246" Type="http://schemas.openxmlformats.org/officeDocument/2006/relationships/hyperlink" Target="http://www.riss.kr/link?id=S15740" TargetMode="External"/><Relationship Id="rId288" Type="http://schemas.openxmlformats.org/officeDocument/2006/relationships/hyperlink" Target="http://www.riss.kr/link?id=S60845" TargetMode="External"/><Relationship Id="rId411" Type="http://schemas.openxmlformats.org/officeDocument/2006/relationships/hyperlink" Target="http://www.riss.kr/link?id=S13468" TargetMode="External"/><Relationship Id="rId453" Type="http://schemas.openxmlformats.org/officeDocument/2006/relationships/hyperlink" Target="http://www.riss.kr/link?id=S28842" TargetMode="External"/><Relationship Id="rId509" Type="http://schemas.openxmlformats.org/officeDocument/2006/relationships/hyperlink" Target="http://www.riss.kr/link?id=S17471" TargetMode="External"/><Relationship Id="rId660" Type="http://schemas.openxmlformats.org/officeDocument/2006/relationships/hyperlink" Target="http://www.riss.kr/link?id=S5102" TargetMode="External"/><Relationship Id="rId898" Type="http://schemas.openxmlformats.org/officeDocument/2006/relationships/hyperlink" Target="http://www.riss.kr/link?id=S19712" TargetMode="External"/><Relationship Id="rId106" Type="http://schemas.openxmlformats.org/officeDocument/2006/relationships/hyperlink" Target="http://www.riss.kr/link?id=S16980" TargetMode="External"/><Relationship Id="rId313" Type="http://schemas.openxmlformats.org/officeDocument/2006/relationships/hyperlink" Target="http://www.riss.kr/link?id=S61263" TargetMode="External"/><Relationship Id="rId495" Type="http://schemas.openxmlformats.org/officeDocument/2006/relationships/hyperlink" Target="http://www.riss.kr/link?id=S16019" TargetMode="External"/><Relationship Id="rId716" Type="http://schemas.openxmlformats.org/officeDocument/2006/relationships/hyperlink" Target="http://www.riss.kr/link?id=S22287" TargetMode="External"/><Relationship Id="rId758" Type="http://schemas.openxmlformats.org/officeDocument/2006/relationships/hyperlink" Target="http://www.riss.kr/link?id=S30006830" TargetMode="External"/><Relationship Id="rId923" Type="http://schemas.openxmlformats.org/officeDocument/2006/relationships/hyperlink" Target="http://www.riss.kr/link?id=S417126" TargetMode="External"/><Relationship Id="rId965" Type="http://schemas.openxmlformats.org/officeDocument/2006/relationships/hyperlink" Target="http://www.riss.kr/link?id=S20085282" TargetMode="External"/><Relationship Id="rId10" Type="http://schemas.openxmlformats.org/officeDocument/2006/relationships/hyperlink" Target="http://www.riss.kr/link?id=S18823" TargetMode="External"/><Relationship Id="rId52" Type="http://schemas.openxmlformats.org/officeDocument/2006/relationships/hyperlink" Target="http://www.riss.kr/link?id=S17339" TargetMode="External"/><Relationship Id="rId94" Type="http://schemas.openxmlformats.org/officeDocument/2006/relationships/hyperlink" Target="http://www.riss.kr/link?id=S31020998" TargetMode="External"/><Relationship Id="rId148" Type="http://schemas.openxmlformats.org/officeDocument/2006/relationships/hyperlink" Target="http://www.riss.kr/link?id=S17549" TargetMode="External"/><Relationship Id="rId355" Type="http://schemas.openxmlformats.org/officeDocument/2006/relationships/hyperlink" Target="http://www.riss.kr/link?id=S14353" TargetMode="External"/><Relationship Id="rId397" Type="http://schemas.openxmlformats.org/officeDocument/2006/relationships/hyperlink" Target="http://www.riss.kr/link?id=S14006" TargetMode="External"/><Relationship Id="rId520" Type="http://schemas.openxmlformats.org/officeDocument/2006/relationships/hyperlink" Target="http://www.riss.kr/link?id=S418445" TargetMode="External"/><Relationship Id="rId562" Type="http://schemas.openxmlformats.org/officeDocument/2006/relationships/hyperlink" Target="http://www.riss.kr/link?id=S20345" TargetMode="External"/><Relationship Id="rId618" Type="http://schemas.openxmlformats.org/officeDocument/2006/relationships/hyperlink" Target="http://www.riss.kr/link?id=S30000694" TargetMode="External"/><Relationship Id="rId825" Type="http://schemas.openxmlformats.org/officeDocument/2006/relationships/hyperlink" Target="http://www.riss.kr/link?id=S40376" TargetMode="External"/><Relationship Id="rId215" Type="http://schemas.openxmlformats.org/officeDocument/2006/relationships/hyperlink" Target="http://www.riss.kr/link?id=S36561" TargetMode="External"/><Relationship Id="rId257" Type="http://schemas.openxmlformats.org/officeDocument/2006/relationships/hyperlink" Target="http://www.riss.kr/link?id=S404178" TargetMode="External"/><Relationship Id="rId422" Type="http://schemas.openxmlformats.org/officeDocument/2006/relationships/hyperlink" Target="http://www.riss.kr/link?id=S16063" TargetMode="External"/><Relationship Id="rId464" Type="http://schemas.openxmlformats.org/officeDocument/2006/relationships/hyperlink" Target="http://www.riss.kr/link?id=S61982" TargetMode="External"/><Relationship Id="rId867" Type="http://schemas.openxmlformats.org/officeDocument/2006/relationships/hyperlink" Target="http://www.riss.kr/link?id=S6194" TargetMode="External"/><Relationship Id="rId299" Type="http://schemas.openxmlformats.org/officeDocument/2006/relationships/hyperlink" Target="http://www.riss.kr/link?id=S413557" TargetMode="External"/><Relationship Id="rId727" Type="http://schemas.openxmlformats.org/officeDocument/2006/relationships/hyperlink" Target="http://www.riss.kr/link?id=S415890" TargetMode="External"/><Relationship Id="rId934" Type="http://schemas.openxmlformats.org/officeDocument/2006/relationships/hyperlink" Target="http://www.riss.kr/link?id=S35910" TargetMode="External"/><Relationship Id="rId63" Type="http://schemas.openxmlformats.org/officeDocument/2006/relationships/hyperlink" Target="http://www.riss.kr/link?id=S15429" TargetMode="External"/><Relationship Id="rId159" Type="http://schemas.openxmlformats.org/officeDocument/2006/relationships/hyperlink" Target="http://www.riss.kr/link?id=S12733" TargetMode="External"/><Relationship Id="rId366" Type="http://schemas.openxmlformats.org/officeDocument/2006/relationships/hyperlink" Target="http://www.riss.kr/link?id=S416697" TargetMode="External"/><Relationship Id="rId573" Type="http://schemas.openxmlformats.org/officeDocument/2006/relationships/hyperlink" Target="http://www.riss.kr/link?id=S12901" TargetMode="External"/><Relationship Id="rId780" Type="http://schemas.openxmlformats.org/officeDocument/2006/relationships/hyperlink" Target="http://www.riss.kr/link?id=S24586" TargetMode="External"/><Relationship Id="rId226" Type="http://schemas.openxmlformats.org/officeDocument/2006/relationships/hyperlink" Target="http://www.riss.kr/link?id=S48034" TargetMode="External"/><Relationship Id="rId433" Type="http://schemas.openxmlformats.org/officeDocument/2006/relationships/hyperlink" Target="http://www.riss.kr/link?id=S12745" TargetMode="External"/><Relationship Id="rId878" Type="http://schemas.openxmlformats.org/officeDocument/2006/relationships/hyperlink" Target="http://www.riss.kr/link?id=S20084641" TargetMode="External"/><Relationship Id="rId640" Type="http://schemas.openxmlformats.org/officeDocument/2006/relationships/hyperlink" Target="http://www.riss.kr/link?id=S15519" TargetMode="External"/><Relationship Id="rId738" Type="http://schemas.openxmlformats.org/officeDocument/2006/relationships/hyperlink" Target="http://www.riss.kr/link?id=S15785" TargetMode="External"/><Relationship Id="rId945" Type="http://schemas.openxmlformats.org/officeDocument/2006/relationships/hyperlink" Target="http://www.riss.kr/link?id=S116014" TargetMode="External"/><Relationship Id="rId74" Type="http://schemas.openxmlformats.org/officeDocument/2006/relationships/hyperlink" Target="http://www.riss.kr/link?id=S15489" TargetMode="External"/><Relationship Id="rId377" Type="http://schemas.openxmlformats.org/officeDocument/2006/relationships/hyperlink" Target="http://www.riss.kr/link?id=S61275" TargetMode="External"/><Relationship Id="rId500" Type="http://schemas.openxmlformats.org/officeDocument/2006/relationships/hyperlink" Target="http://www.riss.kr/link?id=S71144" TargetMode="External"/><Relationship Id="rId584" Type="http://schemas.openxmlformats.org/officeDocument/2006/relationships/hyperlink" Target="http://www.riss.kr/link?id=S17042" TargetMode="External"/><Relationship Id="rId805" Type="http://schemas.openxmlformats.org/officeDocument/2006/relationships/hyperlink" Target="http://www.riss.kr/link?id=S64125" TargetMode="External"/><Relationship Id="rId5" Type="http://schemas.openxmlformats.org/officeDocument/2006/relationships/hyperlink" Target="http://www.riss.kr/link?id=S38813" TargetMode="External"/><Relationship Id="rId237" Type="http://schemas.openxmlformats.org/officeDocument/2006/relationships/hyperlink" Target="http://www.riss.kr/link?id=S21270" TargetMode="External"/><Relationship Id="rId791" Type="http://schemas.openxmlformats.org/officeDocument/2006/relationships/hyperlink" Target="http://www.riss.kr/link?id=S20190" TargetMode="External"/><Relationship Id="rId889" Type="http://schemas.openxmlformats.org/officeDocument/2006/relationships/hyperlink" Target="http://www.riss.kr/link?id=S31000567" TargetMode="External"/><Relationship Id="rId444" Type="http://schemas.openxmlformats.org/officeDocument/2006/relationships/hyperlink" Target="http://www.riss.kr/link?id=S10522" TargetMode="External"/><Relationship Id="rId651" Type="http://schemas.openxmlformats.org/officeDocument/2006/relationships/hyperlink" Target="http://www.riss.kr/link?id=S11574962" TargetMode="External"/><Relationship Id="rId749" Type="http://schemas.openxmlformats.org/officeDocument/2006/relationships/hyperlink" Target="http://www.riss.kr/link?id=S79897" TargetMode="External"/><Relationship Id="rId290" Type="http://schemas.openxmlformats.org/officeDocument/2006/relationships/hyperlink" Target="http://www.riss.kr/link?id=S16091" TargetMode="External"/><Relationship Id="rId304" Type="http://schemas.openxmlformats.org/officeDocument/2006/relationships/hyperlink" Target="http://www.riss.kr/link?id=S45402" TargetMode="External"/><Relationship Id="rId388" Type="http://schemas.openxmlformats.org/officeDocument/2006/relationships/hyperlink" Target="http://www.riss.kr/link?id=S90023890" TargetMode="External"/><Relationship Id="rId511" Type="http://schemas.openxmlformats.org/officeDocument/2006/relationships/hyperlink" Target="http://www.riss.kr/link?id=S418638" TargetMode="External"/><Relationship Id="rId609" Type="http://schemas.openxmlformats.org/officeDocument/2006/relationships/hyperlink" Target="http://www.riss.kr/link?id=S103925" TargetMode="External"/><Relationship Id="rId956" Type="http://schemas.openxmlformats.org/officeDocument/2006/relationships/hyperlink" Target="http://www.riss.kr/link?id=S104127" TargetMode="External"/><Relationship Id="rId85" Type="http://schemas.openxmlformats.org/officeDocument/2006/relationships/hyperlink" Target="http://www.riss.kr/link?id=S115373" TargetMode="External"/><Relationship Id="rId150" Type="http://schemas.openxmlformats.org/officeDocument/2006/relationships/hyperlink" Target="http://www.riss.kr/link?id=S418984" TargetMode="External"/><Relationship Id="rId595" Type="http://schemas.openxmlformats.org/officeDocument/2006/relationships/hyperlink" Target="http://www.riss.kr/link?id=S103490" TargetMode="External"/><Relationship Id="rId816" Type="http://schemas.openxmlformats.org/officeDocument/2006/relationships/hyperlink" Target="http://www.riss.kr/link?id=S36945" TargetMode="External"/><Relationship Id="rId248" Type="http://schemas.openxmlformats.org/officeDocument/2006/relationships/hyperlink" Target="http://www.riss.kr/link?id=S103354" TargetMode="External"/><Relationship Id="rId455" Type="http://schemas.openxmlformats.org/officeDocument/2006/relationships/hyperlink" Target="http://www.riss.kr/link?id=S58111" TargetMode="External"/><Relationship Id="rId662" Type="http://schemas.openxmlformats.org/officeDocument/2006/relationships/hyperlink" Target="http://www.riss.kr/link?id=S11575494" TargetMode="External"/><Relationship Id="rId12" Type="http://schemas.openxmlformats.org/officeDocument/2006/relationships/hyperlink" Target="http://www.riss.kr/link?id=S50310" TargetMode="External"/><Relationship Id="rId108" Type="http://schemas.openxmlformats.org/officeDocument/2006/relationships/hyperlink" Target="http://www.riss.kr/link?id=S60873" TargetMode="External"/><Relationship Id="rId315" Type="http://schemas.openxmlformats.org/officeDocument/2006/relationships/hyperlink" Target="http://www.riss.kr/link?id=S417119" TargetMode="External"/><Relationship Id="rId522" Type="http://schemas.openxmlformats.org/officeDocument/2006/relationships/hyperlink" Target="http://www.riss.kr/link?id=S115382" TargetMode="External"/><Relationship Id="rId967" Type="http://schemas.openxmlformats.org/officeDocument/2006/relationships/hyperlink" Target="http://www.riss.kr/link?id=S60888" TargetMode="External"/><Relationship Id="rId96" Type="http://schemas.openxmlformats.org/officeDocument/2006/relationships/hyperlink" Target="http://www.riss.kr/link?id=S6860" TargetMode="External"/><Relationship Id="rId161" Type="http://schemas.openxmlformats.org/officeDocument/2006/relationships/hyperlink" Target="http://www.riss.kr/link?id=S410926" TargetMode="External"/><Relationship Id="rId399" Type="http://schemas.openxmlformats.org/officeDocument/2006/relationships/hyperlink" Target="http://www.riss.kr/link?id=S20010539" TargetMode="External"/><Relationship Id="rId827" Type="http://schemas.openxmlformats.org/officeDocument/2006/relationships/hyperlink" Target="http://www.riss.kr/link?id=S20068215" TargetMode="External"/><Relationship Id="rId259" Type="http://schemas.openxmlformats.org/officeDocument/2006/relationships/hyperlink" Target="http://www.riss.kr/link?id=S418665" TargetMode="External"/><Relationship Id="rId466" Type="http://schemas.openxmlformats.org/officeDocument/2006/relationships/hyperlink" Target="http://www.riss.kr/link?id=S17257" TargetMode="External"/><Relationship Id="rId673" Type="http://schemas.openxmlformats.org/officeDocument/2006/relationships/hyperlink" Target="http://www.riss.kr/link?id=S415705" TargetMode="External"/><Relationship Id="rId880" Type="http://schemas.openxmlformats.org/officeDocument/2006/relationships/hyperlink" Target="http://www.riss.kr/link?id=S60960" TargetMode="External"/><Relationship Id="rId23" Type="http://schemas.openxmlformats.org/officeDocument/2006/relationships/hyperlink" Target="http://www.riss.kr/link?id=S415162" TargetMode="External"/><Relationship Id="rId119" Type="http://schemas.openxmlformats.org/officeDocument/2006/relationships/hyperlink" Target="http://www.riss.kr/link?id=S409678" TargetMode="External"/><Relationship Id="rId326" Type="http://schemas.openxmlformats.org/officeDocument/2006/relationships/hyperlink" Target="http://www.riss.kr/link?id=S14962" TargetMode="External"/><Relationship Id="rId533" Type="http://schemas.openxmlformats.org/officeDocument/2006/relationships/hyperlink" Target="http://www.riss.kr/link?id=S85996" TargetMode="External"/><Relationship Id="rId978" Type="http://schemas.openxmlformats.org/officeDocument/2006/relationships/hyperlink" Target="http://www.riss.kr/link?id=S40112" TargetMode="External"/><Relationship Id="rId740" Type="http://schemas.openxmlformats.org/officeDocument/2006/relationships/hyperlink" Target="http://www.riss.kr/link?id=S12402" TargetMode="External"/><Relationship Id="rId838" Type="http://schemas.openxmlformats.org/officeDocument/2006/relationships/hyperlink" Target="http://www.riss.kr/link?id=S25096" TargetMode="External"/><Relationship Id="rId172" Type="http://schemas.openxmlformats.org/officeDocument/2006/relationships/hyperlink" Target="http://www.riss.kr/link?id=S115376" TargetMode="External"/><Relationship Id="rId477" Type="http://schemas.openxmlformats.org/officeDocument/2006/relationships/hyperlink" Target="http://www.riss.kr/link?id=S43758" TargetMode="External"/><Relationship Id="rId600" Type="http://schemas.openxmlformats.org/officeDocument/2006/relationships/hyperlink" Target="http://www.riss.kr/link?id=S15959" TargetMode="External"/><Relationship Id="rId684" Type="http://schemas.openxmlformats.org/officeDocument/2006/relationships/hyperlink" Target="http://www.riss.kr/link?id=S11640555" TargetMode="External"/><Relationship Id="rId337" Type="http://schemas.openxmlformats.org/officeDocument/2006/relationships/hyperlink" Target="http://www.riss.kr/link?id=S38215" TargetMode="External"/><Relationship Id="rId891" Type="http://schemas.openxmlformats.org/officeDocument/2006/relationships/hyperlink" Target="http://www.riss.kr/link?id=S70667" TargetMode="External"/><Relationship Id="rId905" Type="http://schemas.openxmlformats.org/officeDocument/2006/relationships/hyperlink" Target="http://www.riss.kr/link?id=S411233" TargetMode="External"/><Relationship Id="rId34" Type="http://schemas.openxmlformats.org/officeDocument/2006/relationships/hyperlink" Target="http://www.riss.kr/link?id=S17589" TargetMode="External"/><Relationship Id="rId544" Type="http://schemas.openxmlformats.org/officeDocument/2006/relationships/hyperlink" Target="http://www.riss.kr/link?id=S31001902" TargetMode="External"/><Relationship Id="rId751" Type="http://schemas.openxmlformats.org/officeDocument/2006/relationships/hyperlink" Target="http://www.riss.kr/link?id=S21690" TargetMode="External"/><Relationship Id="rId849" Type="http://schemas.openxmlformats.org/officeDocument/2006/relationships/hyperlink" Target="http://www.riss.kr/link?id=S19714" TargetMode="External"/><Relationship Id="rId183" Type="http://schemas.openxmlformats.org/officeDocument/2006/relationships/hyperlink" Target="http://www.riss.kr/link?id=S7094" TargetMode="External"/><Relationship Id="rId390" Type="http://schemas.openxmlformats.org/officeDocument/2006/relationships/hyperlink" Target="http://www.riss.kr/link?id=S21147" TargetMode="External"/><Relationship Id="rId404" Type="http://schemas.openxmlformats.org/officeDocument/2006/relationships/hyperlink" Target="http://www.riss.kr/link?id=S31027708" TargetMode="External"/><Relationship Id="rId611" Type="http://schemas.openxmlformats.org/officeDocument/2006/relationships/hyperlink" Target="http://www.riss.kr/link?id=S20010735" TargetMode="External"/><Relationship Id="rId250" Type="http://schemas.openxmlformats.org/officeDocument/2006/relationships/hyperlink" Target="http://www.riss.kr/link?id=S11574570" TargetMode="External"/><Relationship Id="rId488" Type="http://schemas.openxmlformats.org/officeDocument/2006/relationships/hyperlink" Target="http://www.riss.kr/link?id=S403110" TargetMode="External"/><Relationship Id="rId695" Type="http://schemas.openxmlformats.org/officeDocument/2006/relationships/hyperlink" Target="http://www.riss.kr/link?id=S20011380" TargetMode="External"/><Relationship Id="rId709" Type="http://schemas.openxmlformats.org/officeDocument/2006/relationships/hyperlink" Target="http://www.riss.kr/link?id=S16479" TargetMode="External"/><Relationship Id="rId916" Type="http://schemas.openxmlformats.org/officeDocument/2006/relationships/hyperlink" Target="http://www.riss.kr/link?id=S37341" TargetMode="External"/><Relationship Id="rId45" Type="http://schemas.openxmlformats.org/officeDocument/2006/relationships/hyperlink" Target="http://www.riss.kr/link?id=S407270" TargetMode="External"/><Relationship Id="rId110" Type="http://schemas.openxmlformats.org/officeDocument/2006/relationships/hyperlink" Target="http://www.riss.kr/link?id=S17329" TargetMode="External"/><Relationship Id="rId348" Type="http://schemas.openxmlformats.org/officeDocument/2006/relationships/hyperlink" Target="http://www.riss.kr/link?id=S60908" TargetMode="External"/><Relationship Id="rId555" Type="http://schemas.openxmlformats.org/officeDocument/2006/relationships/hyperlink" Target="http://www.riss.kr/link?id=S115386" TargetMode="External"/><Relationship Id="rId762" Type="http://schemas.openxmlformats.org/officeDocument/2006/relationships/hyperlink" Target="http://www.riss.kr/link?id=S104898" TargetMode="External"/><Relationship Id="rId194" Type="http://schemas.openxmlformats.org/officeDocument/2006/relationships/hyperlink" Target="http://www.riss.kr/link?id=S23513" TargetMode="External"/><Relationship Id="rId208" Type="http://schemas.openxmlformats.org/officeDocument/2006/relationships/hyperlink" Target="http://www.riss.kr/link?id=S104991" TargetMode="External"/><Relationship Id="rId415" Type="http://schemas.openxmlformats.org/officeDocument/2006/relationships/hyperlink" Target="http://www.riss.kr/link?id=S16389" TargetMode="External"/><Relationship Id="rId622" Type="http://schemas.openxmlformats.org/officeDocument/2006/relationships/hyperlink" Target="http://www.riss.kr/link?id=S17357" TargetMode="External"/><Relationship Id="rId261" Type="http://schemas.openxmlformats.org/officeDocument/2006/relationships/hyperlink" Target="http://www.riss.kr/link?id=S15737" TargetMode="External"/><Relationship Id="rId499" Type="http://schemas.openxmlformats.org/officeDocument/2006/relationships/hyperlink" Target="http://www.riss.kr/link?id=S416735" TargetMode="External"/><Relationship Id="rId927" Type="http://schemas.openxmlformats.org/officeDocument/2006/relationships/hyperlink" Target="http://www.riss.kr/link?id=S63124" TargetMode="External"/><Relationship Id="rId56" Type="http://schemas.openxmlformats.org/officeDocument/2006/relationships/hyperlink" Target="http://www.riss.kr/link?id=S400756" TargetMode="External"/><Relationship Id="rId359" Type="http://schemas.openxmlformats.org/officeDocument/2006/relationships/hyperlink" Target="http://www.riss.kr/link?id=S87729" TargetMode="External"/><Relationship Id="rId566" Type="http://schemas.openxmlformats.org/officeDocument/2006/relationships/hyperlink" Target="http://www.riss.kr/link?id=S404171" TargetMode="External"/><Relationship Id="rId773" Type="http://schemas.openxmlformats.org/officeDocument/2006/relationships/hyperlink" Target="http://www.riss.kr/link?id=S413415" TargetMode="External"/><Relationship Id="rId121" Type="http://schemas.openxmlformats.org/officeDocument/2006/relationships/hyperlink" Target="http://www.riss.kr/link?id=S410933" TargetMode="External"/><Relationship Id="rId219" Type="http://schemas.openxmlformats.org/officeDocument/2006/relationships/hyperlink" Target="http://www.riss.kr/link?id=S16697" TargetMode="External"/><Relationship Id="rId426" Type="http://schemas.openxmlformats.org/officeDocument/2006/relationships/hyperlink" Target="http://www.riss.kr/link?id=S17267" TargetMode="External"/><Relationship Id="rId633" Type="http://schemas.openxmlformats.org/officeDocument/2006/relationships/hyperlink" Target="http://www.riss.kr/link?id=S403964" TargetMode="External"/><Relationship Id="rId980" Type="http://schemas.openxmlformats.org/officeDocument/2006/relationships/comments" Target="../comments3.xml"/><Relationship Id="rId840" Type="http://schemas.openxmlformats.org/officeDocument/2006/relationships/hyperlink" Target="http://www.riss.kr/link?id=S19748" TargetMode="External"/><Relationship Id="rId938" Type="http://schemas.openxmlformats.org/officeDocument/2006/relationships/hyperlink" Target="http://www.riss.kr/link?id=S43977" TargetMode="External"/><Relationship Id="rId67" Type="http://schemas.openxmlformats.org/officeDocument/2006/relationships/hyperlink" Target="http://www.riss.kr/link?id=S15430" TargetMode="External"/><Relationship Id="rId272" Type="http://schemas.openxmlformats.org/officeDocument/2006/relationships/hyperlink" Target="http://www.riss.kr/link?id=S16097" TargetMode="External"/><Relationship Id="rId577" Type="http://schemas.openxmlformats.org/officeDocument/2006/relationships/hyperlink" Target="http://www.riss.kr/link?id=S16546" TargetMode="External"/><Relationship Id="rId700" Type="http://schemas.openxmlformats.org/officeDocument/2006/relationships/hyperlink" Target="http://www.riss.kr/link?id=S407398" TargetMode="External"/><Relationship Id="rId132" Type="http://schemas.openxmlformats.org/officeDocument/2006/relationships/hyperlink" Target="http://www.riss.kr/link?id=S17133" TargetMode="External"/><Relationship Id="rId784" Type="http://schemas.openxmlformats.org/officeDocument/2006/relationships/hyperlink" Target="http://www.riss.kr/link?id=S60910" TargetMode="External"/><Relationship Id="rId437" Type="http://schemas.openxmlformats.org/officeDocument/2006/relationships/hyperlink" Target="http://www.riss.kr/link?id=S16056" TargetMode="External"/><Relationship Id="rId644" Type="http://schemas.openxmlformats.org/officeDocument/2006/relationships/hyperlink" Target="http://www.riss.kr/link?id=S15933" TargetMode="External"/><Relationship Id="rId851" Type="http://schemas.openxmlformats.org/officeDocument/2006/relationships/hyperlink" Target="http://www.riss.kr/link?id=S87108" TargetMode="External"/><Relationship Id="rId283" Type="http://schemas.openxmlformats.org/officeDocument/2006/relationships/hyperlink" Target="http://www.riss.kr/link?id=S20374" TargetMode="External"/><Relationship Id="rId490" Type="http://schemas.openxmlformats.org/officeDocument/2006/relationships/hyperlink" Target="http://www.riss.kr/link?id=S87400" TargetMode="External"/><Relationship Id="rId504" Type="http://schemas.openxmlformats.org/officeDocument/2006/relationships/hyperlink" Target="http://www.riss.kr/link?id=S15590" TargetMode="External"/><Relationship Id="rId711" Type="http://schemas.openxmlformats.org/officeDocument/2006/relationships/hyperlink" Target="http://www.riss.kr/link?id=S42967" TargetMode="External"/><Relationship Id="rId949" Type="http://schemas.openxmlformats.org/officeDocument/2006/relationships/hyperlink" Target="http://www.riss.kr/link?id=S85459" TargetMode="External"/><Relationship Id="rId78" Type="http://schemas.openxmlformats.org/officeDocument/2006/relationships/hyperlink" Target="http://www.riss.kr/link?id=S12866" TargetMode="External"/><Relationship Id="rId143" Type="http://schemas.openxmlformats.org/officeDocument/2006/relationships/hyperlink" Target="http://www.riss.kr/link?id=S418044" TargetMode="External"/><Relationship Id="rId350" Type="http://schemas.openxmlformats.org/officeDocument/2006/relationships/hyperlink" Target="http://www.riss.kr/link?id=S80605" TargetMode="External"/><Relationship Id="rId588" Type="http://schemas.openxmlformats.org/officeDocument/2006/relationships/hyperlink" Target="http://www.riss.kr/link?id=S60691" TargetMode="External"/><Relationship Id="rId795" Type="http://schemas.openxmlformats.org/officeDocument/2006/relationships/hyperlink" Target="http://www.riss.kr/link?id=S144775" TargetMode="External"/><Relationship Id="rId809" Type="http://schemas.openxmlformats.org/officeDocument/2006/relationships/hyperlink" Target="http://www.riss.kr/link?id=S104265" TargetMode="External"/><Relationship Id="rId9" Type="http://schemas.openxmlformats.org/officeDocument/2006/relationships/hyperlink" Target="http://www.riss.kr/link?id=S18822" TargetMode="External"/><Relationship Id="rId210" Type="http://schemas.openxmlformats.org/officeDocument/2006/relationships/hyperlink" Target="http://www.riss.kr/link?id=S416807" TargetMode="External"/><Relationship Id="rId448" Type="http://schemas.openxmlformats.org/officeDocument/2006/relationships/hyperlink" Target="http://www.riss.kr/link?id=S14916" TargetMode="External"/><Relationship Id="rId655" Type="http://schemas.openxmlformats.org/officeDocument/2006/relationships/hyperlink" Target="http://www.riss.kr/link?id=S410797" TargetMode="External"/><Relationship Id="rId862" Type="http://schemas.openxmlformats.org/officeDocument/2006/relationships/hyperlink" Target="http://www.riss.kr/link?id=S115754" TargetMode="External"/><Relationship Id="rId294" Type="http://schemas.openxmlformats.org/officeDocument/2006/relationships/hyperlink" Target="http://www.riss.kr/link?id=S407942" TargetMode="External"/><Relationship Id="rId308" Type="http://schemas.openxmlformats.org/officeDocument/2006/relationships/hyperlink" Target="http://www.riss.kr/link?id=S38346" TargetMode="External"/><Relationship Id="rId515" Type="http://schemas.openxmlformats.org/officeDocument/2006/relationships/hyperlink" Target="http://www.riss.kr/link?id=S16015" TargetMode="External"/><Relationship Id="rId722" Type="http://schemas.openxmlformats.org/officeDocument/2006/relationships/hyperlink" Target="http://www.riss.kr/link?id=S30007494" TargetMode="External"/><Relationship Id="rId89" Type="http://schemas.openxmlformats.org/officeDocument/2006/relationships/hyperlink" Target="http://www.riss.kr/link?id=S410185" TargetMode="External"/><Relationship Id="rId154" Type="http://schemas.openxmlformats.org/officeDocument/2006/relationships/hyperlink" Target="http://www.riss.kr/link?id=S405626" TargetMode="External"/><Relationship Id="rId361" Type="http://schemas.openxmlformats.org/officeDocument/2006/relationships/hyperlink" Target="http://www.riss.kr/link?id=S16072" TargetMode="External"/><Relationship Id="rId599" Type="http://schemas.openxmlformats.org/officeDocument/2006/relationships/hyperlink" Target="http://www.riss.kr/link?id=S20881" TargetMode="External"/><Relationship Id="rId459" Type="http://schemas.openxmlformats.org/officeDocument/2006/relationships/hyperlink" Target="http://www.riss.kr/link?id=S90006683" TargetMode="External"/><Relationship Id="rId666" Type="http://schemas.openxmlformats.org/officeDocument/2006/relationships/hyperlink" Target="http://www.riss.kr/link?id=S409282" TargetMode="External"/><Relationship Id="rId873" Type="http://schemas.openxmlformats.org/officeDocument/2006/relationships/hyperlink" Target="http://www.riss.kr/link?id=S60898" TargetMode="External"/><Relationship Id="rId16" Type="http://schemas.openxmlformats.org/officeDocument/2006/relationships/hyperlink" Target="http://www.riss.kr/link?id=S90019138" TargetMode="External"/><Relationship Id="rId221" Type="http://schemas.openxmlformats.org/officeDocument/2006/relationships/hyperlink" Target="http://www.riss.kr/link?id=S23469" TargetMode="External"/><Relationship Id="rId319" Type="http://schemas.openxmlformats.org/officeDocument/2006/relationships/hyperlink" Target="http://www.riss.kr/link?id=S104527" TargetMode="External"/><Relationship Id="rId526" Type="http://schemas.openxmlformats.org/officeDocument/2006/relationships/hyperlink" Target="http://www.riss.kr/link?id=S16627" TargetMode="External"/><Relationship Id="rId733" Type="http://schemas.openxmlformats.org/officeDocument/2006/relationships/hyperlink" Target="http://www.riss.kr/link?id=S411666" TargetMode="External"/><Relationship Id="rId940" Type="http://schemas.openxmlformats.org/officeDocument/2006/relationships/hyperlink" Target="http://www.riss.kr/link?id=S40249" TargetMode="External"/><Relationship Id="rId165" Type="http://schemas.openxmlformats.org/officeDocument/2006/relationships/hyperlink" Target="http://www.riss.kr/link?id=S16252" TargetMode="External"/><Relationship Id="rId372" Type="http://schemas.openxmlformats.org/officeDocument/2006/relationships/hyperlink" Target="http://www.riss.kr/link?id=S16067" TargetMode="External"/><Relationship Id="rId677" Type="http://schemas.openxmlformats.org/officeDocument/2006/relationships/hyperlink" Target="http://www.riss.kr/link?id=S402996" TargetMode="External"/><Relationship Id="rId800" Type="http://schemas.openxmlformats.org/officeDocument/2006/relationships/hyperlink" Target="http://www.riss.kr/link?id=S63516" TargetMode="External"/><Relationship Id="rId232" Type="http://schemas.openxmlformats.org/officeDocument/2006/relationships/hyperlink" Target="http://www.riss.kr/link?id=S11926" TargetMode="External"/><Relationship Id="rId884" Type="http://schemas.openxmlformats.org/officeDocument/2006/relationships/hyperlink" Target="http://www.riss.kr/link?id=S80312" TargetMode="External"/><Relationship Id="rId27" Type="http://schemas.openxmlformats.org/officeDocument/2006/relationships/hyperlink" Target="http://www.riss.kr/link?id=S14693" TargetMode="External"/><Relationship Id="rId537" Type="http://schemas.openxmlformats.org/officeDocument/2006/relationships/hyperlink" Target="http://www.riss.kr/link?id=S16558" TargetMode="External"/><Relationship Id="rId744" Type="http://schemas.openxmlformats.org/officeDocument/2006/relationships/hyperlink" Target="http://www.riss.kr/link?id=S15576" TargetMode="External"/><Relationship Id="rId951" Type="http://schemas.openxmlformats.org/officeDocument/2006/relationships/hyperlink" Target="http://www.riss.kr/link?id=S104123" TargetMode="External"/><Relationship Id="rId80" Type="http://schemas.openxmlformats.org/officeDocument/2006/relationships/hyperlink" Target="http://www.riss.kr/link?id=S20013054" TargetMode="External"/><Relationship Id="rId176" Type="http://schemas.openxmlformats.org/officeDocument/2006/relationships/hyperlink" Target="http://www.riss.kr/link?id=S16432" TargetMode="External"/><Relationship Id="rId383" Type="http://schemas.openxmlformats.org/officeDocument/2006/relationships/hyperlink" Target="http://www.riss.kr/link?id=S12868" TargetMode="External"/><Relationship Id="rId590" Type="http://schemas.openxmlformats.org/officeDocument/2006/relationships/hyperlink" Target="http://www.riss.kr/link?id=S31023689" TargetMode="External"/><Relationship Id="rId604" Type="http://schemas.openxmlformats.org/officeDocument/2006/relationships/hyperlink" Target="http://www.riss.kr/link?id=S20890" TargetMode="External"/><Relationship Id="rId811" Type="http://schemas.openxmlformats.org/officeDocument/2006/relationships/hyperlink" Target="http://www.riss.kr/link?id=S417041" TargetMode="External"/><Relationship Id="rId243" Type="http://schemas.openxmlformats.org/officeDocument/2006/relationships/hyperlink" Target="http://www.riss.kr/link?id=S20867" TargetMode="External"/><Relationship Id="rId450" Type="http://schemas.openxmlformats.org/officeDocument/2006/relationships/hyperlink" Target="http://www.riss.kr/link?id=S416806" TargetMode="External"/><Relationship Id="rId688" Type="http://schemas.openxmlformats.org/officeDocument/2006/relationships/hyperlink" Target="http://www.riss.kr/link?id=S20014915" TargetMode="External"/><Relationship Id="rId895" Type="http://schemas.openxmlformats.org/officeDocument/2006/relationships/hyperlink" Target="http://www.riss.kr/link?id=S44714" TargetMode="External"/><Relationship Id="rId909" Type="http://schemas.openxmlformats.org/officeDocument/2006/relationships/hyperlink" Target="http://www.riss.kr/link?id=S84178" TargetMode="External"/><Relationship Id="rId38" Type="http://schemas.openxmlformats.org/officeDocument/2006/relationships/hyperlink" Target="http://www.riss.kr/link?id=S70826" TargetMode="External"/><Relationship Id="rId103" Type="http://schemas.openxmlformats.org/officeDocument/2006/relationships/hyperlink" Target="http://www.riss.kr/link?id=S400716" TargetMode="External"/><Relationship Id="rId310" Type="http://schemas.openxmlformats.org/officeDocument/2006/relationships/hyperlink" Target="http://www.riss.kr/link?id=S31025232" TargetMode="External"/><Relationship Id="rId548" Type="http://schemas.openxmlformats.org/officeDocument/2006/relationships/hyperlink" Target="http://www.riss.kr/link?id=S108179" TargetMode="External"/><Relationship Id="rId755" Type="http://schemas.openxmlformats.org/officeDocument/2006/relationships/hyperlink" Target="http://www.riss.kr/link?id=S28534" TargetMode="External"/><Relationship Id="rId962" Type="http://schemas.openxmlformats.org/officeDocument/2006/relationships/hyperlink" Target="http://www.riss.kr/link?id=S104181" TargetMode="External"/><Relationship Id="rId91" Type="http://schemas.openxmlformats.org/officeDocument/2006/relationships/hyperlink" Target="http://www.riss.kr/link?id=S85045" TargetMode="External"/><Relationship Id="rId187" Type="http://schemas.openxmlformats.org/officeDocument/2006/relationships/hyperlink" Target="http://www.riss.kr/link?id=S60526" TargetMode="External"/><Relationship Id="rId394" Type="http://schemas.openxmlformats.org/officeDocument/2006/relationships/hyperlink" Target="http://www.riss.kr/link?id=S13555" TargetMode="External"/><Relationship Id="rId408" Type="http://schemas.openxmlformats.org/officeDocument/2006/relationships/hyperlink" Target="http://www.riss.kr/link?id=S14024" TargetMode="External"/><Relationship Id="rId615" Type="http://schemas.openxmlformats.org/officeDocument/2006/relationships/hyperlink" Target="http://www.riss.kr/link?id=S28961" TargetMode="External"/><Relationship Id="rId822" Type="http://schemas.openxmlformats.org/officeDocument/2006/relationships/hyperlink" Target="http://www.riss.kr/link?id=S20070027" TargetMode="External"/><Relationship Id="rId254" Type="http://schemas.openxmlformats.org/officeDocument/2006/relationships/hyperlink" Target="http://www.riss.kr/link?id=S408115" TargetMode="External"/><Relationship Id="rId699" Type="http://schemas.openxmlformats.org/officeDocument/2006/relationships/hyperlink" Target="http://www.riss.kr/link?id=S20085548" TargetMode="External"/><Relationship Id="rId49" Type="http://schemas.openxmlformats.org/officeDocument/2006/relationships/hyperlink" Target="http://www.riss.kr/link?id=S29089" TargetMode="External"/><Relationship Id="rId114" Type="http://schemas.openxmlformats.org/officeDocument/2006/relationships/hyperlink" Target="http://www.riss.kr/link?id=S417317" TargetMode="External"/><Relationship Id="rId461" Type="http://schemas.openxmlformats.org/officeDocument/2006/relationships/hyperlink" Target="http://www.riss.kr/link?id=S21696" TargetMode="External"/><Relationship Id="rId559" Type="http://schemas.openxmlformats.org/officeDocument/2006/relationships/hyperlink" Target="http://www.riss.kr/link?id=S403685" TargetMode="External"/><Relationship Id="rId766" Type="http://schemas.openxmlformats.org/officeDocument/2006/relationships/hyperlink" Target="http://www.riss.kr/link?id=S12927" TargetMode="External"/><Relationship Id="rId198" Type="http://schemas.openxmlformats.org/officeDocument/2006/relationships/hyperlink" Target="http://www.riss.kr/link?id=S31011779" TargetMode="External"/><Relationship Id="rId321" Type="http://schemas.openxmlformats.org/officeDocument/2006/relationships/hyperlink" Target="http://www.riss.kr/link?id=S31031409" TargetMode="External"/><Relationship Id="rId419" Type="http://schemas.openxmlformats.org/officeDocument/2006/relationships/hyperlink" Target="http://www.riss.kr/link?id=S405844" TargetMode="External"/><Relationship Id="rId626" Type="http://schemas.openxmlformats.org/officeDocument/2006/relationships/hyperlink" Target="http://www.riss.kr/link?id=S416464" TargetMode="External"/><Relationship Id="rId973" Type="http://schemas.openxmlformats.org/officeDocument/2006/relationships/hyperlink" Target="http://www.riss.kr/link?id=S58112" TargetMode="External"/><Relationship Id="rId833" Type="http://schemas.openxmlformats.org/officeDocument/2006/relationships/hyperlink" Target="http://www.riss.kr/link?id=S45128" TargetMode="External"/><Relationship Id="rId265" Type="http://schemas.openxmlformats.org/officeDocument/2006/relationships/hyperlink" Target="http://www.riss.kr/link?id=S42441" TargetMode="External"/><Relationship Id="rId472" Type="http://schemas.openxmlformats.org/officeDocument/2006/relationships/hyperlink" Target="http://www.riss.kr/link?id=S68611" TargetMode="External"/><Relationship Id="rId900" Type="http://schemas.openxmlformats.org/officeDocument/2006/relationships/hyperlink" Target="http://www.riss.kr/link?id=S63727" TargetMode="External"/><Relationship Id="rId125" Type="http://schemas.openxmlformats.org/officeDocument/2006/relationships/hyperlink" Target="http://www.riss.kr/link?id=S17146" TargetMode="External"/><Relationship Id="rId332" Type="http://schemas.openxmlformats.org/officeDocument/2006/relationships/hyperlink" Target="http://www.riss.kr/link?id=S16404" TargetMode="External"/><Relationship Id="rId777" Type="http://schemas.openxmlformats.org/officeDocument/2006/relationships/hyperlink" Target="http://www.riss.kr/link?id=S15504" TargetMode="External"/><Relationship Id="rId637" Type="http://schemas.openxmlformats.org/officeDocument/2006/relationships/hyperlink" Target="http://www.riss.kr/link?id=S31023273" TargetMode="External"/><Relationship Id="rId844" Type="http://schemas.openxmlformats.org/officeDocument/2006/relationships/hyperlink" Target="http://www.riss.kr/link?id=S19616" TargetMode="External"/><Relationship Id="rId276" Type="http://schemas.openxmlformats.org/officeDocument/2006/relationships/hyperlink" Target="http://www.riss.kr/link?id=S104848" TargetMode="External"/><Relationship Id="rId483" Type="http://schemas.openxmlformats.org/officeDocument/2006/relationships/hyperlink" Target="http://www.riss.kr/link?id=S105345" TargetMode="External"/><Relationship Id="rId690" Type="http://schemas.openxmlformats.org/officeDocument/2006/relationships/hyperlink" Target="http://www.riss.kr/link?id=S31002302" TargetMode="External"/><Relationship Id="rId704" Type="http://schemas.openxmlformats.org/officeDocument/2006/relationships/hyperlink" Target="http://www.riss.kr/link?id=S16489" TargetMode="External"/><Relationship Id="rId911" Type="http://schemas.openxmlformats.org/officeDocument/2006/relationships/hyperlink" Target="http://www.riss.kr/link?id=S43699" TargetMode="External"/><Relationship Id="rId40" Type="http://schemas.openxmlformats.org/officeDocument/2006/relationships/hyperlink" Target="http://www.riss.kr/link?id=S16798" TargetMode="External"/><Relationship Id="rId136" Type="http://schemas.openxmlformats.org/officeDocument/2006/relationships/hyperlink" Target="http://www.riss.kr/link?id=S414978" TargetMode="External"/><Relationship Id="rId343" Type="http://schemas.openxmlformats.org/officeDocument/2006/relationships/hyperlink" Target="http://www.riss.kr/link?id=S115994" TargetMode="External"/><Relationship Id="rId550" Type="http://schemas.openxmlformats.org/officeDocument/2006/relationships/hyperlink" Target="http://www.riss.kr/link?id=S402182" TargetMode="External"/><Relationship Id="rId788" Type="http://schemas.openxmlformats.org/officeDocument/2006/relationships/hyperlink" Target="http://www.riss.kr/link?id=S63539" TargetMode="External"/><Relationship Id="rId203" Type="http://schemas.openxmlformats.org/officeDocument/2006/relationships/hyperlink" Target="http://www.riss.kr/link?id=S16206" TargetMode="External"/><Relationship Id="rId648" Type="http://schemas.openxmlformats.org/officeDocument/2006/relationships/hyperlink" Target="http://www.riss.kr/link?id=S6601" TargetMode="External"/><Relationship Id="rId855" Type="http://schemas.openxmlformats.org/officeDocument/2006/relationships/hyperlink" Target="http://www.riss.kr/link?id=S19595" TargetMode="External"/><Relationship Id="rId287" Type="http://schemas.openxmlformats.org/officeDocument/2006/relationships/hyperlink" Target="http://www.riss.kr/link?id=S90001056" TargetMode="External"/><Relationship Id="rId410" Type="http://schemas.openxmlformats.org/officeDocument/2006/relationships/hyperlink" Target="http://www.riss.kr/link?id=S405207" TargetMode="External"/><Relationship Id="rId494" Type="http://schemas.openxmlformats.org/officeDocument/2006/relationships/hyperlink" Target="http://www.riss.kr/link?id=S413153" TargetMode="External"/><Relationship Id="rId508" Type="http://schemas.openxmlformats.org/officeDocument/2006/relationships/hyperlink" Target="http://www.riss.kr/link?id=S402867" TargetMode="External"/><Relationship Id="rId715" Type="http://schemas.openxmlformats.org/officeDocument/2006/relationships/hyperlink" Target="http://www.riss.kr/link?id=S11603111" TargetMode="External"/><Relationship Id="rId922" Type="http://schemas.openxmlformats.org/officeDocument/2006/relationships/hyperlink" Target="http://www.riss.kr/link?id=S49444" TargetMode="External"/><Relationship Id="rId147" Type="http://schemas.openxmlformats.org/officeDocument/2006/relationships/hyperlink" Target="http://www.riss.kr/link?id=S17324" TargetMode="External"/><Relationship Id="rId354" Type="http://schemas.openxmlformats.org/officeDocument/2006/relationships/hyperlink" Target="http://www.riss.kr/link?id=S16079" TargetMode="External"/><Relationship Id="rId799" Type="http://schemas.openxmlformats.org/officeDocument/2006/relationships/hyperlink" Target="http://www.riss.kr/link?id=S48936" TargetMode="External"/><Relationship Id="rId51" Type="http://schemas.openxmlformats.org/officeDocument/2006/relationships/hyperlink" Target="http://www.riss.kr/link?id=S17392" TargetMode="External"/><Relationship Id="rId561" Type="http://schemas.openxmlformats.org/officeDocument/2006/relationships/hyperlink" Target="http://www.riss.kr/link?id=S15711" TargetMode="External"/><Relationship Id="rId659" Type="http://schemas.openxmlformats.org/officeDocument/2006/relationships/hyperlink" Target="http://www.riss.kr/link?id=S13240" TargetMode="External"/><Relationship Id="rId866" Type="http://schemas.openxmlformats.org/officeDocument/2006/relationships/hyperlink" Target="http://www.riss.kr/link?id=S35299" TargetMode="External"/><Relationship Id="rId214" Type="http://schemas.openxmlformats.org/officeDocument/2006/relationships/hyperlink" Target="http://www.riss.kr/link?id=S20010150" TargetMode="External"/><Relationship Id="rId298" Type="http://schemas.openxmlformats.org/officeDocument/2006/relationships/hyperlink" Target="http://www.riss.kr/link?id=S20011127" TargetMode="External"/><Relationship Id="rId421" Type="http://schemas.openxmlformats.org/officeDocument/2006/relationships/hyperlink" Target="http://www.riss.kr/link?id=S403109" TargetMode="External"/><Relationship Id="rId519" Type="http://schemas.openxmlformats.org/officeDocument/2006/relationships/hyperlink" Target="http://www.riss.kr/link?id=S409757" TargetMode="External"/><Relationship Id="rId158" Type="http://schemas.openxmlformats.org/officeDocument/2006/relationships/hyperlink" Target="http://www.riss.kr/link?id=S30341" TargetMode="External"/><Relationship Id="rId726" Type="http://schemas.openxmlformats.org/officeDocument/2006/relationships/hyperlink" Target="http://www.riss.kr/link?id=S20011409" TargetMode="External"/><Relationship Id="rId933" Type="http://schemas.openxmlformats.org/officeDocument/2006/relationships/hyperlink" Target="http://www.riss.kr/link?id=S21980" TargetMode="External"/><Relationship Id="rId62" Type="http://schemas.openxmlformats.org/officeDocument/2006/relationships/hyperlink" Target="http://www.riss.kr/link?id=S14685" TargetMode="External"/><Relationship Id="rId365" Type="http://schemas.openxmlformats.org/officeDocument/2006/relationships/hyperlink" Target="http://www.riss.kr/link?id=S12588" TargetMode="External"/><Relationship Id="rId572" Type="http://schemas.openxmlformats.org/officeDocument/2006/relationships/hyperlink" Target="http://www.riss.kr/link?id=S29121" TargetMode="External"/><Relationship Id="rId225" Type="http://schemas.openxmlformats.org/officeDocument/2006/relationships/hyperlink" Target="http://www.riss.kr/link?id=S85559" TargetMode="External"/><Relationship Id="rId432" Type="http://schemas.openxmlformats.org/officeDocument/2006/relationships/hyperlink" Target="http://www.riss.kr/link?id=S16059" TargetMode="External"/><Relationship Id="rId877" Type="http://schemas.openxmlformats.org/officeDocument/2006/relationships/hyperlink" Target="http://www.riss.kr/link?id=S69646" TargetMode="External"/><Relationship Id="rId737" Type="http://schemas.openxmlformats.org/officeDocument/2006/relationships/hyperlink" Target="http://www.riss.kr/link?id=S12014" TargetMode="External"/><Relationship Id="rId944" Type="http://schemas.openxmlformats.org/officeDocument/2006/relationships/hyperlink" Target="http://www.riss.kr/link?id=S63537" TargetMode="External"/><Relationship Id="rId73" Type="http://schemas.openxmlformats.org/officeDocument/2006/relationships/hyperlink" Target="http://www.riss.kr/link?id=S20636" TargetMode="External"/><Relationship Id="rId169" Type="http://schemas.openxmlformats.org/officeDocument/2006/relationships/hyperlink" Target="http://www.riss.kr/link?id=S17074" TargetMode="External"/><Relationship Id="rId376" Type="http://schemas.openxmlformats.org/officeDocument/2006/relationships/hyperlink" Target="http://www.riss.kr/link?id=S31002943" TargetMode="External"/><Relationship Id="rId583" Type="http://schemas.openxmlformats.org/officeDocument/2006/relationships/hyperlink" Target="http://www.riss.kr/link?id=S90009235" TargetMode="External"/><Relationship Id="rId790" Type="http://schemas.openxmlformats.org/officeDocument/2006/relationships/hyperlink" Target="http://www.riss.kr/link?id=S85490" TargetMode="External"/><Relationship Id="rId804" Type="http://schemas.openxmlformats.org/officeDocument/2006/relationships/hyperlink" Target="http://www.riss.kr/link?id=S77936" TargetMode="External"/><Relationship Id="rId4" Type="http://schemas.openxmlformats.org/officeDocument/2006/relationships/hyperlink" Target="http://www.riss.kr/link?id=S409990" TargetMode="External"/><Relationship Id="rId236" Type="http://schemas.openxmlformats.org/officeDocument/2006/relationships/hyperlink" Target="http://www.riss.kr/link?id=S17531" TargetMode="External"/><Relationship Id="rId443" Type="http://schemas.openxmlformats.org/officeDocument/2006/relationships/hyperlink" Target="http://www.riss.kr/link?id=S12831" TargetMode="External"/><Relationship Id="rId650" Type="http://schemas.openxmlformats.org/officeDocument/2006/relationships/hyperlink" Target="http://www.riss.kr/link?id=S20012183" TargetMode="External"/><Relationship Id="rId888" Type="http://schemas.openxmlformats.org/officeDocument/2006/relationships/hyperlink" Target="http://www.riss.kr/link?id=S19808" TargetMode="External"/><Relationship Id="rId303" Type="http://schemas.openxmlformats.org/officeDocument/2006/relationships/hyperlink" Target="http://www.riss.kr/link?id=S17518" TargetMode="External"/><Relationship Id="rId748" Type="http://schemas.openxmlformats.org/officeDocument/2006/relationships/hyperlink" Target="http://www.riss.kr/link?id=S31024691" TargetMode="External"/><Relationship Id="rId955" Type="http://schemas.openxmlformats.org/officeDocument/2006/relationships/hyperlink" Target="http://www.riss.kr/link?id=S104262" TargetMode="External"/><Relationship Id="rId84" Type="http://schemas.openxmlformats.org/officeDocument/2006/relationships/hyperlink" Target="http://www.riss.kr/link?id=S16085" TargetMode="External"/><Relationship Id="rId387" Type="http://schemas.openxmlformats.org/officeDocument/2006/relationships/hyperlink" Target="http://www.riss.kr/link?id=S90023891" TargetMode="External"/><Relationship Id="rId510" Type="http://schemas.openxmlformats.org/officeDocument/2006/relationships/hyperlink" Target="http://www.riss.kr/link?id=S17467" TargetMode="External"/><Relationship Id="rId594" Type="http://schemas.openxmlformats.org/officeDocument/2006/relationships/hyperlink" Target="http://www.riss.kr/link?id=S31000856" TargetMode="External"/><Relationship Id="rId608" Type="http://schemas.openxmlformats.org/officeDocument/2006/relationships/hyperlink" Target="http://www.riss.kr/link?id=S13543" TargetMode="External"/><Relationship Id="rId815" Type="http://schemas.openxmlformats.org/officeDocument/2006/relationships/hyperlink" Target="http://www.riss.kr/link?id=S20091842" TargetMode="External"/><Relationship Id="rId247" Type="http://schemas.openxmlformats.org/officeDocument/2006/relationships/hyperlink" Target="http://www.riss.kr/link?id=S17530" TargetMode="External"/><Relationship Id="rId899" Type="http://schemas.openxmlformats.org/officeDocument/2006/relationships/hyperlink" Target="http://www.riss.kr/link?id=S80026" TargetMode="External"/><Relationship Id="rId107" Type="http://schemas.openxmlformats.org/officeDocument/2006/relationships/hyperlink" Target="http://www.riss.kr/link?id=S17152" TargetMode="External"/><Relationship Id="rId454" Type="http://schemas.openxmlformats.org/officeDocument/2006/relationships/hyperlink" Target="http://www.riss.kr/link?id=S412198" TargetMode="External"/><Relationship Id="rId661" Type="http://schemas.openxmlformats.org/officeDocument/2006/relationships/hyperlink" Target="http://www.riss.kr/link?id=S31019601" TargetMode="External"/><Relationship Id="rId759" Type="http://schemas.openxmlformats.org/officeDocument/2006/relationships/hyperlink" Target="http://www.riss.kr/link?id=S6141" TargetMode="External"/><Relationship Id="rId966" Type="http://schemas.openxmlformats.org/officeDocument/2006/relationships/hyperlink" Target="http://www.riss.kr/link?id=S61039" TargetMode="External"/><Relationship Id="rId11" Type="http://schemas.openxmlformats.org/officeDocument/2006/relationships/hyperlink" Target="http://www.riss.kr/link?id=S17591" TargetMode="External"/><Relationship Id="rId314" Type="http://schemas.openxmlformats.org/officeDocument/2006/relationships/hyperlink" Target="http://www.riss.kr/link?id=S416814" TargetMode="External"/><Relationship Id="rId398" Type="http://schemas.openxmlformats.org/officeDocument/2006/relationships/hyperlink" Target="http://www.riss.kr/link?id=S90008450" TargetMode="External"/><Relationship Id="rId521" Type="http://schemas.openxmlformats.org/officeDocument/2006/relationships/hyperlink" Target="http://www.riss.kr/link?id=S15532" TargetMode="External"/><Relationship Id="rId619" Type="http://schemas.openxmlformats.org/officeDocument/2006/relationships/hyperlink" Target="http://www.riss.kr/link?id=S20010759" TargetMode="External"/><Relationship Id="rId95" Type="http://schemas.openxmlformats.org/officeDocument/2006/relationships/hyperlink" Target="http://www.riss.kr/link?id=S5355" TargetMode="External"/><Relationship Id="rId160" Type="http://schemas.openxmlformats.org/officeDocument/2006/relationships/hyperlink" Target="http://www.riss.kr/link?id=S402314" TargetMode="External"/><Relationship Id="rId826" Type="http://schemas.openxmlformats.org/officeDocument/2006/relationships/hyperlink" Target="http://www.riss.kr/link?id=S40515" TargetMode="External"/><Relationship Id="rId258" Type="http://schemas.openxmlformats.org/officeDocument/2006/relationships/hyperlink" Target="http://www.riss.kr/link?id=S143934" TargetMode="External"/><Relationship Id="rId465" Type="http://schemas.openxmlformats.org/officeDocument/2006/relationships/hyperlink" Target="http://www.riss.kr/link?id=S21159" TargetMode="External"/><Relationship Id="rId672" Type="http://schemas.openxmlformats.org/officeDocument/2006/relationships/hyperlink" Target="http://www.riss.kr/link?id=S417077" TargetMode="External"/><Relationship Id="rId22" Type="http://schemas.openxmlformats.org/officeDocument/2006/relationships/hyperlink" Target="http://www.riss.kr/link?id=S21699" TargetMode="External"/><Relationship Id="rId118" Type="http://schemas.openxmlformats.org/officeDocument/2006/relationships/hyperlink" Target="http://www.riss.kr/link?id=S115375" TargetMode="External"/><Relationship Id="rId325" Type="http://schemas.openxmlformats.org/officeDocument/2006/relationships/hyperlink" Target="http://www.riss.kr/link?id=S16083" TargetMode="External"/><Relationship Id="rId532" Type="http://schemas.openxmlformats.org/officeDocument/2006/relationships/hyperlink" Target="http://www.riss.kr/link?id=S15527" TargetMode="External"/><Relationship Id="rId977" Type="http://schemas.openxmlformats.org/officeDocument/2006/relationships/hyperlink" Target="http://www.riss.kr/link?id=S20109" TargetMode="External"/><Relationship Id="rId171" Type="http://schemas.openxmlformats.org/officeDocument/2006/relationships/hyperlink" Target="http://www.riss.kr/link?id=S80384" TargetMode="External"/><Relationship Id="rId837" Type="http://schemas.openxmlformats.org/officeDocument/2006/relationships/hyperlink" Target="http://www.riss.kr/link?id=S21878" TargetMode="External"/><Relationship Id="rId269" Type="http://schemas.openxmlformats.org/officeDocument/2006/relationships/hyperlink" Target="http://www.riss.kr/link?id=S402120" TargetMode="External"/><Relationship Id="rId476" Type="http://schemas.openxmlformats.org/officeDocument/2006/relationships/hyperlink" Target="http://www.riss.kr/link?id=S411696" TargetMode="External"/><Relationship Id="rId683" Type="http://schemas.openxmlformats.org/officeDocument/2006/relationships/hyperlink" Target="http://www.riss.kr/link?id=S28428" TargetMode="External"/><Relationship Id="rId890" Type="http://schemas.openxmlformats.org/officeDocument/2006/relationships/hyperlink" Target="http://www.riss.kr/link?id=S416880" TargetMode="External"/><Relationship Id="rId904" Type="http://schemas.openxmlformats.org/officeDocument/2006/relationships/hyperlink" Target="http://www.riss.kr/link?id=S35658" TargetMode="External"/><Relationship Id="rId33" Type="http://schemas.openxmlformats.org/officeDocument/2006/relationships/hyperlink" Target="http://www.riss.kr/link?id=S31000236" TargetMode="External"/><Relationship Id="rId129" Type="http://schemas.openxmlformats.org/officeDocument/2006/relationships/hyperlink" Target="http://www.riss.kr/link?id=S400897" TargetMode="External"/><Relationship Id="rId336" Type="http://schemas.openxmlformats.org/officeDocument/2006/relationships/hyperlink" Target="http://www.riss.kr/link?id=S408353" TargetMode="External"/><Relationship Id="rId543" Type="http://schemas.openxmlformats.org/officeDocument/2006/relationships/hyperlink" Target="http://www.riss.kr/link?id=S6626" TargetMode="External"/><Relationship Id="rId182" Type="http://schemas.openxmlformats.org/officeDocument/2006/relationships/hyperlink" Target="http://www.riss.kr/link?id=S143666" TargetMode="External"/><Relationship Id="rId403" Type="http://schemas.openxmlformats.org/officeDocument/2006/relationships/hyperlink" Target="http://www.riss.kr/link?id=S20085525" TargetMode="External"/><Relationship Id="rId750" Type="http://schemas.openxmlformats.org/officeDocument/2006/relationships/hyperlink" Target="http://www.riss.kr/link?id=S15438" TargetMode="External"/><Relationship Id="rId848" Type="http://schemas.openxmlformats.org/officeDocument/2006/relationships/hyperlink" Target="http://www.riss.kr/link?id=S416847" TargetMode="External"/><Relationship Id="rId487" Type="http://schemas.openxmlformats.org/officeDocument/2006/relationships/hyperlink" Target="http://www.riss.kr/link?id=S20011296" TargetMode="External"/><Relationship Id="rId610" Type="http://schemas.openxmlformats.org/officeDocument/2006/relationships/hyperlink" Target="http://www.riss.kr/link?id=S11634165" TargetMode="External"/><Relationship Id="rId694" Type="http://schemas.openxmlformats.org/officeDocument/2006/relationships/hyperlink" Target="http://www.riss.kr/link?id=S412793" TargetMode="External"/><Relationship Id="rId708" Type="http://schemas.openxmlformats.org/officeDocument/2006/relationships/hyperlink" Target="http://www.riss.kr/link?id=S16322" TargetMode="External"/><Relationship Id="rId915" Type="http://schemas.openxmlformats.org/officeDocument/2006/relationships/hyperlink" Target="http://www.riss.kr/link?id=S13948" TargetMode="External"/><Relationship Id="rId347" Type="http://schemas.openxmlformats.org/officeDocument/2006/relationships/hyperlink" Target="http://www.riss.kr/link?id=S15476" TargetMode="External"/><Relationship Id="rId44" Type="http://schemas.openxmlformats.org/officeDocument/2006/relationships/hyperlink" Target="http://www.riss.kr/link?id=S23698" TargetMode="External"/><Relationship Id="rId554" Type="http://schemas.openxmlformats.org/officeDocument/2006/relationships/hyperlink" Target="http://www.riss.kr/link?id=S20950" TargetMode="External"/><Relationship Id="rId761" Type="http://schemas.openxmlformats.org/officeDocument/2006/relationships/hyperlink" Target="http://www.riss.kr/link?id=S17778" TargetMode="External"/><Relationship Id="rId859" Type="http://schemas.openxmlformats.org/officeDocument/2006/relationships/hyperlink" Target="http://www.riss.kr/link?id=S93106" TargetMode="External"/><Relationship Id="rId193" Type="http://schemas.openxmlformats.org/officeDocument/2006/relationships/hyperlink" Target="http://www.riss.kr/link?id=S90002399" TargetMode="External"/><Relationship Id="rId207" Type="http://schemas.openxmlformats.org/officeDocument/2006/relationships/hyperlink" Target="http://www.riss.kr/link?id=S418434" TargetMode="External"/><Relationship Id="rId414" Type="http://schemas.openxmlformats.org/officeDocument/2006/relationships/hyperlink" Target="http://www.riss.kr/link?id=S405766" TargetMode="External"/><Relationship Id="rId498" Type="http://schemas.openxmlformats.org/officeDocument/2006/relationships/hyperlink" Target="http://www.riss.kr/link?id=S407616" TargetMode="External"/><Relationship Id="rId621" Type="http://schemas.openxmlformats.org/officeDocument/2006/relationships/hyperlink" Target="http://www.riss.kr/link?id=S15411" TargetMode="External"/><Relationship Id="rId260" Type="http://schemas.openxmlformats.org/officeDocument/2006/relationships/hyperlink" Target="http://www.riss.kr/link?id=S402827" TargetMode="External"/><Relationship Id="rId719" Type="http://schemas.openxmlformats.org/officeDocument/2006/relationships/hyperlink" Target="http://www.riss.kr/link?id=S17558" TargetMode="External"/><Relationship Id="rId926" Type="http://schemas.openxmlformats.org/officeDocument/2006/relationships/hyperlink" Target="http://www.riss.kr/link?id=S31425" TargetMode="External"/><Relationship Id="rId55" Type="http://schemas.openxmlformats.org/officeDocument/2006/relationships/hyperlink" Target="http://www.riss.kr/link?id=S116057" TargetMode="External"/><Relationship Id="rId120" Type="http://schemas.openxmlformats.org/officeDocument/2006/relationships/hyperlink" Target="http://www.riss.kr/link?id=S414399" TargetMode="External"/><Relationship Id="rId358" Type="http://schemas.openxmlformats.org/officeDocument/2006/relationships/hyperlink" Target="http://www.riss.kr/link?id=S16074" TargetMode="External"/><Relationship Id="rId565" Type="http://schemas.openxmlformats.org/officeDocument/2006/relationships/hyperlink" Target="http://www.riss.kr/link?id=S15472" TargetMode="External"/><Relationship Id="rId772" Type="http://schemas.openxmlformats.org/officeDocument/2006/relationships/hyperlink" Target="http://www.riss.kr/link?id=S20527" TargetMode="External"/><Relationship Id="rId218" Type="http://schemas.openxmlformats.org/officeDocument/2006/relationships/hyperlink" Target="http://www.riss.kr/link?id=S16699" TargetMode="External"/><Relationship Id="rId425" Type="http://schemas.openxmlformats.org/officeDocument/2006/relationships/hyperlink" Target="http://www.riss.kr/link?id=S16060" TargetMode="External"/><Relationship Id="rId632" Type="http://schemas.openxmlformats.org/officeDocument/2006/relationships/hyperlink" Target="http://www.riss.kr/link?id=S417085" TargetMode="External"/><Relationship Id="rId271" Type="http://schemas.openxmlformats.org/officeDocument/2006/relationships/hyperlink" Target="http://www.riss.kr/link?id=S21836" TargetMode="External"/><Relationship Id="rId937" Type="http://schemas.openxmlformats.org/officeDocument/2006/relationships/hyperlink" Target="http://www.riss.kr/link?id=S105323" TargetMode="External"/><Relationship Id="rId66" Type="http://schemas.openxmlformats.org/officeDocument/2006/relationships/hyperlink" Target="http://www.riss.kr/link?id=S417245" TargetMode="External"/><Relationship Id="rId131" Type="http://schemas.openxmlformats.org/officeDocument/2006/relationships/hyperlink" Target="http://www.riss.kr/link?id=S57569" TargetMode="External"/><Relationship Id="rId369" Type="http://schemas.openxmlformats.org/officeDocument/2006/relationships/hyperlink" Target="http://www.riss.kr/link?id=S16068" TargetMode="External"/><Relationship Id="rId576" Type="http://schemas.openxmlformats.org/officeDocument/2006/relationships/hyperlink" Target="http://www.riss.kr/link?id=S15063" TargetMode="External"/><Relationship Id="rId783" Type="http://schemas.openxmlformats.org/officeDocument/2006/relationships/hyperlink" Target="http://www.riss.kr/link?id=S11606249" TargetMode="External"/><Relationship Id="rId229" Type="http://schemas.openxmlformats.org/officeDocument/2006/relationships/hyperlink" Target="http://www.riss.kr/link?id=S15628" TargetMode="External"/><Relationship Id="rId436" Type="http://schemas.openxmlformats.org/officeDocument/2006/relationships/hyperlink" Target="http://www.riss.kr/link?id=S16057" TargetMode="External"/><Relationship Id="rId643" Type="http://schemas.openxmlformats.org/officeDocument/2006/relationships/hyperlink" Target="http://www.riss.kr/link?id=S415386" TargetMode="External"/><Relationship Id="rId850" Type="http://schemas.openxmlformats.org/officeDocument/2006/relationships/hyperlink" Target="http://www.riss.kr/link?id=S87915" TargetMode="External"/><Relationship Id="rId948" Type="http://schemas.openxmlformats.org/officeDocument/2006/relationships/hyperlink" Target="http://www.riss.kr/link?id=S413798" TargetMode="External"/><Relationship Id="rId77" Type="http://schemas.openxmlformats.org/officeDocument/2006/relationships/hyperlink" Target="http://www.riss.kr/link?id=S411913" TargetMode="External"/><Relationship Id="rId282" Type="http://schemas.openxmlformats.org/officeDocument/2006/relationships/hyperlink" Target="http://www.riss.kr/link?id=S30000638" TargetMode="External"/><Relationship Id="rId503" Type="http://schemas.openxmlformats.org/officeDocument/2006/relationships/hyperlink" Target="http://www.riss.kr/link?id=S409124" TargetMode="External"/><Relationship Id="rId587" Type="http://schemas.openxmlformats.org/officeDocument/2006/relationships/hyperlink" Target="http://www.riss.kr/link?id=S11574226" TargetMode="External"/><Relationship Id="rId710" Type="http://schemas.openxmlformats.org/officeDocument/2006/relationships/hyperlink" Target="http://www.riss.kr/link?id=S11643712" TargetMode="External"/><Relationship Id="rId808" Type="http://schemas.openxmlformats.org/officeDocument/2006/relationships/hyperlink" Target="http://www.riss.kr/link?id=S417018" TargetMode="External"/><Relationship Id="rId8" Type="http://schemas.openxmlformats.org/officeDocument/2006/relationships/hyperlink" Target="http://www.riss.kr/link?id=S5452" TargetMode="External"/><Relationship Id="rId142" Type="http://schemas.openxmlformats.org/officeDocument/2006/relationships/hyperlink" Target="http://www.riss.kr/link?id=S60967" TargetMode="External"/><Relationship Id="rId447" Type="http://schemas.openxmlformats.org/officeDocument/2006/relationships/hyperlink" Target="http://www.riss.kr/link?id=S16902" TargetMode="External"/><Relationship Id="rId794" Type="http://schemas.openxmlformats.org/officeDocument/2006/relationships/hyperlink" Target="http://www.riss.kr/link?id=S48390" TargetMode="External"/><Relationship Id="rId654" Type="http://schemas.openxmlformats.org/officeDocument/2006/relationships/hyperlink" Target="http://www.riss.kr/link?id=S16848" TargetMode="External"/><Relationship Id="rId861" Type="http://schemas.openxmlformats.org/officeDocument/2006/relationships/hyperlink" Target="http://www.riss.kr/link?id=S31001099" TargetMode="External"/><Relationship Id="rId959" Type="http://schemas.openxmlformats.org/officeDocument/2006/relationships/hyperlink" Target="http://www.riss.kr/link?id=S79477" TargetMode="External"/><Relationship Id="rId293" Type="http://schemas.openxmlformats.org/officeDocument/2006/relationships/hyperlink" Target="http://www.riss.kr/link?id=S103860" TargetMode="External"/><Relationship Id="rId307" Type="http://schemas.openxmlformats.org/officeDocument/2006/relationships/hyperlink" Target="http://www.riss.kr/link?id=S60899" TargetMode="External"/><Relationship Id="rId514" Type="http://schemas.openxmlformats.org/officeDocument/2006/relationships/hyperlink" Target="http://www.riss.kr/link?id=S31000230" TargetMode="External"/><Relationship Id="rId721" Type="http://schemas.openxmlformats.org/officeDocument/2006/relationships/hyperlink" Target="http://www.riss.kr/link?id=S115630" TargetMode="External"/><Relationship Id="rId88" Type="http://schemas.openxmlformats.org/officeDocument/2006/relationships/hyperlink" Target="http://www.riss.kr/link?id=S407073" TargetMode="External"/><Relationship Id="rId153" Type="http://schemas.openxmlformats.org/officeDocument/2006/relationships/hyperlink" Target="http://www.riss.kr/link?id=S90024680" TargetMode="External"/><Relationship Id="rId360" Type="http://schemas.openxmlformats.org/officeDocument/2006/relationships/hyperlink" Target="http://www.riss.kr/link?id=S402394" TargetMode="External"/><Relationship Id="rId598" Type="http://schemas.openxmlformats.org/officeDocument/2006/relationships/hyperlink" Target="http://www.riss.kr/link?id=S35207" TargetMode="External"/><Relationship Id="rId819" Type="http://schemas.openxmlformats.org/officeDocument/2006/relationships/hyperlink" Target="http://www.riss.kr/link?id=S27654" TargetMode="External"/><Relationship Id="rId220" Type="http://schemas.openxmlformats.org/officeDocument/2006/relationships/hyperlink" Target="http://www.riss.kr/link?id=S31700" TargetMode="External"/><Relationship Id="rId458" Type="http://schemas.openxmlformats.org/officeDocument/2006/relationships/hyperlink" Target="http://www.riss.kr/link?id=S20156" TargetMode="External"/><Relationship Id="rId665" Type="http://schemas.openxmlformats.org/officeDocument/2006/relationships/hyperlink" Target="http://www.riss.kr/link?id=S17420" TargetMode="External"/><Relationship Id="rId872" Type="http://schemas.openxmlformats.org/officeDocument/2006/relationships/hyperlink" Target="http://www.riss.kr/link?id=S11625015" TargetMode="External"/><Relationship Id="rId15" Type="http://schemas.openxmlformats.org/officeDocument/2006/relationships/hyperlink" Target="http://www.riss.kr/link?id=S11574113" TargetMode="External"/><Relationship Id="rId318" Type="http://schemas.openxmlformats.org/officeDocument/2006/relationships/hyperlink" Target="http://www.riss.kr/link?id=S402589" TargetMode="External"/><Relationship Id="rId525" Type="http://schemas.openxmlformats.org/officeDocument/2006/relationships/hyperlink" Target="http://www.riss.kr/link?id=S28468" TargetMode="External"/><Relationship Id="rId732" Type="http://schemas.openxmlformats.org/officeDocument/2006/relationships/hyperlink" Target="http://www.riss.kr/link?id=S60841" TargetMode="External"/><Relationship Id="rId99" Type="http://schemas.openxmlformats.org/officeDocument/2006/relationships/hyperlink" Target="http://www.riss.kr/link?id=S16672" TargetMode="External"/><Relationship Id="rId164" Type="http://schemas.openxmlformats.org/officeDocument/2006/relationships/hyperlink" Target="http://www.riss.kr/link?id=S17129" TargetMode="External"/><Relationship Id="rId371" Type="http://schemas.openxmlformats.org/officeDocument/2006/relationships/hyperlink" Target="http://www.riss.kr/link?id=S418720" TargetMode="External"/><Relationship Id="rId469" Type="http://schemas.openxmlformats.org/officeDocument/2006/relationships/hyperlink" Target="http://www.riss.kr/link?id=S28149" TargetMode="External"/><Relationship Id="rId676" Type="http://schemas.openxmlformats.org/officeDocument/2006/relationships/hyperlink" Target="http://www.riss.kr/link?id=S402360" TargetMode="External"/><Relationship Id="rId883" Type="http://schemas.openxmlformats.org/officeDocument/2006/relationships/hyperlink" Target="http://www.riss.kr/link?id=S7127" TargetMode="External"/><Relationship Id="rId26" Type="http://schemas.openxmlformats.org/officeDocument/2006/relationships/hyperlink" Target="http://www.riss.kr/link?id=S404755" TargetMode="External"/><Relationship Id="rId231" Type="http://schemas.openxmlformats.org/officeDocument/2006/relationships/hyperlink" Target="http://www.riss.kr/link?id=S16191" TargetMode="External"/><Relationship Id="rId329" Type="http://schemas.openxmlformats.org/officeDocument/2006/relationships/hyperlink" Target="http://www.riss.kr/link?id=S61261" TargetMode="External"/><Relationship Id="rId536" Type="http://schemas.openxmlformats.org/officeDocument/2006/relationships/hyperlink" Target="http://www.riss.kr/link?id=S31001281" TargetMode="External"/><Relationship Id="rId175" Type="http://schemas.openxmlformats.org/officeDocument/2006/relationships/hyperlink" Target="http://www.riss.kr/link?id=S15418" TargetMode="External"/><Relationship Id="rId743" Type="http://schemas.openxmlformats.org/officeDocument/2006/relationships/hyperlink" Target="http://www.riss.kr/link?id=S15985" TargetMode="External"/><Relationship Id="rId950" Type="http://schemas.openxmlformats.org/officeDocument/2006/relationships/hyperlink" Target="http://www.riss.kr/link?id=S36572" TargetMode="External"/><Relationship Id="rId382" Type="http://schemas.openxmlformats.org/officeDocument/2006/relationships/hyperlink" Target="http://www.riss.kr/link?id=S5542" TargetMode="External"/><Relationship Id="rId603" Type="http://schemas.openxmlformats.org/officeDocument/2006/relationships/hyperlink" Target="http://www.riss.kr/link?id=S20891" TargetMode="External"/><Relationship Id="rId687" Type="http://schemas.openxmlformats.org/officeDocument/2006/relationships/hyperlink" Target="http://www.riss.kr/link?id=S401354" TargetMode="External"/><Relationship Id="rId810" Type="http://schemas.openxmlformats.org/officeDocument/2006/relationships/hyperlink" Target="http://www.riss.kr/link?id=S26171" TargetMode="External"/><Relationship Id="rId908" Type="http://schemas.openxmlformats.org/officeDocument/2006/relationships/hyperlink" Target="http://www.riss.kr/link?id=S48722" TargetMode="External"/><Relationship Id="rId242" Type="http://schemas.openxmlformats.org/officeDocument/2006/relationships/hyperlink" Target="http://www.riss.kr/link?id=S16119" TargetMode="External"/><Relationship Id="rId894" Type="http://schemas.openxmlformats.org/officeDocument/2006/relationships/hyperlink" Target="http://www.riss.kr/link?id=S416788" TargetMode="External"/><Relationship Id="rId37" Type="http://schemas.openxmlformats.org/officeDocument/2006/relationships/hyperlink" Target="http://www.riss.kr/link?id=S15668" TargetMode="External"/><Relationship Id="rId102" Type="http://schemas.openxmlformats.org/officeDocument/2006/relationships/hyperlink" Target="http://www.riss.kr/link?id=S16989" TargetMode="External"/><Relationship Id="rId547" Type="http://schemas.openxmlformats.org/officeDocument/2006/relationships/hyperlink" Target="http://www.riss.kr/link?id=S73295" TargetMode="External"/><Relationship Id="rId754" Type="http://schemas.openxmlformats.org/officeDocument/2006/relationships/hyperlink" Target="http://www.riss.kr/link?id=S31011773" TargetMode="External"/><Relationship Id="rId961" Type="http://schemas.openxmlformats.org/officeDocument/2006/relationships/hyperlink" Target="http://www.riss.kr/link?id=S104180" TargetMode="External"/><Relationship Id="rId90" Type="http://schemas.openxmlformats.org/officeDocument/2006/relationships/hyperlink" Target="http://www.riss.kr/link?id=S29005" TargetMode="External"/><Relationship Id="rId186" Type="http://schemas.openxmlformats.org/officeDocument/2006/relationships/hyperlink" Target="http://www.riss.kr/link?id=S31000325" TargetMode="External"/><Relationship Id="rId393" Type="http://schemas.openxmlformats.org/officeDocument/2006/relationships/hyperlink" Target="http://www.riss.kr/link?id=S16064" TargetMode="External"/><Relationship Id="rId407" Type="http://schemas.openxmlformats.org/officeDocument/2006/relationships/hyperlink" Target="http://www.riss.kr/link?id=S97822" TargetMode="External"/><Relationship Id="rId614" Type="http://schemas.openxmlformats.org/officeDocument/2006/relationships/hyperlink" Target="http://www.riss.kr/link?id=S5548" TargetMode="External"/><Relationship Id="rId821" Type="http://schemas.openxmlformats.org/officeDocument/2006/relationships/hyperlink" Target="http://www.riss.kr/link?id=S19603" TargetMode="External"/><Relationship Id="rId253" Type="http://schemas.openxmlformats.org/officeDocument/2006/relationships/hyperlink" Target="http://www.riss.kr/link?id=S30004950" TargetMode="External"/><Relationship Id="rId460" Type="http://schemas.openxmlformats.org/officeDocument/2006/relationships/hyperlink" Target="http://www.riss.kr/link?id=S11575513" TargetMode="External"/><Relationship Id="rId698" Type="http://schemas.openxmlformats.org/officeDocument/2006/relationships/hyperlink" Target="http://www.riss.kr/link?id=S13274" TargetMode="External"/><Relationship Id="rId919" Type="http://schemas.openxmlformats.org/officeDocument/2006/relationships/hyperlink" Target="http://www.riss.kr/link?id=S38258" TargetMode="External"/><Relationship Id="rId48" Type="http://schemas.openxmlformats.org/officeDocument/2006/relationships/hyperlink" Target="http://www.riss.kr/link?id=S17579" TargetMode="External"/><Relationship Id="rId113" Type="http://schemas.openxmlformats.org/officeDocument/2006/relationships/hyperlink" Target="http://www.riss.kr/link?id=S28294" TargetMode="External"/><Relationship Id="rId320" Type="http://schemas.openxmlformats.org/officeDocument/2006/relationships/hyperlink" Target="http://www.riss.kr/link?id=S21689" TargetMode="External"/><Relationship Id="rId558" Type="http://schemas.openxmlformats.org/officeDocument/2006/relationships/hyperlink" Target="http://www.riss.kr/link?id=S115629" TargetMode="External"/><Relationship Id="rId765" Type="http://schemas.openxmlformats.org/officeDocument/2006/relationships/hyperlink" Target="http://www.riss.kr/link?id=S31028687" TargetMode="External"/><Relationship Id="rId972" Type="http://schemas.openxmlformats.org/officeDocument/2006/relationships/hyperlink" Target="http://www.riss.kr/link?id=S85829" TargetMode="External"/><Relationship Id="rId197" Type="http://schemas.openxmlformats.org/officeDocument/2006/relationships/hyperlink" Target="http://www.riss.kr/link?id=S414391" TargetMode="External"/><Relationship Id="rId418" Type="http://schemas.openxmlformats.org/officeDocument/2006/relationships/hyperlink" Target="http://www.riss.kr/link?id=S13289" TargetMode="External"/><Relationship Id="rId625" Type="http://schemas.openxmlformats.org/officeDocument/2006/relationships/hyperlink" Target="http://www.riss.kr/link?id=S15954" TargetMode="External"/><Relationship Id="rId832" Type="http://schemas.openxmlformats.org/officeDocument/2006/relationships/hyperlink" Target="http://www.riss.kr/link?id=S48404" TargetMode="External"/><Relationship Id="rId264" Type="http://schemas.openxmlformats.org/officeDocument/2006/relationships/hyperlink" Target="http://www.riss.kr/link?id=S402265" TargetMode="External"/><Relationship Id="rId471" Type="http://schemas.openxmlformats.org/officeDocument/2006/relationships/hyperlink" Target="http://www.riss.kr/link?id=S21692" TargetMode="External"/><Relationship Id="rId59" Type="http://schemas.openxmlformats.org/officeDocument/2006/relationships/hyperlink" Target="http://www.riss.kr/link?id=S21302" TargetMode="External"/><Relationship Id="rId124" Type="http://schemas.openxmlformats.org/officeDocument/2006/relationships/hyperlink" Target="http://www.riss.kr/link?id=S16440" TargetMode="External"/><Relationship Id="rId569" Type="http://schemas.openxmlformats.org/officeDocument/2006/relationships/hyperlink" Target="http://www.riss.kr/link?id=S24337" TargetMode="External"/><Relationship Id="rId776" Type="http://schemas.openxmlformats.org/officeDocument/2006/relationships/hyperlink" Target="http://www.riss.kr/link?id=S414819" TargetMode="External"/><Relationship Id="rId331" Type="http://schemas.openxmlformats.org/officeDocument/2006/relationships/hyperlink" Target="http://www.riss.kr/link?id=S414304" TargetMode="External"/><Relationship Id="rId429" Type="http://schemas.openxmlformats.org/officeDocument/2006/relationships/hyperlink" Target="http://www.riss.kr/link?id=S90000827" TargetMode="External"/><Relationship Id="rId636" Type="http://schemas.openxmlformats.org/officeDocument/2006/relationships/hyperlink" Target="http://www.riss.kr/link?id=S107335" TargetMode="External"/><Relationship Id="rId843" Type="http://schemas.openxmlformats.org/officeDocument/2006/relationships/hyperlink" Target="http://www.riss.kr/link?id=S48729" TargetMode="External"/><Relationship Id="rId275" Type="http://schemas.openxmlformats.org/officeDocument/2006/relationships/hyperlink" Target="http://www.riss.kr/link?id=S31000353" TargetMode="External"/><Relationship Id="rId482" Type="http://schemas.openxmlformats.org/officeDocument/2006/relationships/hyperlink" Target="http://www.riss.kr/link?id=S11588287" TargetMode="External"/><Relationship Id="rId703" Type="http://schemas.openxmlformats.org/officeDocument/2006/relationships/hyperlink" Target="http://www.riss.kr/link?id=S80310" TargetMode="External"/><Relationship Id="rId910" Type="http://schemas.openxmlformats.org/officeDocument/2006/relationships/hyperlink" Target="http://www.riss.kr/link?id=S84179" TargetMode="External"/><Relationship Id="rId135" Type="http://schemas.openxmlformats.org/officeDocument/2006/relationships/hyperlink" Target="http://www.riss.kr/link?id=S30004502" TargetMode="External"/><Relationship Id="rId342" Type="http://schemas.openxmlformats.org/officeDocument/2006/relationships/hyperlink" Target="http://www.riss.kr/link?id=S12566" TargetMode="External"/><Relationship Id="rId787" Type="http://schemas.openxmlformats.org/officeDocument/2006/relationships/hyperlink" Target="http://www.riss.kr/link?id=S64419" TargetMode="External"/><Relationship Id="rId202" Type="http://schemas.openxmlformats.org/officeDocument/2006/relationships/hyperlink" Target="http://www.riss.kr/link?id=S401818" TargetMode="External"/><Relationship Id="rId647" Type="http://schemas.openxmlformats.org/officeDocument/2006/relationships/hyperlink" Target="http://www.riss.kr/link?id=S417529" TargetMode="External"/><Relationship Id="rId854" Type="http://schemas.openxmlformats.org/officeDocument/2006/relationships/hyperlink" Target="http://www.riss.kr/link?id=S63709" TargetMode="External"/><Relationship Id="rId286" Type="http://schemas.openxmlformats.org/officeDocument/2006/relationships/hyperlink" Target="http://www.riss.kr/link?id=S61420" TargetMode="External"/><Relationship Id="rId493" Type="http://schemas.openxmlformats.org/officeDocument/2006/relationships/hyperlink" Target="http://www.riss.kr/link?id=S11573535" TargetMode="External"/><Relationship Id="rId507" Type="http://schemas.openxmlformats.org/officeDocument/2006/relationships/hyperlink" Target="http://www.riss.kr/link?id=S20012366" TargetMode="External"/><Relationship Id="rId714" Type="http://schemas.openxmlformats.org/officeDocument/2006/relationships/hyperlink" Target="http://www.riss.kr/link?id=S43399" TargetMode="External"/><Relationship Id="rId921" Type="http://schemas.openxmlformats.org/officeDocument/2006/relationships/hyperlink" Target="http://www.riss.kr/link?id=S104082" TargetMode="External"/><Relationship Id="rId50" Type="http://schemas.openxmlformats.org/officeDocument/2006/relationships/hyperlink" Target="http://www.riss.kr/link?id=S17393" TargetMode="External"/><Relationship Id="rId146" Type="http://schemas.openxmlformats.org/officeDocument/2006/relationships/hyperlink" Target="http://www.riss.kr/link?id=S17552" TargetMode="External"/><Relationship Id="rId353" Type="http://schemas.openxmlformats.org/officeDocument/2006/relationships/hyperlink" Target="http://www.riss.kr/link?id=S411965" TargetMode="External"/><Relationship Id="rId560" Type="http://schemas.openxmlformats.org/officeDocument/2006/relationships/hyperlink" Target="http://www.riss.kr/link?id=S18799" TargetMode="External"/><Relationship Id="rId798" Type="http://schemas.openxmlformats.org/officeDocument/2006/relationships/hyperlink" Target="http://www.riss.kr/link?id=S62294" TargetMode="External"/><Relationship Id="rId213" Type="http://schemas.openxmlformats.org/officeDocument/2006/relationships/hyperlink" Target="http://www.riss.kr/link?id=S17318" TargetMode="External"/><Relationship Id="rId420" Type="http://schemas.openxmlformats.org/officeDocument/2006/relationships/hyperlink" Target="http://www.riss.kr/link?id=S28470" TargetMode="External"/><Relationship Id="rId658" Type="http://schemas.openxmlformats.org/officeDocument/2006/relationships/hyperlink" Target="http://www.riss.kr/link?id=S17031" TargetMode="External"/><Relationship Id="rId865" Type="http://schemas.openxmlformats.org/officeDocument/2006/relationships/hyperlink" Target="http://www.riss.kr/link?id=S63464" TargetMode="External"/><Relationship Id="rId297" Type="http://schemas.openxmlformats.org/officeDocument/2006/relationships/hyperlink" Target="http://www.riss.kr/link?id=S24614" TargetMode="External"/><Relationship Id="rId518" Type="http://schemas.openxmlformats.org/officeDocument/2006/relationships/hyperlink" Target="http://www.riss.kr/link?id=S17254" TargetMode="External"/><Relationship Id="rId725" Type="http://schemas.openxmlformats.org/officeDocument/2006/relationships/hyperlink" Target="http://www.riss.kr/link?id=S50066" TargetMode="External"/><Relationship Id="rId932" Type="http://schemas.openxmlformats.org/officeDocument/2006/relationships/hyperlink" Target="http://www.riss.kr/link?id=S143626" TargetMode="External"/><Relationship Id="rId157" Type="http://schemas.openxmlformats.org/officeDocument/2006/relationships/hyperlink" Target="http://www.riss.kr/link?id=S82964" TargetMode="External"/><Relationship Id="rId364" Type="http://schemas.openxmlformats.org/officeDocument/2006/relationships/hyperlink" Target="http://www.riss.kr/link?id=S3100498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27656" TargetMode="External"/><Relationship Id="rId21" Type="http://schemas.openxmlformats.org/officeDocument/2006/relationships/hyperlink" Target="http://www.riss.kr/link?id=S410926" TargetMode="External"/><Relationship Id="rId42" Type="http://schemas.openxmlformats.org/officeDocument/2006/relationships/hyperlink" Target="http://www.riss.kr/link?id=S21147" TargetMode="External"/><Relationship Id="rId47" Type="http://schemas.openxmlformats.org/officeDocument/2006/relationships/hyperlink" Target="http://www.riss.kr/link?id=S21696" TargetMode="External"/><Relationship Id="rId63" Type="http://schemas.openxmlformats.org/officeDocument/2006/relationships/hyperlink" Target="http://www.riss.kr/link?id=S35207" TargetMode="External"/><Relationship Id="rId68" Type="http://schemas.openxmlformats.org/officeDocument/2006/relationships/hyperlink" Target="http://www.riss.kr/link?id=S43165" TargetMode="External"/><Relationship Id="rId84" Type="http://schemas.openxmlformats.org/officeDocument/2006/relationships/hyperlink" Target="http://www.riss.kr/link?id=S64419" TargetMode="External"/><Relationship Id="rId89" Type="http://schemas.openxmlformats.org/officeDocument/2006/relationships/hyperlink" Target="http://www.riss.kr/link?id=S87980" TargetMode="External"/><Relationship Id="rId112" Type="http://schemas.openxmlformats.org/officeDocument/2006/relationships/hyperlink" Target="http://www.riss.kr/link?id=S61212" TargetMode="External"/><Relationship Id="rId16" Type="http://schemas.openxmlformats.org/officeDocument/2006/relationships/hyperlink" Target="http://www.riss.kr/link?id=S28294" TargetMode="External"/><Relationship Id="rId107" Type="http://schemas.openxmlformats.org/officeDocument/2006/relationships/hyperlink" Target="http://www.riss.kr/link?id=S72786" TargetMode="External"/><Relationship Id="rId11" Type="http://schemas.openxmlformats.org/officeDocument/2006/relationships/hyperlink" Target="http://www.riss.kr/link?id=S15489" TargetMode="External"/><Relationship Id="rId32" Type="http://schemas.openxmlformats.org/officeDocument/2006/relationships/hyperlink" Target="http://www.riss.kr/link?id=S60845" TargetMode="External"/><Relationship Id="rId37" Type="http://schemas.openxmlformats.org/officeDocument/2006/relationships/hyperlink" Target="http://www.riss.kr/link?id=S15021" TargetMode="External"/><Relationship Id="rId53" Type="http://schemas.openxmlformats.org/officeDocument/2006/relationships/hyperlink" Target="http://www.riss.kr/link?id=S15591" TargetMode="External"/><Relationship Id="rId58" Type="http://schemas.openxmlformats.org/officeDocument/2006/relationships/hyperlink" Target="http://www.riss.kr/link?id=S103468" TargetMode="External"/><Relationship Id="rId74" Type="http://schemas.openxmlformats.org/officeDocument/2006/relationships/hyperlink" Target="http://www.riss.kr/link?id=S11603111" TargetMode="External"/><Relationship Id="rId79" Type="http://schemas.openxmlformats.org/officeDocument/2006/relationships/hyperlink" Target="http://www.riss.kr/link?id=S15438" TargetMode="External"/><Relationship Id="rId102" Type="http://schemas.openxmlformats.org/officeDocument/2006/relationships/hyperlink" Target="http://www.riss.kr/link?id=S45160" TargetMode="External"/><Relationship Id="rId123" Type="http://schemas.openxmlformats.org/officeDocument/2006/relationships/hyperlink" Target="http://www.riss.kr/link?id=S104126" TargetMode="External"/><Relationship Id="rId128" Type="http://schemas.openxmlformats.org/officeDocument/2006/relationships/hyperlink" Target="http://www.riss.kr/link?id=S79477" TargetMode="External"/><Relationship Id="rId5" Type="http://schemas.openxmlformats.org/officeDocument/2006/relationships/hyperlink" Target="http://www.riss.kr/link?id=S15429" TargetMode="External"/><Relationship Id="rId90" Type="http://schemas.openxmlformats.org/officeDocument/2006/relationships/hyperlink" Target="http://www.riss.kr/link?id=S80195" TargetMode="External"/><Relationship Id="rId95" Type="http://schemas.openxmlformats.org/officeDocument/2006/relationships/hyperlink" Target="http://www.riss.kr/link?id=S7757" TargetMode="External"/><Relationship Id="rId22" Type="http://schemas.openxmlformats.org/officeDocument/2006/relationships/hyperlink" Target="http://www.riss.kr/link?id=S11575588" TargetMode="External"/><Relationship Id="rId27" Type="http://schemas.openxmlformats.org/officeDocument/2006/relationships/hyperlink" Target="http://www.riss.kr/link?id=S13454" TargetMode="External"/><Relationship Id="rId43" Type="http://schemas.openxmlformats.org/officeDocument/2006/relationships/hyperlink" Target="http://www.riss.kr/link?id=S15019" TargetMode="External"/><Relationship Id="rId48" Type="http://schemas.openxmlformats.org/officeDocument/2006/relationships/hyperlink" Target="http://www.riss.kr/link?id=S61982" TargetMode="External"/><Relationship Id="rId64" Type="http://schemas.openxmlformats.org/officeDocument/2006/relationships/hyperlink" Target="http://www.riss.kr/link?id=S15411" TargetMode="External"/><Relationship Id="rId69" Type="http://schemas.openxmlformats.org/officeDocument/2006/relationships/hyperlink" Target="http://www.riss.kr/link?id=S401354" TargetMode="External"/><Relationship Id="rId113" Type="http://schemas.openxmlformats.org/officeDocument/2006/relationships/hyperlink" Target="http://www.riss.kr/link?id=S143626" TargetMode="External"/><Relationship Id="rId118" Type="http://schemas.openxmlformats.org/officeDocument/2006/relationships/hyperlink" Target="http://www.riss.kr/link?id=S144142" TargetMode="External"/><Relationship Id="rId80" Type="http://schemas.openxmlformats.org/officeDocument/2006/relationships/hyperlink" Target="http://www.riss.kr/link?id=S11621370" TargetMode="External"/><Relationship Id="rId85" Type="http://schemas.openxmlformats.org/officeDocument/2006/relationships/hyperlink" Target="http://www.riss.kr/link?id=S25143" TargetMode="External"/><Relationship Id="rId12" Type="http://schemas.openxmlformats.org/officeDocument/2006/relationships/hyperlink" Target="http://www.riss.kr/link?id=S20703" TargetMode="External"/><Relationship Id="rId17" Type="http://schemas.openxmlformats.org/officeDocument/2006/relationships/hyperlink" Target="http://www.riss.kr/link?id=S414978" TargetMode="External"/><Relationship Id="rId33" Type="http://schemas.openxmlformats.org/officeDocument/2006/relationships/hyperlink" Target="http://www.riss.kr/link?id=S20011127" TargetMode="External"/><Relationship Id="rId38" Type="http://schemas.openxmlformats.org/officeDocument/2006/relationships/hyperlink" Target="http://www.riss.kr/link?id=S12566" TargetMode="External"/><Relationship Id="rId59" Type="http://schemas.openxmlformats.org/officeDocument/2006/relationships/hyperlink" Target="http://www.riss.kr/link?id=S31000856" TargetMode="External"/><Relationship Id="rId103" Type="http://schemas.openxmlformats.org/officeDocument/2006/relationships/hyperlink" Target="http://www.riss.kr/link?id=S67972" TargetMode="External"/><Relationship Id="rId108" Type="http://schemas.openxmlformats.org/officeDocument/2006/relationships/hyperlink" Target="http://www.riss.kr/link?id=S69646" TargetMode="External"/><Relationship Id="rId124" Type="http://schemas.openxmlformats.org/officeDocument/2006/relationships/hyperlink" Target="http://www.riss.kr/link?id=S104262" TargetMode="External"/><Relationship Id="rId129" Type="http://schemas.openxmlformats.org/officeDocument/2006/relationships/hyperlink" Target="http://www.riss.kr/link?id=S104122" TargetMode="External"/><Relationship Id="rId54" Type="http://schemas.openxmlformats.org/officeDocument/2006/relationships/hyperlink" Target="http://www.riss.kr/link?id=S71144" TargetMode="External"/><Relationship Id="rId70" Type="http://schemas.openxmlformats.org/officeDocument/2006/relationships/hyperlink" Target="http://www.riss.kr/link?id=S115390" TargetMode="External"/><Relationship Id="rId75" Type="http://schemas.openxmlformats.org/officeDocument/2006/relationships/hyperlink" Target="http://www.riss.kr/link?id=S115374" TargetMode="External"/><Relationship Id="rId91" Type="http://schemas.openxmlformats.org/officeDocument/2006/relationships/hyperlink" Target="http://www.riss.kr/link?id=S30780" TargetMode="External"/><Relationship Id="rId96" Type="http://schemas.openxmlformats.org/officeDocument/2006/relationships/hyperlink" Target="http://www.riss.kr/link?id=S36945" TargetMode="External"/><Relationship Id="rId1" Type="http://schemas.openxmlformats.org/officeDocument/2006/relationships/hyperlink" Target="http://www.riss.kr/link?id=S19593" TargetMode="External"/><Relationship Id="rId6" Type="http://schemas.openxmlformats.org/officeDocument/2006/relationships/hyperlink" Target="http://www.riss.kr/link?id=S29226" TargetMode="External"/><Relationship Id="rId23" Type="http://schemas.openxmlformats.org/officeDocument/2006/relationships/hyperlink" Target="http://www.riss.kr/link?id=S408343" TargetMode="External"/><Relationship Id="rId28" Type="http://schemas.openxmlformats.org/officeDocument/2006/relationships/hyperlink" Target="http://www.riss.kr/link?id=S36561" TargetMode="External"/><Relationship Id="rId49" Type="http://schemas.openxmlformats.org/officeDocument/2006/relationships/hyperlink" Target="http://www.riss.kr/link?id=S21159" TargetMode="External"/><Relationship Id="rId114" Type="http://schemas.openxmlformats.org/officeDocument/2006/relationships/hyperlink" Target="http://www.riss.kr/link?id=S43977" TargetMode="External"/><Relationship Id="rId119" Type="http://schemas.openxmlformats.org/officeDocument/2006/relationships/hyperlink" Target="http://www.riss.kr/link?id=S19719" TargetMode="External"/><Relationship Id="rId44" Type="http://schemas.openxmlformats.org/officeDocument/2006/relationships/hyperlink" Target="http://www.riss.kr/link?id=S20557" TargetMode="External"/><Relationship Id="rId60" Type="http://schemas.openxmlformats.org/officeDocument/2006/relationships/hyperlink" Target="http://www.riss.kr/link?id=S103490" TargetMode="External"/><Relationship Id="rId65" Type="http://schemas.openxmlformats.org/officeDocument/2006/relationships/hyperlink" Target="http://www.riss.kr/link?id=S15954" TargetMode="External"/><Relationship Id="rId81" Type="http://schemas.openxmlformats.org/officeDocument/2006/relationships/hyperlink" Target="http://www.riss.kr/link?id=S29114" TargetMode="External"/><Relationship Id="rId86" Type="http://schemas.openxmlformats.org/officeDocument/2006/relationships/hyperlink" Target="http://www.riss.kr/link?id=S20190" TargetMode="External"/><Relationship Id="rId130" Type="http://schemas.openxmlformats.org/officeDocument/2006/relationships/hyperlink" Target="http://www.riss.kr/link?id=S104180" TargetMode="External"/><Relationship Id="rId13" Type="http://schemas.openxmlformats.org/officeDocument/2006/relationships/hyperlink" Target="http://www.riss.kr/link?id=S407073" TargetMode="External"/><Relationship Id="rId18" Type="http://schemas.openxmlformats.org/officeDocument/2006/relationships/hyperlink" Target="http://www.riss.kr/link?id=S416689" TargetMode="External"/><Relationship Id="rId39" Type="http://schemas.openxmlformats.org/officeDocument/2006/relationships/hyperlink" Target="http://www.riss.kr/link?id=S15476" TargetMode="External"/><Relationship Id="rId109" Type="http://schemas.openxmlformats.org/officeDocument/2006/relationships/hyperlink" Target="http://www.riss.kr/link?id=S20084641" TargetMode="External"/><Relationship Id="rId34" Type="http://schemas.openxmlformats.org/officeDocument/2006/relationships/hyperlink" Target="http://www.riss.kr/link?id=S24546" TargetMode="External"/><Relationship Id="rId50" Type="http://schemas.openxmlformats.org/officeDocument/2006/relationships/hyperlink" Target="http://www.riss.kr/link?id=S21692" TargetMode="External"/><Relationship Id="rId55" Type="http://schemas.openxmlformats.org/officeDocument/2006/relationships/hyperlink" Target="http://www.riss.kr/link?id=S115629" TargetMode="External"/><Relationship Id="rId76" Type="http://schemas.openxmlformats.org/officeDocument/2006/relationships/hyperlink" Target="http://www.riss.kr/link?id=S28261" TargetMode="External"/><Relationship Id="rId97" Type="http://schemas.openxmlformats.org/officeDocument/2006/relationships/hyperlink" Target="http://www.riss.kr/link?id=S60897" TargetMode="External"/><Relationship Id="rId104" Type="http://schemas.openxmlformats.org/officeDocument/2006/relationships/hyperlink" Target="http://www.riss.kr/link?id=S87108" TargetMode="External"/><Relationship Id="rId120" Type="http://schemas.openxmlformats.org/officeDocument/2006/relationships/hyperlink" Target="http://www.riss.kr/link?id=S104123" TargetMode="External"/><Relationship Id="rId125" Type="http://schemas.openxmlformats.org/officeDocument/2006/relationships/hyperlink" Target="http://www.riss.kr/link?id=S104127" TargetMode="External"/><Relationship Id="rId7" Type="http://schemas.openxmlformats.org/officeDocument/2006/relationships/hyperlink" Target="http://www.riss.kr/link?id=S29072" TargetMode="External"/><Relationship Id="rId71" Type="http://schemas.openxmlformats.org/officeDocument/2006/relationships/hyperlink" Target="http://www.riss.kr/link?id=S405210" TargetMode="External"/><Relationship Id="rId92" Type="http://schemas.openxmlformats.org/officeDocument/2006/relationships/hyperlink" Target="http://www.riss.kr/link?id=S77936" TargetMode="External"/><Relationship Id="rId2" Type="http://schemas.openxmlformats.org/officeDocument/2006/relationships/hyperlink" Target="http://www.riss.kr/link?id=S11597808" TargetMode="External"/><Relationship Id="rId29" Type="http://schemas.openxmlformats.org/officeDocument/2006/relationships/hyperlink" Target="http://www.riss.kr/link?id=S16196" TargetMode="External"/><Relationship Id="rId24" Type="http://schemas.openxmlformats.org/officeDocument/2006/relationships/hyperlink" Target="http://www.riss.kr/link?id=S61578" TargetMode="External"/><Relationship Id="rId40" Type="http://schemas.openxmlformats.org/officeDocument/2006/relationships/hyperlink" Target="http://www.riss.kr/link?id=S24593" TargetMode="External"/><Relationship Id="rId45" Type="http://schemas.openxmlformats.org/officeDocument/2006/relationships/hyperlink" Target="http://www.riss.kr/link?id=S16057" TargetMode="External"/><Relationship Id="rId66" Type="http://schemas.openxmlformats.org/officeDocument/2006/relationships/hyperlink" Target="http://www.riss.kr/link?id=S31023273" TargetMode="External"/><Relationship Id="rId87" Type="http://schemas.openxmlformats.org/officeDocument/2006/relationships/hyperlink" Target="http://www.riss.kr/link?id=S48390" TargetMode="External"/><Relationship Id="rId110" Type="http://schemas.openxmlformats.org/officeDocument/2006/relationships/hyperlink" Target="http://www.riss.kr/link?id=S91440" TargetMode="External"/><Relationship Id="rId115" Type="http://schemas.openxmlformats.org/officeDocument/2006/relationships/hyperlink" Target="http://www.riss.kr/link?id=S80251" TargetMode="External"/><Relationship Id="rId131" Type="http://schemas.openxmlformats.org/officeDocument/2006/relationships/hyperlink" Target="http://www.riss.kr/link?id=S104181" TargetMode="External"/><Relationship Id="rId61" Type="http://schemas.openxmlformats.org/officeDocument/2006/relationships/hyperlink" Target="http://www.riss.kr/link?id=S13527" TargetMode="External"/><Relationship Id="rId82" Type="http://schemas.openxmlformats.org/officeDocument/2006/relationships/hyperlink" Target="http://www.riss.kr/link?id=S11606249" TargetMode="External"/><Relationship Id="rId19" Type="http://schemas.openxmlformats.org/officeDocument/2006/relationships/hyperlink" Target="http://www.riss.kr/link?id=S30341" TargetMode="External"/><Relationship Id="rId14" Type="http://schemas.openxmlformats.org/officeDocument/2006/relationships/hyperlink" Target="http://www.riss.kr/link?id=S31024384" TargetMode="External"/><Relationship Id="rId30" Type="http://schemas.openxmlformats.org/officeDocument/2006/relationships/hyperlink" Target="http://www.riss.kr/link?id=S92049" TargetMode="External"/><Relationship Id="rId35" Type="http://schemas.openxmlformats.org/officeDocument/2006/relationships/hyperlink" Target="http://www.riss.kr/link?id=S30000647" TargetMode="External"/><Relationship Id="rId56" Type="http://schemas.openxmlformats.org/officeDocument/2006/relationships/hyperlink" Target="http://www.riss.kr/link?id=S15472" TargetMode="External"/><Relationship Id="rId77" Type="http://schemas.openxmlformats.org/officeDocument/2006/relationships/hyperlink" Target="http://www.riss.kr/link?id=S20015069" TargetMode="External"/><Relationship Id="rId100" Type="http://schemas.openxmlformats.org/officeDocument/2006/relationships/hyperlink" Target="http://www.riss.kr/link?id=S19603" TargetMode="External"/><Relationship Id="rId105" Type="http://schemas.openxmlformats.org/officeDocument/2006/relationships/hyperlink" Target="http://www.riss.kr/link?id=S63709" TargetMode="External"/><Relationship Id="rId126" Type="http://schemas.openxmlformats.org/officeDocument/2006/relationships/hyperlink" Target="http://www.riss.kr/link?id=S104203" TargetMode="External"/><Relationship Id="rId8" Type="http://schemas.openxmlformats.org/officeDocument/2006/relationships/hyperlink" Target="http://www.riss.kr/link?id=S417245" TargetMode="External"/><Relationship Id="rId51" Type="http://schemas.openxmlformats.org/officeDocument/2006/relationships/hyperlink" Target="http://www.riss.kr/link?id=S43758" TargetMode="External"/><Relationship Id="rId72" Type="http://schemas.openxmlformats.org/officeDocument/2006/relationships/hyperlink" Target="http://www.riss.kr/link?id=S20011380" TargetMode="External"/><Relationship Id="rId93" Type="http://schemas.openxmlformats.org/officeDocument/2006/relationships/hyperlink" Target="http://www.riss.kr/link?id=S64125" TargetMode="External"/><Relationship Id="rId98" Type="http://schemas.openxmlformats.org/officeDocument/2006/relationships/hyperlink" Target="http://www.riss.kr/link?id=S27654" TargetMode="External"/><Relationship Id="rId121" Type="http://schemas.openxmlformats.org/officeDocument/2006/relationships/hyperlink" Target="http://www.riss.kr/link?id=S104124" TargetMode="External"/><Relationship Id="rId3" Type="http://schemas.openxmlformats.org/officeDocument/2006/relationships/hyperlink" Target="http://www.riss.kr/link?id=S415162" TargetMode="External"/><Relationship Id="rId25" Type="http://schemas.openxmlformats.org/officeDocument/2006/relationships/hyperlink" Target="http://www.riss.kr/link?id=S15418" TargetMode="External"/><Relationship Id="rId46" Type="http://schemas.openxmlformats.org/officeDocument/2006/relationships/hyperlink" Target="http://www.riss.kr/link?id=S16056" TargetMode="External"/><Relationship Id="rId67" Type="http://schemas.openxmlformats.org/officeDocument/2006/relationships/hyperlink" Target="http://www.riss.kr/link?id=S113997" TargetMode="External"/><Relationship Id="rId116" Type="http://schemas.openxmlformats.org/officeDocument/2006/relationships/hyperlink" Target="http://www.riss.kr/link?id=S40249" TargetMode="External"/><Relationship Id="rId20" Type="http://schemas.openxmlformats.org/officeDocument/2006/relationships/hyperlink" Target="http://www.riss.kr/link?id=S12733" TargetMode="External"/><Relationship Id="rId41" Type="http://schemas.openxmlformats.org/officeDocument/2006/relationships/hyperlink" Target="http://www.riss.kr/link?id=S16065" TargetMode="External"/><Relationship Id="rId62" Type="http://schemas.openxmlformats.org/officeDocument/2006/relationships/hyperlink" Target="http://www.riss.kr/link?id=S13542" TargetMode="External"/><Relationship Id="rId83" Type="http://schemas.openxmlformats.org/officeDocument/2006/relationships/hyperlink" Target="http://www.riss.kr/link?id=S88228" TargetMode="External"/><Relationship Id="rId88" Type="http://schemas.openxmlformats.org/officeDocument/2006/relationships/hyperlink" Target="http://www.riss.kr/link?id=S144775" TargetMode="External"/><Relationship Id="rId111" Type="http://schemas.openxmlformats.org/officeDocument/2006/relationships/hyperlink" Target="http://www.riss.kr/link?id=S60986" TargetMode="External"/><Relationship Id="rId132" Type="http://schemas.openxmlformats.org/officeDocument/2006/relationships/hyperlink" Target="http://www.riss.kr/link?id=S104177" TargetMode="External"/><Relationship Id="rId15" Type="http://schemas.openxmlformats.org/officeDocument/2006/relationships/hyperlink" Target="http://www.riss.kr/link?id=S24636" TargetMode="External"/><Relationship Id="rId36" Type="http://schemas.openxmlformats.org/officeDocument/2006/relationships/hyperlink" Target="http://www.riss.kr/link?id=S5079" TargetMode="External"/><Relationship Id="rId57" Type="http://schemas.openxmlformats.org/officeDocument/2006/relationships/hyperlink" Target="http://www.riss.kr/link?id=S5090" TargetMode="External"/><Relationship Id="rId106" Type="http://schemas.openxmlformats.org/officeDocument/2006/relationships/hyperlink" Target="http://www.riss.kr/link?id=S19595" TargetMode="External"/><Relationship Id="rId127" Type="http://schemas.openxmlformats.org/officeDocument/2006/relationships/hyperlink" Target="http://www.riss.kr/link?id=S104204" TargetMode="External"/><Relationship Id="rId10" Type="http://schemas.openxmlformats.org/officeDocument/2006/relationships/hyperlink" Target="http://www.riss.kr/link?id=S104401" TargetMode="External"/><Relationship Id="rId31" Type="http://schemas.openxmlformats.org/officeDocument/2006/relationships/hyperlink" Target="http://www.riss.kr/link?id=S31157" TargetMode="External"/><Relationship Id="rId52" Type="http://schemas.openxmlformats.org/officeDocument/2006/relationships/hyperlink" Target="http://www.riss.kr/link?id=S15441" TargetMode="External"/><Relationship Id="rId73" Type="http://schemas.openxmlformats.org/officeDocument/2006/relationships/hyperlink" Target="http://www.riss.kr/link?id=S43399" TargetMode="External"/><Relationship Id="rId78" Type="http://schemas.openxmlformats.org/officeDocument/2006/relationships/hyperlink" Target="http://www.riss.kr/link?id=S29694" TargetMode="External"/><Relationship Id="rId94" Type="http://schemas.openxmlformats.org/officeDocument/2006/relationships/hyperlink" Target="http://www.riss.kr/link?id=S68575" TargetMode="External"/><Relationship Id="rId99" Type="http://schemas.openxmlformats.org/officeDocument/2006/relationships/hyperlink" Target="http://www.riss.kr/link?id=S27803" TargetMode="External"/><Relationship Id="rId101" Type="http://schemas.openxmlformats.org/officeDocument/2006/relationships/hyperlink" Target="http://www.riss.kr/link?id=S67352" TargetMode="External"/><Relationship Id="rId122" Type="http://schemas.openxmlformats.org/officeDocument/2006/relationships/hyperlink" Target="http://www.riss.kr/link?id=S104125" TargetMode="External"/><Relationship Id="rId4" Type="http://schemas.openxmlformats.org/officeDocument/2006/relationships/hyperlink" Target="http://www.riss.kr/link?id=S404755" TargetMode="External"/><Relationship Id="rId9" Type="http://schemas.openxmlformats.org/officeDocument/2006/relationships/hyperlink" Target="http://www.riss.kr/link?id=S15430" TargetMode="External"/><Relationship Id="rId26" Type="http://schemas.openxmlformats.org/officeDocument/2006/relationships/hyperlink" Target="http://www.riss.kr/link?id=S709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27656" TargetMode="External"/><Relationship Id="rId21" Type="http://schemas.openxmlformats.org/officeDocument/2006/relationships/hyperlink" Target="http://www.riss.kr/link?id=S410926" TargetMode="External"/><Relationship Id="rId42" Type="http://schemas.openxmlformats.org/officeDocument/2006/relationships/hyperlink" Target="http://www.riss.kr/link?id=S21147" TargetMode="External"/><Relationship Id="rId47" Type="http://schemas.openxmlformats.org/officeDocument/2006/relationships/hyperlink" Target="http://www.riss.kr/link?id=S21696" TargetMode="External"/><Relationship Id="rId63" Type="http://schemas.openxmlformats.org/officeDocument/2006/relationships/hyperlink" Target="http://www.riss.kr/link?id=S35207" TargetMode="External"/><Relationship Id="rId68" Type="http://schemas.openxmlformats.org/officeDocument/2006/relationships/hyperlink" Target="http://www.riss.kr/link?id=S43165" TargetMode="External"/><Relationship Id="rId84" Type="http://schemas.openxmlformats.org/officeDocument/2006/relationships/hyperlink" Target="http://www.riss.kr/link?id=S64419" TargetMode="External"/><Relationship Id="rId89" Type="http://schemas.openxmlformats.org/officeDocument/2006/relationships/hyperlink" Target="http://www.riss.kr/link?id=S87980" TargetMode="External"/><Relationship Id="rId112" Type="http://schemas.openxmlformats.org/officeDocument/2006/relationships/hyperlink" Target="http://www.riss.kr/link?id=S61212" TargetMode="External"/><Relationship Id="rId16" Type="http://schemas.openxmlformats.org/officeDocument/2006/relationships/hyperlink" Target="http://www.riss.kr/link?id=S28294" TargetMode="External"/><Relationship Id="rId107" Type="http://schemas.openxmlformats.org/officeDocument/2006/relationships/hyperlink" Target="http://www.riss.kr/link?id=S72786" TargetMode="External"/><Relationship Id="rId11" Type="http://schemas.openxmlformats.org/officeDocument/2006/relationships/hyperlink" Target="http://www.riss.kr/link?id=S15489" TargetMode="External"/><Relationship Id="rId32" Type="http://schemas.openxmlformats.org/officeDocument/2006/relationships/hyperlink" Target="http://www.riss.kr/link?id=S60845" TargetMode="External"/><Relationship Id="rId37" Type="http://schemas.openxmlformats.org/officeDocument/2006/relationships/hyperlink" Target="http://www.riss.kr/link?id=S15021" TargetMode="External"/><Relationship Id="rId53" Type="http://schemas.openxmlformats.org/officeDocument/2006/relationships/hyperlink" Target="http://www.riss.kr/link?id=S15591" TargetMode="External"/><Relationship Id="rId58" Type="http://schemas.openxmlformats.org/officeDocument/2006/relationships/hyperlink" Target="http://www.riss.kr/link?id=S103468" TargetMode="External"/><Relationship Id="rId74" Type="http://schemas.openxmlformats.org/officeDocument/2006/relationships/hyperlink" Target="http://www.riss.kr/link?id=S11603111" TargetMode="External"/><Relationship Id="rId79" Type="http://schemas.openxmlformats.org/officeDocument/2006/relationships/hyperlink" Target="http://www.riss.kr/link?id=S15438" TargetMode="External"/><Relationship Id="rId102" Type="http://schemas.openxmlformats.org/officeDocument/2006/relationships/hyperlink" Target="http://www.riss.kr/link?id=S45160" TargetMode="External"/><Relationship Id="rId123" Type="http://schemas.openxmlformats.org/officeDocument/2006/relationships/hyperlink" Target="http://www.riss.kr/link?id=S104126" TargetMode="External"/><Relationship Id="rId128" Type="http://schemas.openxmlformats.org/officeDocument/2006/relationships/hyperlink" Target="http://www.riss.kr/link?id=S79477" TargetMode="External"/><Relationship Id="rId5" Type="http://schemas.openxmlformats.org/officeDocument/2006/relationships/hyperlink" Target="http://www.riss.kr/link?id=S15429" TargetMode="External"/><Relationship Id="rId90" Type="http://schemas.openxmlformats.org/officeDocument/2006/relationships/hyperlink" Target="http://www.riss.kr/link?id=S80195" TargetMode="External"/><Relationship Id="rId95" Type="http://schemas.openxmlformats.org/officeDocument/2006/relationships/hyperlink" Target="http://www.riss.kr/link?id=S7757" TargetMode="External"/><Relationship Id="rId22" Type="http://schemas.openxmlformats.org/officeDocument/2006/relationships/hyperlink" Target="http://www.riss.kr/link?id=S11575588" TargetMode="External"/><Relationship Id="rId27" Type="http://schemas.openxmlformats.org/officeDocument/2006/relationships/hyperlink" Target="http://www.riss.kr/link?id=S13454" TargetMode="External"/><Relationship Id="rId43" Type="http://schemas.openxmlformats.org/officeDocument/2006/relationships/hyperlink" Target="http://www.riss.kr/link?id=S15019" TargetMode="External"/><Relationship Id="rId48" Type="http://schemas.openxmlformats.org/officeDocument/2006/relationships/hyperlink" Target="http://www.riss.kr/link?id=S61982" TargetMode="External"/><Relationship Id="rId64" Type="http://schemas.openxmlformats.org/officeDocument/2006/relationships/hyperlink" Target="http://www.riss.kr/link?id=S15411" TargetMode="External"/><Relationship Id="rId69" Type="http://schemas.openxmlformats.org/officeDocument/2006/relationships/hyperlink" Target="http://www.riss.kr/link?id=S401354" TargetMode="External"/><Relationship Id="rId113" Type="http://schemas.openxmlformats.org/officeDocument/2006/relationships/hyperlink" Target="http://www.riss.kr/link?id=S143626" TargetMode="External"/><Relationship Id="rId118" Type="http://schemas.openxmlformats.org/officeDocument/2006/relationships/hyperlink" Target="http://www.riss.kr/link?id=S144142" TargetMode="External"/><Relationship Id="rId80" Type="http://schemas.openxmlformats.org/officeDocument/2006/relationships/hyperlink" Target="http://www.riss.kr/link?id=S11621370" TargetMode="External"/><Relationship Id="rId85" Type="http://schemas.openxmlformats.org/officeDocument/2006/relationships/hyperlink" Target="http://www.riss.kr/link?id=S25143" TargetMode="External"/><Relationship Id="rId12" Type="http://schemas.openxmlformats.org/officeDocument/2006/relationships/hyperlink" Target="http://www.riss.kr/link?id=S20703" TargetMode="External"/><Relationship Id="rId17" Type="http://schemas.openxmlformats.org/officeDocument/2006/relationships/hyperlink" Target="http://www.riss.kr/link?id=S414978" TargetMode="External"/><Relationship Id="rId33" Type="http://schemas.openxmlformats.org/officeDocument/2006/relationships/hyperlink" Target="http://www.riss.kr/link?id=S20011127" TargetMode="External"/><Relationship Id="rId38" Type="http://schemas.openxmlformats.org/officeDocument/2006/relationships/hyperlink" Target="http://www.riss.kr/link?id=S12566" TargetMode="External"/><Relationship Id="rId59" Type="http://schemas.openxmlformats.org/officeDocument/2006/relationships/hyperlink" Target="http://www.riss.kr/link?id=S31000856" TargetMode="External"/><Relationship Id="rId103" Type="http://schemas.openxmlformats.org/officeDocument/2006/relationships/hyperlink" Target="http://www.riss.kr/link?id=S67972" TargetMode="External"/><Relationship Id="rId108" Type="http://schemas.openxmlformats.org/officeDocument/2006/relationships/hyperlink" Target="http://www.riss.kr/link?id=S69646" TargetMode="External"/><Relationship Id="rId124" Type="http://schemas.openxmlformats.org/officeDocument/2006/relationships/hyperlink" Target="http://www.riss.kr/link?id=S104262" TargetMode="External"/><Relationship Id="rId129" Type="http://schemas.openxmlformats.org/officeDocument/2006/relationships/hyperlink" Target="http://www.riss.kr/link?id=S104122" TargetMode="External"/><Relationship Id="rId54" Type="http://schemas.openxmlformats.org/officeDocument/2006/relationships/hyperlink" Target="http://www.riss.kr/link?id=S71144" TargetMode="External"/><Relationship Id="rId70" Type="http://schemas.openxmlformats.org/officeDocument/2006/relationships/hyperlink" Target="http://www.riss.kr/link?id=S115390" TargetMode="External"/><Relationship Id="rId75" Type="http://schemas.openxmlformats.org/officeDocument/2006/relationships/hyperlink" Target="http://www.riss.kr/link?id=S115374" TargetMode="External"/><Relationship Id="rId91" Type="http://schemas.openxmlformats.org/officeDocument/2006/relationships/hyperlink" Target="http://www.riss.kr/link?id=S30780" TargetMode="External"/><Relationship Id="rId96" Type="http://schemas.openxmlformats.org/officeDocument/2006/relationships/hyperlink" Target="http://www.riss.kr/link?id=S36945" TargetMode="External"/><Relationship Id="rId1" Type="http://schemas.openxmlformats.org/officeDocument/2006/relationships/hyperlink" Target="http://www.riss.kr/link?id=S19593" TargetMode="External"/><Relationship Id="rId6" Type="http://schemas.openxmlformats.org/officeDocument/2006/relationships/hyperlink" Target="http://www.riss.kr/link?id=S29226" TargetMode="External"/><Relationship Id="rId23" Type="http://schemas.openxmlformats.org/officeDocument/2006/relationships/hyperlink" Target="http://www.riss.kr/link?id=S408343" TargetMode="External"/><Relationship Id="rId28" Type="http://schemas.openxmlformats.org/officeDocument/2006/relationships/hyperlink" Target="http://www.riss.kr/link?id=S36561" TargetMode="External"/><Relationship Id="rId49" Type="http://schemas.openxmlformats.org/officeDocument/2006/relationships/hyperlink" Target="http://www.riss.kr/link?id=S21159" TargetMode="External"/><Relationship Id="rId114" Type="http://schemas.openxmlformats.org/officeDocument/2006/relationships/hyperlink" Target="http://www.riss.kr/link?id=S43977" TargetMode="External"/><Relationship Id="rId119" Type="http://schemas.openxmlformats.org/officeDocument/2006/relationships/hyperlink" Target="http://www.riss.kr/link?id=S19719" TargetMode="External"/><Relationship Id="rId44" Type="http://schemas.openxmlformats.org/officeDocument/2006/relationships/hyperlink" Target="http://www.riss.kr/link?id=S20557" TargetMode="External"/><Relationship Id="rId60" Type="http://schemas.openxmlformats.org/officeDocument/2006/relationships/hyperlink" Target="http://www.riss.kr/link?id=S103490" TargetMode="External"/><Relationship Id="rId65" Type="http://schemas.openxmlformats.org/officeDocument/2006/relationships/hyperlink" Target="http://www.riss.kr/link?id=S15954" TargetMode="External"/><Relationship Id="rId81" Type="http://schemas.openxmlformats.org/officeDocument/2006/relationships/hyperlink" Target="http://www.riss.kr/link?id=S29114" TargetMode="External"/><Relationship Id="rId86" Type="http://schemas.openxmlformats.org/officeDocument/2006/relationships/hyperlink" Target="http://www.riss.kr/link?id=S20190" TargetMode="External"/><Relationship Id="rId130" Type="http://schemas.openxmlformats.org/officeDocument/2006/relationships/hyperlink" Target="http://www.riss.kr/link?id=S104180" TargetMode="External"/><Relationship Id="rId13" Type="http://schemas.openxmlformats.org/officeDocument/2006/relationships/hyperlink" Target="http://www.riss.kr/link?id=S407073" TargetMode="External"/><Relationship Id="rId18" Type="http://schemas.openxmlformats.org/officeDocument/2006/relationships/hyperlink" Target="http://www.riss.kr/link?id=S416689" TargetMode="External"/><Relationship Id="rId39" Type="http://schemas.openxmlformats.org/officeDocument/2006/relationships/hyperlink" Target="http://www.riss.kr/link?id=S15476" TargetMode="External"/><Relationship Id="rId109" Type="http://schemas.openxmlformats.org/officeDocument/2006/relationships/hyperlink" Target="http://www.riss.kr/link?id=S20084641" TargetMode="External"/><Relationship Id="rId34" Type="http://schemas.openxmlformats.org/officeDocument/2006/relationships/hyperlink" Target="http://www.riss.kr/link?id=S24546" TargetMode="External"/><Relationship Id="rId50" Type="http://schemas.openxmlformats.org/officeDocument/2006/relationships/hyperlink" Target="http://www.riss.kr/link?id=S21692" TargetMode="External"/><Relationship Id="rId55" Type="http://schemas.openxmlformats.org/officeDocument/2006/relationships/hyperlink" Target="http://www.riss.kr/link?id=S115629" TargetMode="External"/><Relationship Id="rId76" Type="http://schemas.openxmlformats.org/officeDocument/2006/relationships/hyperlink" Target="http://www.riss.kr/link?id=S28261" TargetMode="External"/><Relationship Id="rId97" Type="http://schemas.openxmlformats.org/officeDocument/2006/relationships/hyperlink" Target="http://www.riss.kr/link?id=S60897" TargetMode="External"/><Relationship Id="rId104" Type="http://schemas.openxmlformats.org/officeDocument/2006/relationships/hyperlink" Target="http://www.riss.kr/link?id=S87108" TargetMode="External"/><Relationship Id="rId120" Type="http://schemas.openxmlformats.org/officeDocument/2006/relationships/hyperlink" Target="http://www.riss.kr/link?id=S104123" TargetMode="External"/><Relationship Id="rId125" Type="http://schemas.openxmlformats.org/officeDocument/2006/relationships/hyperlink" Target="http://www.riss.kr/link?id=S104127" TargetMode="External"/><Relationship Id="rId7" Type="http://schemas.openxmlformats.org/officeDocument/2006/relationships/hyperlink" Target="http://www.riss.kr/link?id=S29072" TargetMode="External"/><Relationship Id="rId71" Type="http://schemas.openxmlformats.org/officeDocument/2006/relationships/hyperlink" Target="http://www.riss.kr/link?id=S405210" TargetMode="External"/><Relationship Id="rId92" Type="http://schemas.openxmlformats.org/officeDocument/2006/relationships/hyperlink" Target="http://www.riss.kr/link?id=S77936" TargetMode="External"/><Relationship Id="rId2" Type="http://schemas.openxmlformats.org/officeDocument/2006/relationships/hyperlink" Target="http://www.riss.kr/link?id=S11597808" TargetMode="External"/><Relationship Id="rId29" Type="http://schemas.openxmlformats.org/officeDocument/2006/relationships/hyperlink" Target="http://www.riss.kr/link?id=S16196" TargetMode="External"/><Relationship Id="rId24" Type="http://schemas.openxmlformats.org/officeDocument/2006/relationships/hyperlink" Target="http://www.riss.kr/link?id=S61578" TargetMode="External"/><Relationship Id="rId40" Type="http://schemas.openxmlformats.org/officeDocument/2006/relationships/hyperlink" Target="http://www.riss.kr/link?id=S24593" TargetMode="External"/><Relationship Id="rId45" Type="http://schemas.openxmlformats.org/officeDocument/2006/relationships/hyperlink" Target="http://www.riss.kr/link?id=S16057" TargetMode="External"/><Relationship Id="rId66" Type="http://schemas.openxmlformats.org/officeDocument/2006/relationships/hyperlink" Target="http://www.riss.kr/link?id=S31023273" TargetMode="External"/><Relationship Id="rId87" Type="http://schemas.openxmlformats.org/officeDocument/2006/relationships/hyperlink" Target="http://www.riss.kr/link?id=S48390" TargetMode="External"/><Relationship Id="rId110" Type="http://schemas.openxmlformats.org/officeDocument/2006/relationships/hyperlink" Target="http://www.riss.kr/link?id=S91440" TargetMode="External"/><Relationship Id="rId115" Type="http://schemas.openxmlformats.org/officeDocument/2006/relationships/hyperlink" Target="http://www.riss.kr/link?id=S80251" TargetMode="External"/><Relationship Id="rId131" Type="http://schemas.openxmlformats.org/officeDocument/2006/relationships/hyperlink" Target="http://www.riss.kr/link?id=S104181" TargetMode="External"/><Relationship Id="rId61" Type="http://schemas.openxmlformats.org/officeDocument/2006/relationships/hyperlink" Target="http://www.riss.kr/link?id=S13527" TargetMode="External"/><Relationship Id="rId82" Type="http://schemas.openxmlformats.org/officeDocument/2006/relationships/hyperlink" Target="http://www.riss.kr/link?id=S11606249" TargetMode="External"/><Relationship Id="rId19" Type="http://schemas.openxmlformats.org/officeDocument/2006/relationships/hyperlink" Target="http://www.riss.kr/link?id=S30341" TargetMode="External"/><Relationship Id="rId14" Type="http://schemas.openxmlformats.org/officeDocument/2006/relationships/hyperlink" Target="http://www.riss.kr/link?id=S31024384" TargetMode="External"/><Relationship Id="rId30" Type="http://schemas.openxmlformats.org/officeDocument/2006/relationships/hyperlink" Target="http://www.riss.kr/link?id=S92049" TargetMode="External"/><Relationship Id="rId35" Type="http://schemas.openxmlformats.org/officeDocument/2006/relationships/hyperlink" Target="http://www.riss.kr/link?id=S30000647" TargetMode="External"/><Relationship Id="rId56" Type="http://schemas.openxmlformats.org/officeDocument/2006/relationships/hyperlink" Target="http://www.riss.kr/link?id=S15472" TargetMode="External"/><Relationship Id="rId77" Type="http://schemas.openxmlformats.org/officeDocument/2006/relationships/hyperlink" Target="http://www.riss.kr/link?id=S20015069" TargetMode="External"/><Relationship Id="rId100" Type="http://schemas.openxmlformats.org/officeDocument/2006/relationships/hyperlink" Target="http://www.riss.kr/link?id=S19603" TargetMode="External"/><Relationship Id="rId105" Type="http://schemas.openxmlformats.org/officeDocument/2006/relationships/hyperlink" Target="http://www.riss.kr/link?id=S63709" TargetMode="External"/><Relationship Id="rId126" Type="http://schemas.openxmlformats.org/officeDocument/2006/relationships/hyperlink" Target="http://www.riss.kr/link?id=S104203" TargetMode="External"/><Relationship Id="rId8" Type="http://schemas.openxmlformats.org/officeDocument/2006/relationships/hyperlink" Target="http://www.riss.kr/link?id=S417245" TargetMode="External"/><Relationship Id="rId51" Type="http://schemas.openxmlformats.org/officeDocument/2006/relationships/hyperlink" Target="http://www.riss.kr/link?id=S43758" TargetMode="External"/><Relationship Id="rId72" Type="http://schemas.openxmlformats.org/officeDocument/2006/relationships/hyperlink" Target="http://www.riss.kr/link?id=S20011380" TargetMode="External"/><Relationship Id="rId93" Type="http://schemas.openxmlformats.org/officeDocument/2006/relationships/hyperlink" Target="http://www.riss.kr/link?id=S64125" TargetMode="External"/><Relationship Id="rId98" Type="http://schemas.openxmlformats.org/officeDocument/2006/relationships/hyperlink" Target="http://www.riss.kr/link?id=S27654" TargetMode="External"/><Relationship Id="rId121" Type="http://schemas.openxmlformats.org/officeDocument/2006/relationships/hyperlink" Target="http://www.riss.kr/link?id=S104124" TargetMode="External"/><Relationship Id="rId3" Type="http://schemas.openxmlformats.org/officeDocument/2006/relationships/hyperlink" Target="http://www.riss.kr/link?id=S415162" TargetMode="External"/><Relationship Id="rId25" Type="http://schemas.openxmlformats.org/officeDocument/2006/relationships/hyperlink" Target="http://www.riss.kr/link?id=S15418" TargetMode="External"/><Relationship Id="rId46" Type="http://schemas.openxmlformats.org/officeDocument/2006/relationships/hyperlink" Target="http://www.riss.kr/link?id=S16056" TargetMode="External"/><Relationship Id="rId67" Type="http://schemas.openxmlformats.org/officeDocument/2006/relationships/hyperlink" Target="http://www.riss.kr/link?id=S113997" TargetMode="External"/><Relationship Id="rId116" Type="http://schemas.openxmlformats.org/officeDocument/2006/relationships/hyperlink" Target="http://www.riss.kr/link?id=S40249" TargetMode="External"/><Relationship Id="rId20" Type="http://schemas.openxmlformats.org/officeDocument/2006/relationships/hyperlink" Target="http://www.riss.kr/link?id=S12733" TargetMode="External"/><Relationship Id="rId41" Type="http://schemas.openxmlformats.org/officeDocument/2006/relationships/hyperlink" Target="http://www.riss.kr/link?id=S16065" TargetMode="External"/><Relationship Id="rId62" Type="http://schemas.openxmlformats.org/officeDocument/2006/relationships/hyperlink" Target="http://www.riss.kr/link?id=S13542" TargetMode="External"/><Relationship Id="rId83" Type="http://schemas.openxmlformats.org/officeDocument/2006/relationships/hyperlink" Target="http://www.riss.kr/link?id=S88228" TargetMode="External"/><Relationship Id="rId88" Type="http://schemas.openxmlformats.org/officeDocument/2006/relationships/hyperlink" Target="http://www.riss.kr/link?id=S144775" TargetMode="External"/><Relationship Id="rId111" Type="http://schemas.openxmlformats.org/officeDocument/2006/relationships/hyperlink" Target="http://www.riss.kr/link?id=S60986" TargetMode="External"/><Relationship Id="rId132" Type="http://schemas.openxmlformats.org/officeDocument/2006/relationships/hyperlink" Target="http://www.riss.kr/link?id=S104177" TargetMode="External"/><Relationship Id="rId15" Type="http://schemas.openxmlformats.org/officeDocument/2006/relationships/hyperlink" Target="http://www.riss.kr/link?id=S24636" TargetMode="External"/><Relationship Id="rId36" Type="http://schemas.openxmlformats.org/officeDocument/2006/relationships/hyperlink" Target="http://www.riss.kr/link?id=S5079" TargetMode="External"/><Relationship Id="rId57" Type="http://schemas.openxmlformats.org/officeDocument/2006/relationships/hyperlink" Target="http://www.riss.kr/link?id=S5090" TargetMode="External"/><Relationship Id="rId106" Type="http://schemas.openxmlformats.org/officeDocument/2006/relationships/hyperlink" Target="http://www.riss.kr/link?id=S19595" TargetMode="External"/><Relationship Id="rId127" Type="http://schemas.openxmlformats.org/officeDocument/2006/relationships/hyperlink" Target="http://www.riss.kr/link?id=S104204" TargetMode="External"/><Relationship Id="rId10" Type="http://schemas.openxmlformats.org/officeDocument/2006/relationships/hyperlink" Target="http://www.riss.kr/link?id=S104401" TargetMode="External"/><Relationship Id="rId31" Type="http://schemas.openxmlformats.org/officeDocument/2006/relationships/hyperlink" Target="http://www.riss.kr/link?id=S31157" TargetMode="External"/><Relationship Id="rId52" Type="http://schemas.openxmlformats.org/officeDocument/2006/relationships/hyperlink" Target="http://www.riss.kr/link?id=S15441" TargetMode="External"/><Relationship Id="rId73" Type="http://schemas.openxmlformats.org/officeDocument/2006/relationships/hyperlink" Target="http://www.riss.kr/link?id=S43399" TargetMode="External"/><Relationship Id="rId78" Type="http://schemas.openxmlformats.org/officeDocument/2006/relationships/hyperlink" Target="http://www.riss.kr/link?id=S29694" TargetMode="External"/><Relationship Id="rId94" Type="http://schemas.openxmlformats.org/officeDocument/2006/relationships/hyperlink" Target="http://www.riss.kr/link?id=S68575" TargetMode="External"/><Relationship Id="rId99" Type="http://schemas.openxmlformats.org/officeDocument/2006/relationships/hyperlink" Target="http://www.riss.kr/link?id=S27803" TargetMode="External"/><Relationship Id="rId101" Type="http://schemas.openxmlformats.org/officeDocument/2006/relationships/hyperlink" Target="http://www.riss.kr/link?id=S67352" TargetMode="External"/><Relationship Id="rId122" Type="http://schemas.openxmlformats.org/officeDocument/2006/relationships/hyperlink" Target="http://www.riss.kr/link?id=S104125" TargetMode="External"/><Relationship Id="rId4" Type="http://schemas.openxmlformats.org/officeDocument/2006/relationships/hyperlink" Target="http://www.riss.kr/link?id=S404755" TargetMode="External"/><Relationship Id="rId9" Type="http://schemas.openxmlformats.org/officeDocument/2006/relationships/hyperlink" Target="http://www.riss.kr/link?id=S15430" TargetMode="External"/><Relationship Id="rId26" Type="http://schemas.openxmlformats.org/officeDocument/2006/relationships/hyperlink" Target="http://www.riss.kr/link?id=S709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40376" TargetMode="External"/><Relationship Id="rId21" Type="http://schemas.openxmlformats.org/officeDocument/2006/relationships/hyperlink" Target="http://www.riss.kr/link?id=S115376" TargetMode="External"/><Relationship Id="rId42" Type="http://schemas.openxmlformats.org/officeDocument/2006/relationships/hyperlink" Target="http://www.riss.kr/link?id=S31011616" TargetMode="External"/><Relationship Id="rId63" Type="http://schemas.openxmlformats.org/officeDocument/2006/relationships/hyperlink" Target="http://www.riss.kr/link?id=S16024" TargetMode="External"/><Relationship Id="rId84" Type="http://schemas.openxmlformats.org/officeDocument/2006/relationships/hyperlink" Target="http://www.riss.kr/link?id=S103925" TargetMode="External"/><Relationship Id="rId16" Type="http://schemas.openxmlformats.org/officeDocument/2006/relationships/hyperlink" Target="http://www.riss.kr/link?id=S115375" TargetMode="External"/><Relationship Id="rId107" Type="http://schemas.openxmlformats.org/officeDocument/2006/relationships/hyperlink" Target="http://www.riss.kr/link?id=S85490" TargetMode="External"/><Relationship Id="rId11" Type="http://schemas.openxmlformats.org/officeDocument/2006/relationships/hyperlink" Target="http://www.riss.kr/link?id=S112893" TargetMode="External"/><Relationship Id="rId32" Type="http://schemas.openxmlformats.org/officeDocument/2006/relationships/hyperlink" Target="http://www.riss.kr/link?id=S401504" TargetMode="External"/><Relationship Id="rId37" Type="http://schemas.openxmlformats.org/officeDocument/2006/relationships/hyperlink" Target="http://www.riss.kr/link?id=S405412" TargetMode="External"/><Relationship Id="rId53" Type="http://schemas.openxmlformats.org/officeDocument/2006/relationships/hyperlink" Target="http://www.riss.kr/link?id=S11645644" TargetMode="External"/><Relationship Id="rId58" Type="http://schemas.openxmlformats.org/officeDocument/2006/relationships/hyperlink" Target="http://www.riss.kr/link?id=S16063" TargetMode="External"/><Relationship Id="rId74" Type="http://schemas.openxmlformats.org/officeDocument/2006/relationships/hyperlink" Target="http://www.riss.kr/link?id=S60691" TargetMode="External"/><Relationship Id="rId79" Type="http://schemas.openxmlformats.org/officeDocument/2006/relationships/hyperlink" Target="http://www.riss.kr/link?id=S20891" TargetMode="External"/><Relationship Id="rId102" Type="http://schemas.openxmlformats.org/officeDocument/2006/relationships/hyperlink" Target="http://www.riss.kr/link?id=S12927" TargetMode="External"/><Relationship Id="rId123" Type="http://schemas.openxmlformats.org/officeDocument/2006/relationships/hyperlink" Target="http://www.riss.kr/link?id=S63464" TargetMode="External"/><Relationship Id="rId128" Type="http://schemas.openxmlformats.org/officeDocument/2006/relationships/hyperlink" Target="http://www.riss.kr/link?id=S80194" TargetMode="External"/><Relationship Id="rId5" Type="http://schemas.openxmlformats.org/officeDocument/2006/relationships/hyperlink" Target="http://www.riss.kr/link?id=S31000997" TargetMode="External"/><Relationship Id="rId90" Type="http://schemas.openxmlformats.org/officeDocument/2006/relationships/hyperlink" Target="http://www.riss.kr/link?id=S415705" TargetMode="External"/><Relationship Id="rId95" Type="http://schemas.openxmlformats.org/officeDocument/2006/relationships/hyperlink" Target="http://www.riss.kr/link?id=S414717" TargetMode="External"/><Relationship Id="rId22" Type="http://schemas.openxmlformats.org/officeDocument/2006/relationships/hyperlink" Target="http://www.riss.kr/link?id=S11575509" TargetMode="External"/><Relationship Id="rId27" Type="http://schemas.openxmlformats.org/officeDocument/2006/relationships/hyperlink" Target="http://www.riss.kr/link?id=S20411" TargetMode="External"/><Relationship Id="rId43" Type="http://schemas.openxmlformats.org/officeDocument/2006/relationships/hyperlink" Target="http://www.riss.kr/link?id=S31019599" TargetMode="External"/><Relationship Id="rId48" Type="http://schemas.openxmlformats.org/officeDocument/2006/relationships/hyperlink" Target="http://www.riss.kr/link?id=S20010946" TargetMode="External"/><Relationship Id="rId64" Type="http://schemas.openxmlformats.org/officeDocument/2006/relationships/hyperlink" Target="http://www.riss.kr/link?id=S20011296" TargetMode="External"/><Relationship Id="rId69" Type="http://schemas.openxmlformats.org/officeDocument/2006/relationships/hyperlink" Target="http://www.riss.kr/link?id=S17254" TargetMode="External"/><Relationship Id="rId113" Type="http://schemas.openxmlformats.org/officeDocument/2006/relationships/hyperlink" Target="http://www.riss.kr/link?id=S411199" TargetMode="External"/><Relationship Id="rId118" Type="http://schemas.openxmlformats.org/officeDocument/2006/relationships/hyperlink" Target="http://www.riss.kr/link?id=S40515" TargetMode="External"/><Relationship Id="rId134" Type="http://schemas.openxmlformats.org/officeDocument/2006/relationships/hyperlink" Target="http://www.riss.kr/link?id=S19733" TargetMode="External"/><Relationship Id="rId80" Type="http://schemas.openxmlformats.org/officeDocument/2006/relationships/hyperlink" Target="http://www.riss.kr/link?id=S20890" TargetMode="External"/><Relationship Id="rId85" Type="http://schemas.openxmlformats.org/officeDocument/2006/relationships/hyperlink" Target="http://www.riss.kr/link?id=S11634165" TargetMode="External"/><Relationship Id="rId12" Type="http://schemas.openxmlformats.org/officeDocument/2006/relationships/hyperlink" Target="http://www.riss.kr/link?id=S115393" TargetMode="External"/><Relationship Id="rId17" Type="http://schemas.openxmlformats.org/officeDocument/2006/relationships/hyperlink" Target="http://www.riss.kr/link?id=S414163" TargetMode="External"/><Relationship Id="rId33" Type="http://schemas.openxmlformats.org/officeDocument/2006/relationships/hyperlink" Target="http://www.riss.kr/link?id=S408115" TargetMode="External"/><Relationship Id="rId38" Type="http://schemas.openxmlformats.org/officeDocument/2006/relationships/hyperlink" Target="http://www.riss.kr/link?id=S21836" TargetMode="External"/><Relationship Id="rId59" Type="http://schemas.openxmlformats.org/officeDocument/2006/relationships/hyperlink" Target="http://www.riss.kr/link?id=S16060" TargetMode="External"/><Relationship Id="rId103" Type="http://schemas.openxmlformats.org/officeDocument/2006/relationships/hyperlink" Target="http://www.riss.kr/link?id=S417506" TargetMode="External"/><Relationship Id="rId108" Type="http://schemas.openxmlformats.org/officeDocument/2006/relationships/hyperlink" Target="http://www.riss.kr/link?id=S20010476" TargetMode="External"/><Relationship Id="rId124" Type="http://schemas.openxmlformats.org/officeDocument/2006/relationships/hyperlink" Target="http://www.riss.kr/link?id=S35299" TargetMode="External"/><Relationship Id="rId129" Type="http://schemas.openxmlformats.org/officeDocument/2006/relationships/hyperlink" Target="http://www.riss.kr/link?id=S35765" TargetMode="External"/><Relationship Id="rId54" Type="http://schemas.openxmlformats.org/officeDocument/2006/relationships/hyperlink" Target="http://www.riss.kr/link?id=S5542" TargetMode="External"/><Relationship Id="rId70" Type="http://schemas.openxmlformats.org/officeDocument/2006/relationships/hyperlink" Target="http://www.riss.kr/link?id=S114686" TargetMode="External"/><Relationship Id="rId75" Type="http://schemas.openxmlformats.org/officeDocument/2006/relationships/hyperlink" Target="http://www.riss.kr/link?id=S20881" TargetMode="External"/><Relationship Id="rId91" Type="http://schemas.openxmlformats.org/officeDocument/2006/relationships/hyperlink" Target="http://www.riss.kr/link?id=S417596" TargetMode="External"/><Relationship Id="rId96" Type="http://schemas.openxmlformats.org/officeDocument/2006/relationships/hyperlink" Target="http://www.riss.kr/link?id=S15953" TargetMode="External"/><Relationship Id="rId1" Type="http://schemas.openxmlformats.org/officeDocument/2006/relationships/hyperlink" Target="http://www.riss.kr/link?id=S418336" TargetMode="External"/><Relationship Id="rId6" Type="http://schemas.openxmlformats.org/officeDocument/2006/relationships/hyperlink" Target="http://www.riss.kr/link?id=S16306" TargetMode="External"/><Relationship Id="rId23" Type="http://schemas.openxmlformats.org/officeDocument/2006/relationships/hyperlink" Target="http://www.riss.kr/link?id=S115377" TargetMode="External"/><Relationship Id="rId28" Type="http://schemas.openxmlformats.org/officeDocument/2006/relationships/hyperlink" Target="http://www.riss.kr/link?id=S104991" TargetMode="External"/><Relationship Id="rId49" Type="http://schemas.openxmlformats.org/officeDocument/2006/relationships/hyperlink" Target="http://www.riss.kr/link?id=S80605" TargetMode="External"/><Relationship Id="rId114" Type="http://schemas.openxmlformats.org/officeDocument/2006/relationships/hyperlink" Target="http://www.riss.kr/link?id=S31658" TargetMode="External"/><Relationship Id="rId119" Type="http://schemas.openxmlformats.org/officeDocument/2006/relationships/hyperlink" Target="http://www.riss.kr/link?id=S20068215" TargetMode="External"/><Relationship Id="rId44" Type="http://schemas.openxmlformats.org/officeDocument/2006/relationships/hyperlink" Target="http://www.riss.kr/link?id=S103860" TargetMode="External"/><Relationship Id="rId60" Type="http://schemas.openxmlformats.org/officeDocument/2006/relationships/hyperlink" Target="http://www.riss.kr/link?id=S15596" TargetMode="External"/><Relationship Id="rId65" Type="http://schemas.openxmlformats.org/officeDocument/2006/relationships/hyperlink" Target="http://www.riss.kr/link?id=S403110" TargetMode="External"/><Relationship Id="rId81" Type="http://schemas.openxmlformats.org/officeDocument/2006/relationships/hyperlink" Target="http://www.riss.kr/link?id=S45501" TargetMode="External"/><Relationship Id="rId86" Type="http://schemas.openxmlformats.org/officeDocument/2006/relationships/hyperlink" Target="http://www.riss.kr/link?id=S416464" TargetMode="External"/><Relationship Id="rId130" Type="http://schemas.openxmlformats.org/officeDocument/2006/relationships/hyperlink" Target="http://www.riss.kr/link?id=S62753" TargetMode="External"/><Relationship Id="rId135" Type="http://schemas.openxmlformats.org/officeDocument/2006/relationships/hyperlink" Target="http://www.riss.kr/link?id=S63688" TargetMode="External"/><Relationship Id="rId13" Type="http://schemas.openxmlformats.org/officeDocument/2006/relationships/hyperlink" Target="http://www.riss.kr/link?id=S16085" TargetMode="External"/><Relationship Id="rId18" Type="http://schemas.openxmlformats.org/officeDocument/2006/relationships/hyperlink" Target="http://www.riss.kr/link?id=S30004502" TargetMode="External"/><Relationship Id="rId39" Type="http://schemas.openxmlformats.org/officeDocument/2006/relationships/hyperlink" Target="http://www.riss.kr/link?id=S16097" TargetMode="External"/><Relationship Id="rId109" Type="http://schemas.openxmlformats.org/officeDocument/2006/relationships/hyperlink" Target="http://www.riss.kr/link?id=S48936" TargetMode="External"/><Relationship Id="rId34" Type="http://schemas.openxmlformats.org/officeDocument/2006/relationships/hyperlink" Target="http://www.riss.kr/link?id=S404178" TargetMode="External"/><Relationship Id="rId50" Type="http://schemas.openxmlformats.org/officeDocument/2006/relationships/hyperlink" Target="http://www.riss.kr/link?id=S16077" TargetMode="External"/><Relationship Id="rId55" Type="http://schemas.openxmlformats.org/officeDocument/2006/relationships/hyperlink" Target="http://www.riss.kr/link?id=S12868" TargetMode="External"/><Relationship Id="rId76" Type="http://schemas.openxmlformats.org/officeDocument/2006/relationships/hyperlink" Target="http://www.riss.kr/link?id=S15959" TargetMode="External"/><Relationship Id="rId97" Type="http://schemas.openxmlformats.org/officeDocument/2006/relationships/hyperlink" Target="http://www.riss.kr/link?id=S97926" TargetMode="External"/><Relationship Id="rId104" Type="http://schemas.openxmlformats.org/officeDocument/2006/relationships/hyperlink" Target="http://www.riss.kr/link?id=S414819" TargetMode="External"/><Relationship Id="rId120" Type="http://schemas.openxmlformats.org/officeDocument/2006/relationships/hyperlink" Target="http://www.riss.kr/link?id=S48399" TargetMode="External"/><Relationship Id="rId125" Type="http://schemas.openxmlformats.org/officeDocument/2006/relationships/hyperlink" Target="http://www.riss.kr/link?id=S60898" TargetMode="External"/><Relationship Id="rId7" Type="http://schemas.openxmlformats.org/officeDocument/2006/relationships/hyperlink" Target="http://www.riss.kr/link?id=S407021" TargetMode="External"/><Relationship Id="rId71" Type="http://schemas.openxmlformats.org/officeDocument/2006/relationships/hyperlink" Target="http://www.riss.kr/link?id=S402182" TargetMode="External"/><Relationship Id="rId92" Type="http://schemas.openxmlformats.org/officeDocument/2006/relationships/hyperlink" Target="http://www.riss.kr/link?id=S14380" TargetMode="External"/><Relationship Id="rId2" Type="http://schemas.openxmlformats.org/officeDocument/2006/relationships/hyperlink" Target="http://www.riss.kr/link?id=S21699" TargetMode="External"/><Relationship Id="rId29" Type="http://schemas.openxmlformats.org/officeDocument/2006/relationships/hyperlink" Target="http://www.riss.kr/link?id=S28951" TargetMode="External"/><Relationship Id="rId24" Type="http://schemas.openxmlformats.org/officeDocument/2006/relationships/hyperlink" Target="http://www.riss.kr/link?id=S16220" TargetMode="External"/><Relationship Id="rId40" Type="http://schemas.openxmlformats.org/officeDocument/2006/relationships/hyperlink" Target="http://www.riss.kr/link?id=S418684" TargetMode="External"/><Relationship Id="rId45" Type="http://schemas.openxmlformats.org/officeDocument/2006/relationships/hyperlink" Target="http://www.riss.kr/link?id=S24614" TargetMode="External"/><Relationship Id="rId66" Type="http://schemas.openxmlformats.org/officeDocument/2006/relationships/hyperlink" Target="http://www.riss.kr/link?id=S16015" TargetMode="External"/><Relationship Id="rId87" Type="http://schemas.openxmlformats.org/officeDocument/2006/relationships/hyperlink" Target="http://www.riss.kr/link?id=S404213" TargetMode="External"/><Relationship Id="rId110" Type="http://schemas.openxmlformats.org/officeDocument/2006/relationships/hyperlink" Target="http://www.riss.kr/link?id=S63516" TargetMode="External"/><Relationship Id="rId115" Type="http://schemas.openxmlformats.org/officeDocument/2006/relationships/hyperlink" Target="http://www.riss.kr/link?id=S48402" TargetMode="External"/><Relationship Id="rId131" Type="http://schemas.openxmlformats.org/officeDocument/2006/relationships/hyperlink" Target="http://www.riss.kr/link?id=S35658" TargetMode="External"/><Relationship Id="rId61" Type="http://schemas.openxmlformats.org/officeDocument/2006/relationships/hyperlink" Target="http://www.riss.kr/link?id=S11572188" TargetMode="External"/><Relationship Id="rId82" Type="http://schemas.openxmlformats.org/officeDocument/2006/relationships/hyperlink" Target="http://www.riss.kr/link?id=S20888" TargetMode="External"/><Relationship Id="rId19" Type="http://schemas.openxmlformats.org/officeDocument/2006/relationships/hyperlink" Target="http://www.riss.kr/link?id=S16252" TargetMode="External"/><Relationship Id="rId14" Type="http://schemas.openxmlformats.org/officeDocument/2006/relationships/hyperlink" Target="http://www.riss.kr/link?id=S115373" TargetMode="External"/><Relationship Id="rId30" Type="http://schemas.openxmlformats.org/officeDocument/2006/relationships/hyperlink" Target="http://www.riss.kr/link?id=S412775" TargetMode="External"/><Relationship Id="rId35" Type="http://schemas.openxmlformats.org/officeDocument/2006/relationships/hyperlink" Target="http://www.riss.kr/link?id=S402265" TargetMode="External"/><Relationship Id="rId56" Type="http://schemas.openxmlformats.org/officeDocument/2006/relationships/hyperlink" Target="http://www.riss.kr/link?id=S14006" TargetMode="External"/><Relationship Id="rId77" Type="http://schemas.openxmlformats.org/officeDocument/2006/relationships/hyperlink" Target="http://www.riss.kr/link?id=S30006165" TargetMode="External"/><Relationship Id="rId100" Type="http://schemas.openxmlformats.org/officeDocument/2006/relationships/hyperlink" Target="http://www.riss.kr/link?id=S104898" TargetMode="External"/><Relationship Id="rId105" Type="http://schemas.openxmlformats.org/officeDocument/2006/relationships/hyperlink" Target="http://www.riss.kr/link?id=S15504" TargetMode="External"/><Relationship Id="rId126" Type="http://schemas.openxmlformats.org/officeDocument/2006/relationships/hyperlink" Target="http://www.riss.kr/link?id=S7127" TargetMode="External"/><Relationship Id="rId8" Type="http://schemas.openxmlformats.org/officeDocument/2006/relationships/hyperlink" Target="http://www.riss.kr/link?id=S410895" TargetMode="External"/><Relationship Id="rId51" Type="http://schemas.openxmlformats.org/officeDocument/2006/relationships/hyperlink" Target="http://www.riss.kr/link?id=S87729" TargetMode="External"/><Relationship Id="rId72" Type="http://schemas.openxmlformats.org/officeDocument/2006/relationships/hyperlink" Target="http://www.riss.kr/link?id=S20951" TargetMode="External"/><Relationship Id="rId93" Type="http://schemas.openxmlformats.org/officeDocument/2006/relationships/hyperlink" Target="http://www.riss.kr/link?id=S410779" TargetMode="External"/><Relationship Id="rId98" Type="http://schemas.openxmlformats.org/officeDocument/2006/relationships/hyperlink" Target="http://www.riss.kr/link?id=S115391" TargetMode="External"/><Relationship Id="rId121" Type="http://schemas.openxmlformats.org/officeDocument/2006/relationships/hyperlink" Target="http://www.riss.kr/link?id=S19748" TargetMode="External"/><Relationship Id="rId3" Type="http://schemas.openxmlformats.org/officeDocument/2006/relationships/hyperlink" Target="http://www.riss.kr/link?id=S20012637" TargetMode="External"/><Relationship Id="rId25" Type="http://schemas.openxmlformats.org/officeDocument/2006/relationships/hyperlink" Target="http://www.riss.kr/link?id=S16206" TargetMode="External"/><Relationship Id="rId46" Type="http://schemas.openxmlformats.org/officeDocument/2006/relationships/hyperlink" Target="http://www.riss.kr/link?id=S16083" TargetMode="External"/><Relationship Id="rId67" Type="http://schemas.openxmlformats.org/officeDocument/2006/relationships/hyperlink" Target="http://www.riss.kr/link?id=S20010548" TargetMode="External"/><Relationship Id="rId116" Type="http://schemas.openxmlformats.org/officeDocument/2006/relationships/hyperlink" Target="http://www.riss.kr/link?id=S19734" TargetMode="External"/><Relationship Id="rId20" Type="http://schemas.openxmlformats.org/officeDocument/2006/relationships/hyperlink" Target="http://www.riss.kr/link?id=S80384" TargetMode="External"/><Relationship Id="rId41" Type="http://schemas.openxmlformats.org/officeDocument/2006/relationships/hyperlink" Target="http://www.riss.kr/link?id=S410183" TargetMode="External"/><Relationship Id="rId62" Type="http://schemas.openxmlformats.org/officeDocument/2006/relationships/hyperlink" Target="http://www.riss.kr/link?id=S28149" TargetMode="External"/><Relationship Id="rId83" Type="http://schemas.openxmlformats.org/officeDocument/2006/relationships/hyperlink" Target="http://www.riss.kr/link?id=S13543" TargetMode="External"/><Relationship Id="rId88" Type="http://schemas.openxmlformats.org/officeDocument/2006/relationships/hyperlink" Target="http://www.riss.kr/link?id=S416272" TargetMode="External"/><Relationship Id="rId111" Type="http://schemas.openxmlformats.org/officeDocument/2006/relationships/hyperlink" Target="http://www.riss.kr/link?id=S26171" TargetMode="External"/><Relationship Id="rId132" Type="http://schemas.openxmlformats.org/officeDocument/2006/relationships/hyperlink" Target="http://www.riss.kr/link?id=S411233" TargetMode="External"/><Relationship Id="rId15" Type="http://schemas.openxmlformats.org/officeDocument/2006/relationships/hyperlink" Target="http://www.riss.kr/link?id=S90482" TargetMode="External"/><Relationship Id="rId36" Type="http://schemas.openxmlformats.org/officeDocument/2006/relationships/hyperlink" Target="http://www.riss.kr/link?id=S402120" TargetMode="External"/><Relationship Id="rId57" Type="http://schemas.openxmlformats.org/officeDocument/2006/relationships/hyperlink" Target="http://www.riss.kr/link?id=S97822" TargetMode="External"/><Relationship Id="rId106" Type="http://schemas.openxmlformats.org/officeDocument/2006/relationships/hyperlink" Target="http://www.riss.kr/link?id=S115392" TargetMode="External"/><Relationship Id="rId127" Type="http://schemas.openxmlformats.org/officeDocument/2006/relationships/hyperlink" Target="http://www.riss.kr/link?id=S80312" TargetMode="External"/><Relationship Id="rId10" Type="http://schemas.openxmlformats.org/officeDocument/2006/relationships/hyperlink" Target="http://www.riss.kr/link?id=S115372" TargetMode="External"/><Relationship Id="rId31" Type="http://schemas.openxmlformats.org/officeDocument/2006/relationships/hyperlink" Target="http://www.riss.kr/link?id=S11926" TargetMode="External"/><Relationship Id="rId52" Type="http://schemas.openxmlformats.org/officeDocument/2006/relationships/hyperlink" Target="http://www.riss.kr/link?id=S402394" TargetMode="External"/><Relationship Id="rId73" Type="http://schemas.openxmlformats.org/officeDocument/2006/relationships/hyperlink" Target="http://www.riss.kr/link?id=S20950" TargetMode="External"/><Relationship Id="rId78" Type="http://schemas.openxmlformats.org/officeDocument/2006/relationships/hyperlink" Target="http://www.riss.kr/link?id=S20886" TargetMode="External"/><Relationship Id="rId94" Type="http://schemas.openxmlformats.org/officeDocument/2006/relationships/hyperlink" Target="http://www.riss.kr/link?id=S415890" TargetMode="External"/><Relationship Id="rId99" Type="http://schemas.openxmlformats.org/officeDocument/2006/relationships/hyperlink" Target="http://www.riss.kr/link?id=S17778" TargetMode="External"/><Relationship Id="rId101" Type="http://schemas.openxmlformats.org/officeDocument/2006/relationships/hyperlink" Target="http://www.riss.kr/link?id=S21137" TargetMode="External"/><Relationship Id="rId122" Type="http://schemas.openxmlformats.org/officeDocument/2006/relationships/hyperlink" Target="http://www.riss.kr/link?id=S416847" TargetMode="External"/><Relationship Id="rId4" Type="http://schemas.openxmlformats.org/officeDocument/2006/relationships/hyperlink" Target="http://www.riss.kr/link?id=S17339" TargetMode="External"/><Relationship Id="rId9" Type="http://schemas.openxmlformats.org/officeDocument/2006/relationships/hyperlink" Target="http://www.riss.kr/link?id=S20013054" TargetMode="External"/><Relationship Id="rId26" Type="http://schemas.openxmlformats.org/officeDocument/2006/relationships/hyperlink" Target="http://www.riss.kr/link?id=S14978" TargetMode="External"/><Relationship Id="rId47" Type="http://schemas.openxmlformats.org/officeDocument/2006/relationships/hyperlink" Target="http://www.riss.kr/link?id=S115994" TargetMode="External"/><Relationship Id="rId68" Type="http://schemas.openxmlformats.org/officeDocument/2006/relationships/hyperlink" Target="http://www.riss.kr/link?id=S20010588" TargetMode="External"/><Relationship Id="rId89" Type="http://schemas.openxmlformats.org/officeDocument/2006/relationships/hyperlink" Target="http://www.riss.kr/link?id=S417529" TargetMode="External"/><Relationship Id="rId112" Type="http://schemas.openxmlformats.org/officeDocument/2006/relationships/hyperlink" Target="http://www.riss.kr/link?id=S417041" TargetMode="External"/><Relationship Id="rId133" Type="http://schemas.openxmlformats.org/officeDocument/2006/relationships/hyperlink" Target="http://www.riss.kr/link?id=S61535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iss.kr/link?id=S19734" TargetMode="External"/><Relationship Id="rId21" Type="http://schemas.openxmlformats.org/officeDocument/2006/relationships/hyperlink" Target="http://www.riss.kr/link?id=S80384" TargetMode="External"/><Relationship Id="rId42" Type="http://schemas.openxmlformats.org/officeDocument/2006/relationships/hyperlink" Target="http://www.riss.kr/link?id=S410183" TargetMode="External"/><Relationship Id="rId63" Type="http://schemas.openxmlformats.org/officeDocument/2006/relationships/hyperlink" Target="http://www.riss.kr/link?id=S28149" TargetMode="External"/><Relationship Id="rId84" Type="http://schemas.openxmlformats.org/officeDocument/2006/relationships/hyperlink" Target="http://www.riss.kr/link?id=S13543" TargetMode="External"/><Relationship Id="rId16" Type="http://schemas.openxmlformats.org/officeDocument/2006/relationships/hyperlink" Target="http://www.riss.kr/link?id=S90482" TargetMode="External"/><Relationship Id="rId107" Type="http://schemas.openxmlformats.org/officeDocument/2006/relationships/hyperlink" Target="http://www.riss.kr/link?id=S115392" TargetMode="External"/><Relationship Id="rId11" Type="http://schemas.openxmlformats.org/officeDocument/2006/relationships/hyperlink" Target="http://www.riss.kr/link?id=S115372" TargetMode="External"/><Relationship Id="rId32" Type="http://schemas.openxmlformats.org/officeDocument/2006/relationships/hyperlink" Target="http://www.riss.kr/link?id=S11926" TargetMode="External"/><Relationship Id="rId37" Type="http://schemas.openxmlformats.org/officeDocument/2006/relationships/hyperlink" Target="http://www.riss.kr/link?id=S402120" TargetMode="External"/><Relationship Id="rId53" Type="http://schemas.openxmlformats.org/officeDocument/2006/relationships/hyperlink" Target="http://www.riss.kr/link?id=S402394" TargetMode="External"/><Relationship Id="rId58" Type="http://schemas.openxmlformats.org/officeDocument/2006/relationships/hyperlink" Target="http://www.riss.kr/link?id=S97822" TargetMode="External"/><Relationship Id="rId74" Type="http://schemas.openxmlformats.org/officeDocument/2006/relationships/hyperlink" Target="http://www.riss.kr/link?id=S20950" TargetMode="External"/><Relationship Id="rId79" Type="http://schemas.openxmlformats.org/officeDocument/2006/relationships/hyperlink" Target="http://www.riss.kr/link?id=S20886" TargetMode="External"/><Relationship Id="rId102" Type="http://schemas.openxmlformats.org/officeDocument/2006/relationships/hyperlink" Target="http://www.riss.kr/link?id=S21137" TargetMode="External"/><Relationship Id="rId123" Type="http://schemas.openxmlformats.org/officeDocument/2006/relationships/hyperlink" Target="http://www.riss.kr/link?id=S416847" TargetMode="External"/><Relationship Id="rId128" Type="http://schemas.openxmlformats.org/officeDocument/2006/relationships/hyperlink" Target="http://www.riss.kr/link?id=S80312" TargetMode="External"/><Relationship Id="rId5" Type="http://schemas.openxmlformats.org/officeDocument/2006/relationships/hyperlink" Target="http://scientific.net/" TargetMode="External"/><Relationship Id="rId90" Type="http://schemas.openxmlformats.org/officeDocument/2006/relationships/hyperlink" Target="http://www.riss.kr/link?id=S417529" TargetMode="External"/><Relationship Id="rId95" Type="http://schemas.openxmlformats.org/officeDocument/2006/relationships/hyperlink" Target="http://www.riss.kr/link?id=S415890" TargetMode="External"/><Relationship Id="rId22" Type="http://schemas.openxmlformats.org/officeDocument/2006/relationships/hyperlink" Target="http://www.riss.kr/link?id=S115376" TargetMode="External"/><Relationship Id="rId27" Type="http://schemas.openxmlformats.org/officeDocument/2006/relationships/hyperlink" Target="http://www.riss.kr/link?id=S14978" TargetMode="External"/><Relationship Id="rId43" Type="http://schemas.openxmlformats.org/officeDocument/2006/relationships/hyperlink" Target="http://www.riss.kr/link?id=S31011616" TargetMode="External"/><Relationship Id="rId48" Type="http://schemas.openxmlformats.org/officeDocument/2006/relationships/hyperlink" Target="http://www.riss.kr/link?id=S115994" TargetMode="External"/><Relationship Id="rId64" Type="http://schemas.openxmlformats.org/officeDocument/2006/relationships/hyperlink" Target="http://www.riss.kr/link?id=S16024" TargetMode="External"/><Relationship Id="rId69" Type="http://schemas.openxmlformats.org/officeDocument/2006/relationships/hyperlink" Target="http://www.riss.kr/link?id=S20010588" TargetMode="External"/><Relationship Id="rId113" Type="http://schemas.openxmlformats.org/officeDocument/2006/relationships/hyperlink" Target="http://www.riss.kr/link?id=S417041" TargetMode="External"/><Relationship Id="rId118" Type="http://schemas.openxmlformats.org/officeDocument/2006/relationships/hyperlink" Target="http://www.riss.kr/link?id=S40376" TargetMode="External"/><Relationship Id="rId134" Type="http://schemas.openxmlformats.org/officeDocument/2006/relationships/hyperlink" Target="http://www.riss.kr/link?id=S61535" TargetMode="External"/><Relationship Id="rId80" Type="http://schemas.openxmlformats.org/officeDocument/2006/relationships/hyperlink" Target="http://www.riss.kr/link?id=S20891" TargetMode="External"/><Relationship Id="rId85" Type="http://schemas.openxmlformats.org/officeDocument/2006/relationships/hyperlink" Target="http://www.riss.kr/link?id=S103925" TargetMode="External"/><Relationship Id="rId12" Type="http://schemas.openxmlformats.org/officeDocument/2006/relationships/hyperlink" Target="http://www.riss.kr/link?id=S112893" TargetMode="External"/><Relationship Id="rId17" Type="http://schemas.openxmlformats.org/officeDocument/2006/relationships/hyperlink" Target="http://www.riss.kr/link?id=S115375" TargetMode="External"/><Relationship Id="rId33" Type="http://schemas.openxmlformats.org/officeDocument/2006/relationships/hyperlink" Target="http://www.riss.kr/link?id=S401504" TargetMode="External"/><Relationship Id="rId38" Type="http://schemas.openxmlformats.org/officeDocument/2006/relationships/hyperlink" Target="http://www.riss.kr/link?id=S405412" TargetMode="External"/><Relationship Id="rId59" Type="http://schemas.openxmlformats.org/officeDocument/2006/relationships/hyperlink" Target="http://www.riss.kr/link?id=S16063" TargetMode="External"/><Relationship Id="rId103" Type="http://schemas.openxmlformats.org/officeDocument/2006/relationships/hyperlink" Target="http://www.riss.kr/link?id=S12927" TargetMode="External"/><Relationship Id="rId108" Type="http://schemas.openxmlformats.org/officeDocument/2006/relationships/hyperlink" Target="http://www.riss.kr/link?id=S85490" TargetMode="External"/><Relationship Id="rId124" Type="http://schemas.openxmlformats.org/officeDocument/2006/relationships/hyperlink" Target="http://www.riss.kr/link?id=S63464" TargetMode="External"/><Relationship Id="rId129" Type="http://schemas.openxmlformats.org/officeDocument/2006/relationships/hyperlink" Target="http://www.riss.kr/link?id=S80194" TargetMode="External"/><Relationship Id="rId54" Type="http://schemas.openxmlformats.org/officeDocument/2006/relationships/hyperlink" Target="http://www.riss.kr/link?id=S11645644" TargetMode="External"/><Relationship Id="rId70" Type="http://schemas.openxmlformats.org/officeDocument/2006/relationships/hyperlink" Target="http://www.riss.kr/link?id=S17254" TargetMode="External"/><Relationship Id="rId75" Type="http://schemas.openxmlformats.org/officeDocument/2006/relationships/hyperlink" Target="http://www.riss.kr/link?id=S60691" TargetMode="External"/><Relationship Id="rId91" Type="http://schemas.openxmlformats.org/officeDocument/2006/relationships/hyperlink" Target="http://www.riss.kr/link?id=S415705" TargetMode="External"/><Relationship Id="rId96" Type="http://schemas.openxmlformats.org/officeDocument/2006/relationships/hyperlink" Target="http://www.riss.kr/link?id=S414717" TargetMode="External"/><Relationship Id="rId1" Type="http://schemas.openxmlformats.org/officeDocument/2006/relationships/hyperlink" Target="http://www.riss.kr/link?id=S418336" TargetMode="External"/><Relationship Id="rId6" Type="http://schemas.openxmlformats.org/officeDocument/2006/relationships/hyperlink" Target="http://www.riss.kr/link?id=S31000997" TargetMode="External"/><Relationship Id="rId23" Type="http://schemas.openxmlformats.org/officeDocument/2006/relationships/hyperlink" Target="http://www.riss.kr/link?id=S11575509" TargetMode="External"/><Relationship Id="rId28" Type="http://schemas.openxmlformats.org/officeDocument/2006/relationships/hyperlink" Target="http://www.riss.kr/link?id=S20411" TargetMode="External"/><Relationship Id="rId49" Type="http://schemas.openxmlformats.org/officeDocument/2006/relationships/hyperlink" Target="http://www.riss.kr/link?id=S20010946" TargetMode="External"/><Relationship Id="rId114" Type="http://schemas.openxmlformats.org/officeDocument/2006/relationships/hyperlink" Target="http://www.riss.kr/link?id=S411199" TargetMode="External"/><Relationship Id="rId119" Type="http://schemas.openxmlformats.org/officeDocument/2006/relationships/hyperlink" Target="http://www.riss.kr/link?id=S40515" TargetMode="External"/><Relationship Id="rId44" Type="http://schemas.openxmlformats.org/officeDocument/2006/relationships/hyperlink" Target="http://www.riss.kr/link?id=S31019599" TargetMode="External"/><Relationship Id="rId60" Type="http://schemas.openxmlformats.org/officeDocument/2006/relationships/hyperlink" Target="http://www.riss.kr/link?id=S16060" TargetMode="External"/><Relationship Id="rId65" Type="http://schemas.openxmlformats.org/officeDocument/2006/relationships/hyperlink" Target="http://www.riss.kr/link?id=S20011296" TargetMode="External"/><Relationship Id="rId81" Type="http://schemas.openxmlformats.org/officeDocument/2006/relationships/hyperlink" Target="http://www.riss.kr/link?id=S20890" TargetMode="External"/><Relationship Id="rId86" Type="http://schemas.openxmlformats.org/officeDocument/2006/relationships/hyperlink" Target="http://www.riss.kr/link?id=S11634165" TargetMode="External"/><Relationship Id="rId130" Type="http://schemas.openxmlformats.org/officeDocument/2006/relationships/hyperlink" Target="http://www.riss.kr/link?id=S35765" TargetMode="External"/><Relationship Id="rId135" Type="http://schemas.openxmlformats.org/officeDocument/2006/relationships/hyperlink" Target="http://www.riss.kr/link?id=S19733" TargetMode="External"/><Relationship Id="rId13" Type="http://schemas.openxmlformats.org/officeDocument/2006/relationships/hyperlink" Target="http://www.riss.kr/link?id=S115393" TargetMode="External"/><Relationship Id="rId18" Type="http://schemas.openxmlformats.org/officeDocument/2006/relationships/hyperlink" Target="http://www.riss.kr/link?id=S414163" TargetMode="External"/><Relationship Id="rId39" Type="http://schemas.openxmlformats.org/officeDocument/2006/relationships/hyperlink" Target="http://www.riss.kr/link?id=S21836" TargetMode="External"/><Relationship Id="rId109" Type="http://schemas.openxmlformats.org/officeDocument/2006/relationships/hyperlink" Target="http://www.riss.kr/link?id=S20010476" TargetMode="External"/><Relationship Id="rId34" Type="http://schemas.openxmlformats.org/officeDocument/2006/relationships/hyperlink" Target="http://www.riss.kr/link?id=S408115" TargetMode="External"/><Relationship Id="rId50" Type="http://schemas.openxmlformats.org/officeDocument/2006/relationships/hyperlink" Target="http://www.riss.kr/link?id=S80605" TargetMode="External"/><Relationship Id="rId55" Type="http://schemas.openxmlformats.org/officeDocument/2006/relationships/hyperlink" Target="http://www.riss.kr/link?id=S5542" TargetMode="External"/><Relationship Id="rId76" Type="http://schemas.openxmlformats.org/officeDocument/2006/relationships/hyperlink" Target="http://www.riss.kr/link?id=S20881" TargetMode="External"/><Relationship Id="rId97" Type="http://schemas.openxmlformats.org/officeDocument/2006/relationships/hyperlink" Target="http://www.riss.kr/link?id=S15953" TargetMode="External"/><Relationship Id="rId104" Type="http://schemas.openxmlformats.org/officeDocument/2006/relationships/hyperlink" Target="http://www.riss.kr/link?id=S417506" TargetMode="External"/><Relationship Id="rId120" Type="http://schemas.openxmlformats.org/officeDocument/2006/relationships/hyperlink" Target="http://www.riss.kr/link?id=S20068215" TargetMode="External"/><Relationship Id="rId125" Type="http://schemas.openxmlformats.org/officeDocument/2006/relationships/hyperlink" Target="http://www.riss.kr/link?id=S35299" TargetMode="External"/><Relationship Id="rId7" Type="http://schemas.openxmlformats.org/officeDocument/2006/relationships/hyperlink" Target="http://www.riss.kr/link?id=S16306" TargetMode="External"/><Relationship Id="rId71" Type="http://schemas.openxmlformats.org/officeDocument/2006/relationships/hyperlink" Target="http://www.riss.kr/link?id=S114686" TargetMode="External"/><Relationship Id="rId92" Type="http://schemas.openxmlformats.org/officeDocument/2006/relationships/hyperlink" Target="http://www.riss.kr/link?id=S417596" TargetMode="External"/><Relationship Id="rId2" Type="http://schemas.openxmlformats.org/officeDocument/2006/relationships/hyperlink" Target="http://www.riss.kr/link?id=S21699" TargetMode="External"/><Relationship Id="rId29" Type="http://schemas.openxmlformats.org/officeDocument/2006/relationships/hyperlink" Target="http://www.riss.kr/link?id=S104991" TargetMode="External"/><Relationship Id="rId24" Type="http://schemas.openxmlformats.org/officeDocument/2006/relationships/hyperlink" Target="http://www.riss.kr/link?id=S115377" TargetMode="External"/><Relationship Id="rId40" Type="http://schemas.openxmlformats.org/officeDocument/2006/relationships/hyperlink" Target="http://www.riss.kr/link?id=S16097" TargetMode="External"/><Relationship Id="rId45" Type="http://schemas.openxmlformats.org/officeDocument/2006/relationships/hyperlink" Target="http://www.riss.kr/link?id=S103860" TargetMode="External"/><Relationship Id="rId66" Type="http://schemas.openxmlformats.org/officeDocument/2006/relationships/hyperlink" Target="http://www.riss.kr/link?id=S403110" TargetMode="External"/><Relationship Id="rId87" Type="http://schemas.openxmlformats.org/officeDocument/2006/relationships/hyperlink" Target="http://www.riss.kr/link?id=S416464" TargetMode="External"/><Relationship Id="rId110" Type="http://schemas.openxmlformats.org/officeDocument/2006/relationships/hyperlink" Target="http://www.riss.kr/link?id=S48936" TargetMode="External"/><Relationship Id="rId115" Type="http://schemas.openxmlformats.org/officeDocument/2006/relationships/hyperlink" Target="http://www.riss.kr/link?id=S31658" TargetMode="External"/><Relationship Id="rId131" Type="http://schemas.openxmlformats.org/officeDocument/2006/relationships/hyperlink" Target="http://www.riss.kr/link?id=S62753" TargetMode="External"/><Relationship Id="rId136" Type="http://schemas.openxmlformats.org/officeDocument/2006/relationships/hyperlink" Target="http://www.riss.kr/link?id=S63688" TargetMode="External"/><Relationship Id="rId61" Type="http://schemas.openxmlformats.org/officeDocument/2006/relationships/hyperlink" Target="http://www.riss.kr/link?id=S15596" TargetMode="External"/><Relationship Id="rId82" Type="http://schemas.openxmlformats.org/officeDocument/2006/relationships/hyperlink" Target="http://www.riss.kr/link?id=S45501" TargetMode="External"/><Relationship Id="rId19" Type="http://schemas.openxmlformats.org/officeDocument/2006/relationships/hyperlink" Target="http://www.riss.kr/link?id=S30004502" TargetMode="External"/><Relationship Id="rId14" Type="http://schemas.openxmlformats.org/officeDocument/2006/relationships/hyperlink" Target="http://www.riss.kr/link?id=S16085" TargetMode="External"/><Relationship Id="rId30" Type="http://schemas.openxmlformats.org/officeDocument/2006/relationships/hyperlink" Target="http://www.riss.kr/link?id=S28951" TargetMode="External"/><Relationship Id="rId35" Type="http://schemas.openxmlformats.org/officeDocument/2006/relationships/hyperlink" Target="http://www.riss.kr/link?id=S404178" TargetMode="External"/><Relationship Id="rId56" Type="http://schemas.openxmlformats.org/officeDocument/2006/relationships/hyperlink" Target="http://www.riss.kr/link?id=S12868" TargetMode="External"/><Relationship Id="rId77" Type="http://schemas.openxmlformats.org/officeDocument/2006/relationships/hyperlink" Target="http://www.riss.kr/link?id=S15959" TargetMode="External"/><Relationship Id="rId100" Type="http://schemas.openxmlformats.org/officeDocument/2006/relationships/hyperlink" Target="http://www.riss.kr/link?id=S17778" TargetMode="External"/><Relationship Id="rId105" Type="http://schemas.openxmlformats.org/officeDocument/2006/relationships/hyperlink" Target="http://www.riss.kr/link?id=S414819" TargetMode="External"/><Relationship Id="rId126" Type="http://schemas.openxmlformats.org/officeDocument/2006/relationships/hyperlink" Target="http://www.riss.kr/link?id=S60898" TargetMode="External"/><Relationship Id="rId8" Type="http://schemas.openxmlformats.org/officeDocument/2006/relationships/hyperlink" Target="http://www.riss.kr/link?id=S407021" TargetMode="External"/><Relationship Id="rId51" Type="http://schemas.openxmlformats.org/officeDocument/2006/relationships/hyperlink" Target="http://www.riss.kr/link?id=S16077" TargetMode="External"/><Relationship Id="rId72" Type="http://schemas.openxmlformats.org/officeDocument/2006/relationships/hyperlink" Target="http://www.riss.kr/link?id=S402182" TargetMode="External"/><Relationship Id="rId93" Type="http://schemas.openxmlformats.org/officeDocument/2006/relationships/hyperlink" Target="http://www.riss.kr/link?id=S14380" TargetMode="External"/><Relationship Id="rId98" Type="http://schemas.openxmlformats.org/officeDocument/2006/relationships/hyperlink" Target="http://www.riss.kr/link?id=S97926" TargetMode="External"/><Relationship Id="rId121" Type="http://schemas.openxmlformats.org/officeDocument/2006/relationships/hyperlink" Target="http://www.riss.kr/link?id=S48399" TargetMode="External"/><Relationship Id="rId3" Type="http://schemas.openxmlformats.org/officeDocument/2006/relationships/hyperlink" Target="http://www.riss.kr/link?id=S20012637" TargetMode="External"/><Relationship Id="rId25" Type="http://schemas.openxmlformats.org/officeDocument/2006/relationships/hyperlink" Target="http://www.riss.kr/link?id=S16220" TargetMode="External"/><Relationship Id="rId46" Type="http://schemas.openxmlformats.org/officeDocument/2006/relationships/hyperlink" Target="http://www.riss.kr/link?id=S24614" TargetMode="External"/><Relationship Id="rId67" Type="http://schemas.openxmlformats.org/officeDocument/2006/relationships/hyperlink" Target="http://www.riss.kr/link?id=S16015" TargetMode="External"/><Relationship Id="rId116" Type="http://schemas.openxmlformats.org/officeDocument/2006/relationships/hyperlink" Target="http://www.riss.kr/link?id=S48402" TargetMode="External"/><Relationship Id="rId20" Type="http://schemas.openxmlformats.org/officeDocument/2006/relationships/hyperlink" Target="http://www.riss.kr/link?id=S16252" TargetMode="External"/><Relationship Id="rId41" Type="http://schemas.openxmlformats.org/officeDocument/2006/relationships/hyperlink" Target="http://www.riss.kr/link?id=S418684" TargetMode="External"/><Relationship Id="rId62" Type="http://schemas.openxmlformats.org/officeDocument/2006/relationships/hyperlink" Target="http://www.riss.kr/link?id=S11572188" TargetMode="External"/><Relationship Id="rId83" Type="http://schemas.openxmlformats.org/officeDocument/2006/relationships/hyperlink" Target="http://www.riss.kr/link?id=S20888" TargetMode="External"/><Relationship Id="rId88" Type="http://schemas.openxmlformats.org/officeDocument/2006/relationships/hyperlink" Target="http://www.riss.kr/link?id=S404213" TargetMode="External"/><Relationship Id="rId111" Type="http://schemas.openxmlformats.org/officeDocument/2006/relationships/hyperlink" Target="http://www.riss.kr/link?id=S63516" TargetMode="External"/><Relationship Id="rId132" Type="http://schemas.openxmlformats.org/officeDocument/2006/relationships/hyperlink" Target="http://www.riss.kr/link?id=S35658" TargetMode="External"/><Relationship Id="rId15" Type="http://schemas.openxmlformats.org/officeDocument/2006/relationships/hyperlink" Target="http://www.riss.kr/link?id=S115373" TargetMode="External"/><Relationship Id="rId36" Type="http://schemas.openxmlformats.org/officeDocument/2006/relationships/hyperlink" Target="http://www.riss.kr/link?id=S402265" TargetMode="External"/><Relationship Id="rId57" Type="http://schemas.openxmlformats.org/officeDocument/2006/relationships/hyperlink" Target="http://www.riss.kr/link?id=S14006" TargetMode="External"/><Relationship Id="rId106" Type="http://schemas.openxmlformats.org/officeDocument/2006/relationships/hyperlink" Target="http://www.riss.kr/link?id=S15504" TargetMode="External"/><Relationship Id="rId127" Type="http://schemas.openxmlformats.org/officeDocument/2006/relationships/hyperlink" Target="http://www.riss.kr/link?id=S7127" TargetMode="External"/><Relationship Id="rId10" Type="http://schemas.openxmlformats.org/officeDocument/2006/relationships/hyperlink" Target="http://www.riss.kr/link?id=S20013054" TargetMode="External"/><Relationship Id="rId31" Type="http://schemas.openxmlformats.org/officeDocument/2006/relationships/hyperlink" Target="http://www.riss.kr/link?id=S412775" TargetMode="External"/><Relationship Id="rId52" Type="http://schemas.openxmlformats.org/officeDocument/2006/relationships/hyperlink" Target="http://www.riss.kr/link?id=S87729" TargetMode="External"/><Relationship Id="rId73" Type="http://schemas.openxmlformats.org/officeDocument/2006/relationships/hyperlink" Target="http://www.riss.kr/link?id=S20951" TargetMode="External"/><Relationship Id="rId78" Type="http://schemas.openxmlformats.org/officeDocument/2006/relationships/hyperlink" Target="http://www.riss.kr/link?id=S30006165" TargetMode="External"/><Relationship Id="rId94" Type="http://schemas.openxmlformats.org/officeDocument/2006/relationships/hyperlink" Target="http://www.riss.kr/link?id=S410779" TargetMode="External"/><Relationship Id="rId99" Type="http://schemas.openxmlformats.org/officeDocument/2006/relationships/hyperlink" Target="http://www.riss.kr/link?id=S115391" TargetMode="External"/><Relationship Id="rId101" Type="http://schemas.openxmlformats.org/officeDocument/2006/relationships/hyperlink" Target="http://www.riss.kr/link?id=S104898" TargetMode="External"/><Relationship Id="rId122" Type="http://schemas.openxmlformats.org/officeDocument/2006/relationships/hyperlink" Target="http://www.riss.kr/link?id=S19748" TargetMode="External"/><Relationship Id="rId4" Type="http://schemas.openxmlformats.org/officeDocument/2006/relationships/hyperlink" Target="http://www.riss.kr/link?id=S17339" TargetMode="External"/><Relationship Id="rId9" Type="http://schemas.openxmlformats.org/officeDocument/2006/relationships/hyperlink" Target="http://www.riss.kr/link?id=S410895" TargetMode="External"/><Relationship Id="rId26" Type="http://schemas.openxmlformats.org/officeDocument/2006/relationships/hyperlink" Target="http://www.riss.kr/link?id=S16206" TargetMode="External"/><Relationship Id="rId47" Type="http://schemas.openxmlformats.org/officeDocument/2006/relationships/hyperlink" Target="http://www.riss.kr/link?id=S16083" TargetMode="External"/><Relationship Id="rId68" Type="http://schemas.openxmlformats.org/officeDocument/2006/relationships/hyperlink" Target="http://www.riss.kr/link?id=S20010548" TargetMode="External"/><Relationship Id="rId89" Type="http://schemas.openxmlformats.org/officeDocument/2006/relationships/hyperlink" Target="http://www.riss.kr/link?id=S416272" TargetMode="External"/><Relationship Id="rId112" Type="http://schemas.openxmlformats.org/officeDocument/2006/relationships/hyperlink" Target="http://www.riss.kr/link?id=S26171" TargetMode="External"/><Relationship Id="rId133" Type="http://schemas.openxmlformats.org/officeDocument/2006/relationships/hyperlink" Target="http://www.riss.kr/link?id=S411233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15605" TargetMode="External"/><Relationship Id="rId21" Type="http://schemas.openxmlformats.org/officeDocument/2006/relationships/hyperlink" Target="http://www.riss.kr/link?id=S31031955" TargetMode="External"/><Relationship Id="rId42" Type="http://schemas.openxmlformats.org/officeDocument/2006/relationships/hyperlink" Target="http://www.riss.kr/link?id=S403109" TargetMode="External"/><Relationship Id="rId47" Type="http://schemas.openxmlformats.org/officeDocument/2006/relationships/hyperlink" Target="http://www.riss.kr/link?id=S90006683" TargetMode="External"/><Relationship Id="rId63" Type="http://schemas.openxmlformats.org/officeDocument/2006/relationships/hyperlink" Target="http://www.riss.kr/link?id=S15584" TargetMode="External"/><Relationship Id="rId68" Type="http://schemas.openxmlformats.org/officeDocument/2006/relationships/hyperlink" Target="http://www.riss.kr/link?id=S90009813" TargetMode="External"/><Relationship Id="rId84" Type="http://schemas.openxmlformats.org/officeDocument/2006/relationships/hyperlink" Target="http://www.riss.kr/link?id=S60841" TargetMode="External"/><Relationship Id="rId89" Type="http://schemas.openxmlformats.org/officeDocument/2006/relationships/hyperlink" Target="http://www.riss.kr/link?id=S62294" TargetMode="External"/><Relationship Id="rId16" Type="http://schemas.openxmlformats.org/officeDocument/2006/relationships/hyperlink" Target="http://www.riss.kr/link?id=S15628" TargetMode="External"/><Relationship Id="rId11" Type="http://schemas.openxmlformats.org/officeDocument/2006/relationships/hyperlink" Target="http://www.riss.kr/link?id=S416801" TargetMode="External"/><Relationship Id="rId32" Type="http://schemas.openxmlformats.org/officeDocument/2006/relationships/hyperlink" Target="http://www.riss.kr/link?id=S404893" TargetMode="External"/><Relationship Id="rId37" Type="http://schemas.openxmlformats.org/officeDocument/2006/relationships/hyperlink" Target="http://www.riss.kr/link?id=S36261" TargetMode="External"/><Relationship Id="rId53" Type="http://schemas.openxmlformats.org/officeDocument/2006/relationships/hyperlink" Target="http://www.riss.kr/link?id=S416408" TargetMode="External"/><Relationship Id="rId58" Type="http://schemas.openxmlformats.org/officeDocument/2006/relationships/hyperlink" Target="http://www.riss.kr/link?id=S20012366" TargetMode="External"/><Relationship Id="rId74" Type="http://schemas.openxmlformats.org/officeDocument/2006/relationships/hyperlink" Target="http://www.riss.kr/link?id=S15519" TargetMode="External"/><Relationship Id="rId79" Type="http://schemas.openxmlformats.org/officeDocument/2006/relationships/hyperlink" Target="http://www.riss.kr/link?id=S11640555" TargetMode="External"/><Relationship Id="rId102" Type="http://schemas.openxmlformats.org/officeDocument/2006/relationships/hyperlink" Target="http://www.riss.kr/link?id=S48722" TargetMode="External"/><Relationship Id="rId5" Type="http://schemas.openxmlformats.org/officeDocument/2006/relationships/hyperlink" Target="http://www.riss.kr/link?id=S20035778" TargetMode="External"/><Relationship Id="rId90" Type="http://schemas.openxmlformats.org/officeDocument/2006/relationships/hyperlink" Target="http://www.riss.kr/link?id=S417018" TargetMode="External"/><Relationship Id="rId95" Type="http://schemas.openxmlformats.org/officeDocument/2006/relationships/hyperlink" Target="http://www.riss.kr/link?id=S416895" TargetMode="External"/><Relationship Id="rId22" Type="http://schemas.openxmlformats.org/officeDocument/2006/relationships/hyperlink" Target="http://www.riss.kr/link?id=S30000638" TargetMode="External"/><Relationship Id="rId27" Type="http://schemas.openxmlformats.org/officeDocument/2006/relationships/hyperlink" Target="http://www.riss.kr/link?id=S31025232" TargetMode="External"/><Relationship Id="rId43" Type="http://schemas.openxmlformats.org/officeDocument/2006/relationships/hyperlink" Target="http://www.riss.kr/link?id=S17267" TargetMode="External"/><Relationship Id="rId48" Type="http://schemas.openxmlformats.org/officeDocument/2006/relationships/hyperlink" Target="http://www.riss.kr/link?id=S17257" TargetMode="External"/><Relationship Id="rId64" Type="http://schemas.openxmlformats.org/officeDocument/2006/relationships/hyperlink" Target="http://www.riss.kr/link?id=S28869" TargetMode="External"/><Relationship Id="rId69" Type="http://schemas.openxmlformats.org/officeDocument/2006/relationships/hyperlink" Target="http://www.riss.kr/link?id=S31025348" TargetMode="External"/><Relationship Id="rId80" Type="http://schemas.openxmlformats.org/officeDocument/2006/relationships/hyperlink" Target="http://www.riss.kr/link?id=S412793" TargetMode="External"/><Relationship Id="rId85" Type="http://schemas.openxmlformats.org/officeDocument/2006/relationships/hyperlink" Target="http://www.riss.kr/link?id=S15537" TargetMode="External"/><Relationship Id="rId12" Type="http://schemas.openxmlformats.org/officeDocument/2006/relationships/hyperlink" Target="http://www.riss.kr/link?id=S13442" TargetMode="External"/><Relationship Id="rId17" Type="http://schemas.openxmlformats.org/officeDocument/2006/relationships/hyperlink" Target="http://www.riss.kr/link?id=S11574570" TargetMode="External"/><Relationship Id="rId33" Type="http://schemas.openxmlformats.org/officeDocument/2006/relationships/hyperlink" Target="http://www.riss.kr/link?id=S16074" TargetMode="External"/><Relationship Id="rId38" Type="http://schemas.openxmlformats.org/officeDocument/2006/relationships/hyperlink" Target="http://www.riss.kr/link?id=S16064" TargetMode="External"/><Relationship Id="rId59" Type="http://schemas.openxmlformats.org/officeDocument/2006/relationships/hyperlink" Target="http://www.riss.kr/link?id=S409757" TargetMode="External"/><Relationship Id="rId103" Type="http://schemas.openxmlformats.org/officeDocument/2006/relationships/hyperlink" Target="http://www.riss.kr/link?id=S63124" TargetMode="External"/><Relationship Id="rId20" Type="http://schemas.openxmlformats.org/officeDocument/2006/relationships/hyperlink" Target="http://www.riss.kr/link?id=S31010133" TargetMode="External"/><Relationship Id="rId41" Type="http://schemas.openxmlformats.org/officeDocument/2006/relationships/hyperlink" Target="http://www.riss.kr/link?id=S405844" TargetMode="External"/><Relationship Id="rId54" Type="http://schemas.openxmlformats.org/officeDocument/2006/relationships/hyperlink" Target="http://www.riss.kr/link?id=S50051" TargetMode="External"/><Relationship Id="rId62" Type="http://schemas.openxmlformats.org/officeDocument/2006/relationships/hyperlink" Target="http://www.riss.kr/link?id=S115382" TargetMode="External"/><Relationship Id="rId70" Type="http://schemas.openxmlformats.org/officeDocument/2006/relationships/hyperlink" Target="http://www.riss.kr/link?id=S108179" TargetMode="External"/><Relationship Id="rId75" Type="http://schemas.openxmlformats.org/officeDocument/2006/relationships/hyperlink" Target="http://www.riss.kr/link?id=S408997" TargetMode="External"/><Relationship Id="rId83" Type="http://schemas.openxmlformats.org/officeDocument/2006/relationships/hyperlink" Target="http://www.riss.kr/link?id=S405999" TargetMode="External"/><Relationship Id="rId88" Type="http://schemas.openxmlformats.org/officeDocument/2006/relationships/hyperlink" Target="http://www.riss.kr/link?id=S114439" TargetMode="External"/><Relationship Id="rId91" Type="http://schemas.openxmlformats.org/officeDocument/2006/relationships/hyperlink" Target="http://www.riss.kr/link?id=S20091842" TargetMode="External"/><Relationship Id="rId96" Type="http://schemas.openxmlformats.org/officeDocument/2006/relationships/hyperlink" Target="http://www.riss.kr/link?id=S417589" TargetMode="External"/><Relationship Id="rId1" Type="http://schemas.openxmlformats.org/officeDocument/2006/relationships/hyperlink" Target="http://www.riss.kr/link?id=S405713" TargetMode="External"/><Relationship Id="rId6" Type="http://schemas.openxmlformats.org/officeDocument/2006/relationships/hyperlink" Target="http://www.riss.kr/link?id=S143756" TargetMode="External"/><Relationship Id="rId15" Type="http://schemas.openxmlformats.org/officeDocument/2006/relationships/hyperlink" Target="http://www.riss.kr/link?id=S85559" TargetMode="External"/><Relationship Id="rId23" Type="http://schemas.openxmlformats.org/officeDocument/2006/relationships/hyperlink" Target="http://www.riss.kr/link?id=S61420" TargetMode="External"/><Relationship Id="rId28" Type="http://schemas.openxmlformats.org/officeDocument/2006/relationships/hyperlink" Target="http://www.riss.kr/link?id=S13700" TargetMode="External"/><Relationship Id="rId36" Type="http://schemas.openxmlformats.org/officeDocument/2006/relationships/hyperlink" Target="http://www.riss.kr/link?id=S28117" TargetMode="External"/><Relationship Id="rId49" Type="http://schemas.openxmlformats.org/officeDocument/2006/relationships/hyperlink" Target="http://www.riss.kr/link?id=S20402" TargetMode="External"/><Relationship Id="rId57" Type="http://schemas.openxmlformats.org/officeDocument/2006/relationships/hyperlink" Target="http://www.riss.kr/link?id=S402424" TargetMode="External"/><Relationship Id="rId10" Type="http://schemas.openxmlformats.org/officeDocument/2006/relationships/hyperlink" Target="http://www.riss.kr/link?id=S410933" TargetMode="External"/><Relationship Id="rId31" Type="http://schemas.openxmlformats.org/officeDocument/2006/relationships/hyperlink" Target="http://www.riss.kr/link?id=S16081" TargetMode="External"/><Relationship Id="rId44" Type="http://schemas.openxmlformats.org/officeDocument/2006/relationships/hyperlink" Target="http://www.riss.kr/link?id=S403288" TargetMode="External"/><Relationship Id="rId52" Type="http://schemas.openxmlformats.org/officeDocument/2006/relationships/hyperlink" Target="http://www.riss.kr/link?id=S416735" TargetMode="External"/><Relationship Id="rId60" Type="http://schemas.openxmlformats.org/officeDocument/2006/relationships/hyperlink" Target="http://www.riss.kr/link?id=S418445" TargetMode="External"/><Relationship Id="rId65" Type="http://schemas.openxmlformats.org/officeDocument/2006/relationships/hyperlink" Target="http://www.riss.kr/link?id=S15527" TargetMode="External"/><Relationship Id="rId73" Type="http://schemas.openxmlformats.org/officeDocument/2006/relationships/hyperlink" Target="http://www.riss.kr/link?id=S20010759" TargetMode="External"/><Relationship Id="rId78" Type="http://schemas.openxmlformats.org/officeDocument/2006/relationships/hyperlink" Target="http://www.riss.kr/link?id=S115388" TargetMode="External"/><Relationship Id="rId81" Type="http://schemas.openxmlformats.org/officeDocument/2006/relationships/hyperlink" Target="http://www.riss.kr/link?id=S11574145" TargetMode="External"/><Relationship Id="rId86" Type="http://schemas.openxmlformats.org/officeDocument/2006/relationships/hyperlink" Target="http://www.riss.kr/link?id=S61686" TargetMode="External"/><Relationship Id="rId94" Type="http://schemas.openxmlformats.org/officeDocument/2006/relationships/hyperlink" Target="http://www.riss.kr/link?id=S19616" TargetMode="External"/><Relationship Id="rId99" Type="http://schemas.openxmlformats.org/officeDocument/2006/relationships/hyperlink" Target="http://www.riss.kr/link?id=S60956" TargetMode="External"/><Relationship Id="rId101" Type="http://schemas.openxmlformats.org/officeDocument/2006/relationships/hyperlink" Target="http://www.riss.kr/link?id=S60119" TargetMode="External"/><Relationship Id="rId4" Type="http://schemas.openxmlformats.org/officeDocument/2006/relationships/hyperlink" Target="http://www.riss.kr/link?id=S30006959" TargetMode="External"/><Relationship Id="rId9" Type="http://schemas.openxmlformats.org/officeDocument/2006/relationships/hyperlink" Target="http://www.riss.kr/link?id=S15663" TargetMode="External"/><Relationship Id="rId13" Type="http://schemas.openxmlformats.org/officeDocument/2006/relationships/hyperlink" Target="http://www.riss.kr/link?id=S31011779" TargetMode="External"/><Relationship Id="rId18" Type="http://schemas.openxmlformats.org/officeDocument/2006/relationships/hyperlink" Target="http://www.riss.kr/link?id=S30004950" TargetMode="External"/><Relationship Id="rId39" Type="http://schemas.openxmlformats.org/officeDocument/2006/relationships/hyperlink" Target="http://www.riss.kr/link?id=S13555" TargetMode="External"/><Relationship Id="rId34" Type="http://schemas.openxmlformats.org/officeDocument/2006/relationships/hyperlink" Target="http://www.riss.kr/link?id=S416697" TargetMode="External"/><Relationship Id="rId50" Type="http://schemas.openxmlformats.org/officeDocument/2006/relationships/hyperlink" Target="http://www.riss.kr/link?id=S407614" TargetMode="External"/><Relationship Id="rId55" Type="http://schemas.openxmlformats.org/officeDocument/2006/relationships/hyperlink" Target="http://www.riss.kr/link?id=S409124" TargetMode="External"/><Relationship Id="rId76" Type="http://schemas.openxmlformats.org/officeDocument/2006/relationships/hyperlink" Target="http://www.riss.kr/link?id=S143758" TargetMode="External"/><Relationship Id="rId97" Type="http://schemas.openxmlformats.org/officeDocument/2006/relationships/hyperlink" Target="http://www.riss.kr/link?id=S31001099" TargetMode="External"/><Relationship Id="rId104" Type="http://schemas.openxmlformats.org/officeDocument/2006/relationships/hyperlink" Target="http://www.riss.kr/link?id=S20066775" TargetMode="External"/><Relationship Id="rId7" Type="http://schemas.openxmlformats.org/officeDocument/2006/relationships/hyperlink" Target="http://www.riss.kr/link?id=S15668" TargetMode="External"/><Relationship Id="rId71" Type="http://schemas.openxmlformats.org/officeDocument/2006/relationships/hyperlink" Target="http://www.riss.kr/link?id=S23595" TargetMode="External"/><Relationship Id="rId92" Type="http://schemas.openxmlformats.org/officeDocument/2006/relationships/hyperlink" Target="http://www.riss.kr/link?id=S20070027" TargetMode="External"/><Relationship Id="rId2" Type="http://schemas.openxmlformats.org/officeDocument/2006/relationships/hyperlink" Target="http://www.riss.kr/link?id=S38813" TargetMode="External"/><Relationship Id="rId29" Type="http://schemas.openxmlformats.org/officeDocument/2006/relationships/hyperlink" Target="http://www.riss.kr/link?id=S402589" TargetMode="External"/><Relationship Id="rId24" Type="http://schemas.openxmlformats.org/officeDocument/2006/relationships/hyperlink" Target="http://www.riss.kr/link?id=S28236" TargetMode="External"/><Relationship Id="rId40" Type="http://schemas.openxmlformats.org/officeDocument/2006/relationships/hyperlink" Target="http://www.riss.kr/link?id=S20013675" TargetMode="External"/><Relationship Id="rId45" Type="http://schemas.openxmlformats.org/officeDocument/2006/relationships/hyperlink" Target="http://www.riss.kr/link?id=S48296" TargetMode="External"/><Relationship Id="rId66" Type="http://schemas.openxmlformats.org/officeDocument/2006/relationships/hyperlink" Target="http://www.riss.kr/link?id=S31001281" TargetMode="External"/><Relationship Id="rId87" Type="http://schemas.openxmlformats.org/officeDocument/2006/relationships/hyperlink" Target="http://www.riss.kr/link?id=S407845" TargetMode="External"/><Relationship Id="rId61" Type="http://schemas.openxmlformats.org/officeDocument/2006/relationships/hyperlink" Target="http://www.riss.kr/link?id=S15532" TargetMode="External"/><Relationship Id="rId82" Type="http://schemas.openxmlformats.org/officeDocument/2006/relationships/hyperlink" Target="http://www.riss.kr/link?id=S53708" TargetMode="External"/><Relationship Id="rId19" Type="http://schemas.openxmlformats.org/officeDocument/2006/relationships/hyperlink" Target="http://www.riss.kr/link?id=S30006757" TargetMode="External"/><Relationship Id="rId14" Type="http://schemas.openxmlformats.org/officeDocument/2006/relationships/hyperlink" Target="http://www.riss.kr/link?id=S31014183" TargetMode="External"/><Relationship Id="rId30" Type="http://schemas.openxmlformats.org/officeDocument/2006/relationships/hyperlink" Target="http://www.riss.kr/link?id=S38215" TargetMode="External"/><Relationship Id="rId35" Type="http://schemas.openxmlformats.org/officeDocument/2006/relationships/hyperlink" Target="http://www.riss.kr/link?id=S61275" TargetMode="External"/><Relationship Id="rId56" Type="http://schemas.openxmlformats.org/officeDocument/2006/relationships/hyperlink" Target="http://www.riss.kr/link?id=S15590" TargetMode="External"/><Relationship Id="rId77" Type="http://schemas.openxmlformats.org/officeDocument/2006/relationships/hyperlink" Target="http://www.riss.kr/link?id=S417077" TargetMode="External"/><Relationship Id="rId100" Type="http://schemas.openxmlformats.org/officeDocument/2006/relationships/hyperlink" Target="http://www.riss.kr/link?id=S60895" TargetMode="External"/><Relationship Id="rId105" Type="http://schemas.openxmlformats.org/officeDocument/2006/relationships/hyperlink" Target="http://www.riss.kr/link?id=S63537" TargetMode="External"/><Relationship Id="rId8" Type="http://schemas.openxmlformats.org/officeDocument/2006/relationships/hyperlink" Target="http://www.riss.kr/link?id=S11640488" TargetMode="External"/><Relationship Id="rId51" Type="http://schemas.openxmlformats.org/officeDocument/2006/relationships/hyperlink" Target="http://www.riss.kr/link?id=S407616" TargetMode="External"/><Relationship Id="rId72" Type="http://schemas.openxmlformats.org/officeDocument/2006/relationships/hyperlink" Target="http://www.riss.kr/link?id=S31023689" TargetMode="External"/><Relationship Id="rId93" Type="http://schemas.openxmlformats.org/officeDocument/2006/relationships/hyperlink" Target="http://www.riss.kr/link?id=S48729" TargetMode="External"/><Relationship Id="rId98" Type="http://schemas.openxmlformats.org/officeDocument/2006/relationships/hyperlink" Target="http://www.riss.kr/link?id=S20085286" TargetMode="External"/><Relationship Id="rId3" Type="http://schemas.openxmlformats.org/officeDocument/2006/relationships/hyperlink" Target="http://www.riss.kr/link?id=S11597824" TargetMode="External"/><Relationship Id="rId25" Type="http://schemas.openxmlformats.org/officeDocument/2006/relationships/hyperlink" Target="http://www.riss.kr/link?id=S103439" TargetMode="External"/><Relationship Id="rId46" Type="http://schemas.openxmlformats.org/officeDocument/2006/relationships/hyperlink" Target="http://www.riss.kr/link?id=S11927" TargetMode="External"/><Relationship Id="rId67" Type="http://schemas.openxmlformats.org/officeDocument/2006/relationships/hyperlink" Target="http://www.riss.kr/link?id=S3102736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riss.kr/link?id=S15605" TargetMode="External"/><Relationship Id="rId21" Type="http://schemas.openxmlformats.org/officeDocument/2006/relationships/hyperlink" Target="http://www.riss.kr/link?id=S31031955" TargetMode="External"/><Relationship Id="rId42" Type="http://schemas.openxmlformats.org/officeDocument/2006/relationships/hyperlink" Target="http://www.riss.kr/link?id=S403109" TargetMode="External"/><Relationship Id="rId47" Type="http://schemas.openxmlformats.org/officeDocument/2006/relationships/hyperlink" Target="http://www.riss.kr/link?id=S90006683" TargetMode="External"/><Relationship Id="rId63" Type="http://schemas.openxmlformats.org/officeDocument/2006/relationships/hyperlink" Target="http://www.riss.kr/link?id=S15584" TargetMode="External"/><Relationship Id="rId68" Type="http://schemas.openxmlformats.org/officeDocument/2006/relationships/hyperlink" Target="http://www.riss.kr/link?id=S90009813" TargetMode="External"/><Relationship Id="rId84" Type="http://schemas.openxmlformats.org/officeDocument/2006/relationships/hyperlink" Target="http://www.riss.kr/link?id=S60841" TargetMode="External"/><Relationship Id="rId89" Type="http://schemas.openxmlformats.org/officeDocument/2006/relationships/hyperlink" Target="http://www.riss.kr/link?id=S62294" TargetMode="External"/><Relationship Id="rId16" Type="http://schemas.openxmlformats.org/officeDocument/2006/relationships/hyperlink" Target="http://www.riss.kr/link?id=S15628" TargetMode="External"/><Relationship Id="rId11" Type="http://schemas.openxmlformats.org/officeDocument/2006/relationships/hyperlink" Target="http://www.riss.kr/link?id=S416801" TargetMode="External"/><Relationship Id="rId32" Type="http://schemas.openxmlformats.org/officeDocument/2006/relationships/hyperlink" Target="http://www.riss.kr/link?id=S404893" TargetMode="External"/><Relationship Id="rId37" Type="http://schemas.openxmlformats.org/officeDocument/2006/relationships/hyperlink" Target="http://www.riss.kr/link?id=S36261" TargetMode="External"/><Relationship Id="rId53" Type="http://schemas.openxmlformats.org/officeDocument/2006/relationships/hyperlink" Target="http://www.riss.kr/link?id=S416408" TargetMode="External"/><Relationship Id="rId58" Type="http://schemas.openxmlformats.org/officeDocument/2006/relationships/hyperlink" Target="http://www.riss.kr/link?id=S20012366" TargetMode="External"/><Relationship Id="rId74" Type="http://schemas.openxmlformats.org/officeDocument/2006/relationships/hyperlink" Target="http://www.riss.kr/link?id=S15519" TargetMode="External"/><Relationship Id="rId79" Type="http://schemas.openxmlformats.org/officeDocument/2006/relationships/hyperlink" Target="http://www.riss.kr/link?id=S11640555" TargetMode="External"/><Relationship Id="rId102" Type="http://schemas.openxmlformats.org/officeDocument/2006/relationships/hyperlink" Target="http://www.riss.kr/link?id=S48722" TargetMode="External"/><Relationship Id="rId5" Type="http://schemas.openxmlformats.org/officeDocument/2006/relationships/hyperlink" Target="http://www.riss.kr/link?id=S20035778" TargetMode="External"/><Relationship Id="rId90" Type="http://schemas.openxmlformats.org/officeDocument/2006/relationships/hyperlink" Target="http://www.riss.kr/link?id=S417018" TargetMode="External"/><Relationship Id="rId95" Type="http://schemas.openxmlformats.org/officeDocument/2006/relationships/hyperlink" Target="http://www.riss.kr/link?id=S416895" TargetMode="External"/><Relationship Id="rId22" Type="http://schemas.openxmlformats.org/officeDocument/2006/relationships/hyperlink" Target="http://www.riss.kr/link?id=S30000638" TargetMode="External"/><Relationship Id="rId27" Type="http://schemas.openxmlformats.org/officeDocument/2006/relationships/hyperlink" Target="http://www.riss.kr/link?id=S31025232" TargetMode="External"/><Relationship Id="rId43" Type="http://schemas.openxmlformats.org/officeDocument/2006/relationships/hyperlink" Target="http://www.riss.kr/link?id=S17267" TargetMode="External"/><Relationship Id="rId48" Type="http://schemas.openxmlformats.org/officeDocument/2006/relationships/hyperlink" Target="http://www.riss.kr/link?id=S17257" TargetMode="External"/><Relationship Id="rId64" Type="http://schemas.openxmlformats.org/officeDocument/2006/relationships/hyperlink" Target="http://www.riss.kr/link?id=S28869" TargetMode="External"/><Relationship Id="rId69" Type="http://schemas.openxmlformats.org/officeDocument/2006/relationships/hyperlink" Target="http://www.riss.kr/link?id=S31025348" TargetMode="External"/><Relationship Id="rId80" Type="http://schemas.openxmlformats.org/officeDocument/2006/relationships/hyperlink" Target="http://www.riss.kr/link?id=S412793" TargetMode="External"/><Relationship Id="rId85" Type="http://schemas.openxmlformats.org/officeDocument/2006/relationships/hyperlink" Target="http://www.riss.kr/link?id=S15537" TargetMode="External"/><Relationship Id="rId12" Type="http://schemas.openxmlformats.org/officeDocument/2006/relationships/hyperlink" Target="http://www.riss.kr/link?id=S13442" TargetMode="External"/><Relationship Id="rId17" Type="http://schemas.openxmlformats.org/officeDocument/2006/relationships/hyperlink" Target="http://www.riss.kr/link?id=S11574570" TargetMode="External"/><Relationship Id="rId33" Type="http://schemas.openxmlformats.org/officeDocument/2006/relationships/hyperlink" Target="http://www.riss.kr/link?id=S16074" TargetMode="External"/><Relationship Id="rId38" Type="http://schemas.openxmlformats.org/officeDocument/2006/relationships/hyperlink" Target="http://www.riss.kr/link?id=S16064" TargetMode="External"/><Relationship Id="rId59" Type="http://schemas.openxmlformats.org/officeDocument/2006/relationships/hyperlink" Target="http://www.riss.kr/link?id=S409757" TargetMode="External"/><Relationship Id="rId103" Type="http://schemas.openxmlformats.org/officeDocument/2006/relationships/hyperlink" Target="http://www.riss.kr/link?id=S63124" TargetMode="External"/><Relationship Id="rId20" Type="http://schemas.openxmlformats.org/officeDocument/2006/relationships/hyperlink" Target="http://www.riss.kr/link?id=S31010133" TargetMode="External"/><Relationship Id="rId41" Type="http://schemas.openxmlformats.org/officeDocument/2006/relationships/hyperlink" Target="http://www.riss.kr/link?id=S405844" TargetMode="External"/><Relationship Id="rId54" Type="http://schemas.openxmlformats.org/officeDocument/2006/relationships/hyperlink" Target="http://www.riss.kr/link?id=S50051" TargetMode="External"/><Relationship Id="rId62" Type="http://schemas.openxmlformats.org/officeDocument/2006/relationships/hyperlink" Target="http://www.riss.kr/link?id=S115382" TargetMode="External"/><Relationship Id="rId70" Type="http://schemas.openxmlformats.org/officeDocument/2006/relationships/hyperlink" Target="http://www.riss.kr/link?id=S108179" TargetMode="External"/><Relationship Id="rId75" Type="http://schemas.openxmlformats.org/officeDocument/2006/relationships/hyperlink" Target="http://www.riss.kr/link?id=S408997" TargetMode="External"/><Relationship Id="rId83" Type="http://schemas.openxmlformats.org/officeDocument/2006/relationships/hyperlink" Target="http://www.riss.kr/link?id=S405999" TargetMode="External"/><Relationship Id="rId88" Type="http://schemas.openxmlformats.org/officeDocument/2006/relationships/hyperlink" Target="http://www.riss.kr/link?id=S114439" TargetMode="External"/><Relationship Id="rId91" Type="http://schemas.openxmlformats.org/officeDocument/2006/relationships/hyperlink" Target="http://www.riss.kr/link?id=S20091842" TargetMode="External"/><Relationship Id="rId96" Type="http://schemas.openxmlformats.org/officeDocument/2006/relationships/hyperlink" Target="http://www.riss.kr/link?id=S417589" TargetMode="External"/><Relationship Id="rId1" Type="http://schemas.openxmlformats.org/officeDocument/2006/relationships/hyperlink" Target="http://www.riss.kr/link?id=S405713" TargetMode="External"/><Relationship Id="rId6" Type="http://schemas.openxmlformats.org/officeDocument/2006/relationships/hyperlink" Target="http://www.riss.kr/link?id=S143756" TargetMode="External"/><Relationship Id="rId15" Type="http://schemas.openxmlformats.org/officeDocument/2006/relationships/hyperlink" Target="http://www.riss.kr/link?id=S85559" TargetMode="External"/><Relationship Id="rId23" Type="http://schemas.openxmlformats.org/officeDocument/2006/relationships/hyperlink" Target="http://www.riss.kr/link?id=S61420" TargetMode="External"/><Relationship Id="rId28" Type="http://schemas.openxmlformats.org/officeDocument/2006/relationships/hyperlink" Target="http://www.riss.kr/link?id=S13700" TargetMode="External"/><Relationship Id="rId36" Type="http://schemas.openxmlformats.org/officeDocument/2006/relationships/hyperlink" Target="http://www.riss.kr/link?id=S28117" TargetMode="External"/><Relationship Id="rId49" Type="http://schemas.openxmlformats.org/officeDocument/2006/relationships/hyperlink" Target="http://www.riss.kr/link?id=S20402" TargetMode="External"/><Relationship Id="rId57" Type="http://schemas.openxmlformats.org/officeDocument/2006/relationships/hyperlink" Target="http://www.riss.kr/link?id=S402424" TargetMode="External"/><Relationship Id="rId10" Type="http://schemas.openxmlformats.org/officeDocument/2006/relationships/hyperlink" Target="http://www.riss.kr/link?id=S410933" TargetMode="External"/><Relationship Id="rId31" Type="http://schemas.openxmlformats.org/officeDocument/2006/relationships/hyperlink" Target="http://www.riss.kr/link?id=S16081" TargetMode="External"/><Relationship Id="rId44" Type="http://schemas.openxmlformats.org/officeDocument/2006/relationships/hyperlink" Target="http://www.riss.kr/link?id=S403288" TargetMode="External"/><Relationship Id="rId52" Type="http://schemas.openxmlformats.org/officeDocument/2006/relationships/hyperlink" Target="http://www.riss.kr/link?id=S416735" TargetMode="External"/><Relationship Id="rId60" Type="http://schemas.openxmlformats.org/officeDocument/2006/relationships/hyperlink" Target="http://www.riss.kr/link?id=S418445" TargetMode="External"/><Relationship Id="rId65" Type="http://schemas.openxmlformats.org/officeDocument/2006/relationships/hyperlink" Target="http://www.riss.kr/link?id=S15527" TargetMode="External"/><Relationship Id="rId73" Type="http://schemas.openxmlformats.org/officeDocument/2006/relationships/hyperlink" Target="http://www.riss.kr/link?id=S20010759" TargetMode="External"/><Relationship Id="rId78" Type="http://schemas.openxmlformats.org/officeDocument/2006/relationships/hyperlink" Target="http://www.riss.kr/link?id=S115388" TargetMode="External"/><Relationship Id="rId81" Type="http://schemas.openxmlformats.org/officeDocument/2006/relationships/hyperlink" Target="http://www.riss.kr/link?id=S11574145" TargetMode="External"/><Relationship Id="rId86" Type="http://schemas.openxmlformats.org/officeDocument/2006/relationships/hyperlink" Target="http://www.riss.kr/link?id=S61686" TargetMode="External"/><Relationship Id="rId94" Type="http://schemas.openxmlformats.org/officeDocument/2006/relationships/hyperlink" Target="http://www.riss.kr/link?id=S19616" TargetMode="External"/><Relationship Id="rId99" Type="http://schemas.openxmlformats.org/officeDocument/2006/relationships/hyperlink" Target="http://www.riss.kr/link?id=S60956" TargetMode="External"/><Relationship Id="rId101" Type="http://schemas.openxmlformats.org/officeDocument/2006/relationships/hyperlink" Target="http://www.riss.kr/link?id=S60119" TargetMode="External"/><Relationship Id="rId4" Type="http://schemas.openxmlformats.org/officeDocument/2006/relationships/hyperlink" Target="http://www.riss.kr/link?id=S30006959" TargetMode="External"/><Relationship Id="rId9" Type="http://schemas.openxmlformats.org/officeDocument/2006/relationships/hyperlink" Target="http://www.riss.kr/link?id=S15663" TargetMode="External"/><Relationship Id="rId13" Type="http://schemas.openxmlformats.org/officeDocument/2006/relationships/hyperlink" Target="http://www.riss.kr/link?id=S31011779" TargetMode="External"/><Relationship Id="rId18" Type="http://schemas.openxmlformats.org/officeDocument/2006/relationships/hyperlink" Target="http://www.riss.kr/link?id=S30004950" TargetMode="External"/><Relationship Id="rId39" Type="http://schemas.openxmlformats.org/officeDocument/2006/relationships/hyperlink" Target="http://www.riss.kr/link?id=S13555" TargetMode="External"/><Relationship Id="rId34" Type="http://schemas.openxmlformats.org/officeDocument/2006/relationships/hyperlink" Target="http://www.riss.kr/link?id=S416697" TargetMode="External"/><Relationship Id="rId50" Type="http://schemas.openxmlformats.org/officeDocument/2006/relationships/hyperlink" Target="http://www.riss.kr/link?id=S407614" TargetMode="External"/><Relationship Id="rId55" Type="http://schemas.openxmlformats.org/officeDocument/2006/relationships/hyperlink" Target="http://www.riss.kr/link?id=S409124" TargetMode="External"/><Relationship Id="rId76" Type="http://schemas.openxmlformats.org/officeDocument/2006/relationships/hyperlink" Target="http://www.riss.kr/link?id=S143758" TargetMode="External"/><Relationship Id="rId97" Type="http://schemas.openxmlformats.org/officeDocument/2006/relationships/hyperlink" Target="http://www.riss.kr/link?id=S31001099" TargetMode="External"/><Relationship Id="rId104" Type="http://schemas.openxmlformats.org/officeDocument/2006/relationships/hyperlink" Target="http://www.riss.kr/link?id=S20066775" TargetMode="External"/><Relationship Id="rId7" Type="http://schemas.openxmlformats.org/officeDocument/2006/relationships/hyperlink" Target="http://www.riss.kr/link?id=S15668" TargetMode="External"/><Relationship Id="rId71" Type="http://schemas.openxmlformats.org/officeDocument/2006/relationships/hyperlink" Target="http://www.riss.kr/link?id=S23595" TargetMode="External"/><Relationship Id="rId92" Type="http://schemas.openxmlformats.org/officeDocument/2006/relationships/hyperlink" Target="http://www.riss.kr/link?id=S20070027" TargetMode="External"/><Relationship Id="rId2" Type="http://schemas.openxmlformats.org/officeDocument/2006/relationships/hyperlink" Target="http://www.riss.kr/link?id=S38813" TargetMode="External"/><Relationship Id="rId29" Type="http://schemas.openxmlformats.org/officeDocument/2006/relationships/hyperlink" Target="http://www.riss.kr/link?id=S402589" TargetMode="External"/><Relationship Id="rId24" Type="http://schemas.openxmlformats.org/officeDocument/2006/relationships/hyperlink" Target="http://www.riss.kr/link?id=S28236" TargetMode="External"/><Relationship Id="rId40" Type="http://schemas.openxmlformats.org/officeDocument/2006/relationships/hyperlink" Target="http://www.riss.kr/link?id=S20013675" TargetMode="External"/><Relationship Id="rId45" Type="http://schemas.openxmlformats.org/officeDocument/2006/relationships/hyperlink" Target="http://www.riss.kr/link?id=S48296" TargetMode="External"/><Relationship Id="rId66" Type="http://schemas.openxmlformats.org/officeDocument/2006/relationships/hyperlink" Target="http://www.riss.kr/link?id=S31001281" TargetMode="External"/><Relationship Id="rId87" Type="http://schemas.openxmlformats.org/officeDocument/2006/relationships/hyperlink" Target="http://www.riss.kr/link?id=S407845" TargetMode="External"/><Relationship Id="rId61" Type="http://schemas.openxmlformats.org/officeDocument/2006/relationships/hyperlink" Target="http://www.riss.kr/link?id=S15532" TargetMode="External"/><Relationship Id="rId82" Type="http://schemas.openxmlformats.org/officeDocument/2006/relationships/hyperlink" Target="http://www.riss.kr/link?id=S53708" TargetMode="External"/><Relationship Id="rId19" Type="http://schemas.openxmlformats.org/officeDocument/2006/relationships/hyperlink" Target="http://www.riss.kr/link?id=S30006757" TargetMode="External"/><Relationship Id="rId14" Type="http://schemas.openxmlformats.org/officeDocument/2006/relationships/hyperlink" Target="http://www.riss.kr/link?id=S31014183" TargetMode="External"/><Relationship Id="rId30" Type="http://schemas.openxmlformats.org/officeDocument/2006/relationships/hyperlink" Target="http://www.riss.kr/link?id=S38215" TargetMode="External"/><Relationship Id="rId35" Type="http://schemas.openxmlformats.org/officeDocument/2006/relationships/hyperlink" Target="http://www.riss.kr/link?id=S61275" TargetMode="External"/><Relationship Id="rId56" Type="http://schemas.openxmlformats.org/officeDocument/2006/relationships/hyperlink" Target="http://www.riss.kr/link?id=S15590" TargetMode="External"/><Relationship Id="rId77" Type="http://schemas.openxmlformats.org/officeDocument/2006/relationships/hyperlink" Target="http://www.riss.kr/link?id=S417077" TargetMode="External"/><Relationship Id="rId100" Type="http://schemas.openxmlformats.org/officeDocument/2006/relationships/hyperlink" Target="http://www.riss.kr/link?id=S60895" TargetMode="External"/><Relationship Id="rId105" Type="http://schemas.openxmlformats.org/officeDocument/2006/relationships/hyperlink" Target="http://www.riss.kr/link?id=S63537" TargetMode="External"/><Relationship Id="rId8" Type="http://schemas.openxmlformats.org/officeDocument/2006/relationships/hyperlink" Target="http://www.riss.kr/link?id=S11640488" TargetMode="External"/><Relationship Id="rId51" Type="http://schemas.openxmlformats.org/officeDocument/2006/relationships/hyperlink" Target="http://www.riss.kr/link?id=S407616" TargetMode="External"/><Relationship Id="rId72" Type="http://schemas.openxmlformats.org/officeDocument/2006/relationships/hyperlink" Target="http://www.riss.kr/link?id=S31023689" TargetMode="External"/><Relationship Id="rId93" Type="http://schemas.openxmlformats.org/officeDocument/2006/relationships/hyperlink" Target="http://www.riss.kr/link?id=S48729" TargetMode="External"/><Relationship Id="rId98" Type="http://schemas.openxmlformats.org/officeDocument/2006/relationships/hyperlink" Target="http://www.riss.kr/link?id=S20085286" TargetMode="External"/><Relationship Id="rId3" Type="http://schemas.openxmlformats.org/officeDocument/2006/relationships/hyperlink" Target="http://www.riss.kr/link?id=S11597824" TargetMode="External"/><Relationship Id="rId25" Type="http://schemas.openxmlformats.org/officeDocument/2006/relationships/hyperlink" Target="http://www.riss.kr/link?id=S103439" TargetMode="External"/><Relationship Id="rId46" Type="http://schemas.openxmlformats.org/officeDocument/2006/relationships/hyperlink" Target="http://www.riss.kr/link?id=S11927" TargetMode="External"/><Relationship Id="rId67" Type="http://schemas.openxmlformats.org/officeDocument/2006/relationships/hyperlink" Target="http://www.riss.kr/link?id=S310273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000"/>
  <sheetViews>
    <sheetView tabSelected="1" workbookViewId="0">
      <pane ySplit="3" topLeftCell="A4" activePane="bottomLeft" state="frozen"/>
      <selection pane="bottomLeft" activeCell="B7" sqref="B7"/>
    </sheetView>
  </sheetViews>
  <sheetFormatPr defaultColWidth="12.625" defaultRowHeight="15" customHeight="1"/>
  <cols>
    <col min="1" max="1" width="4.375" customWidth="1"/>
    <col min="2" max="2" width="9.5" customWidth="1"/>
    <col min="3" max="3" width="34.125" customWidth="1"/>
    <col min="4" max="4" width="25.125" customWidth="1"/>
    <col min="5" max="5" width="10.75" customWidth="1"/>
    <col min="6" max="6" width="13.875" customWidth="1"/>
    <col min="7" max="7" width="12.5" customWidth="1"/>
    <col min="8" max="8" width="25" customWidth="1"/>
    <col min="9" max="9" width="7.625" customWidth="1"/>
    <col min="10" max="20" width="7.625" hidden="1" customWidth="1"/>
  </cols>
  <sheetData>
    <row r="1" spans="1:20" ht="36" customHeight="1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" t="s">
        <v>1</v>
      </c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9.5" customHeight="1">
      <c r="A2" s="3"/>
      <c r="B2" s="4"/>
      <c r="C2" s="5"/>
      <c r="D2" s="5"/>
      <c r="E2" s="5"/>
      <c r="F2" s="6"/>
      <c r="G2" s="5"/>
      <c r="H2" s="291" t="str">
        <f>CONCATENATE("2021년 구독종수: ", COUNTIF(I4:I1995,"O"))</f>
        <v>2021년 구독종수: 348</v>
      </c>
      <c r="I2" s="290"/>
      <c r="J2" s="1" t="s">
        <v>1</v>
      </c>
      <c r="K2" s="8">
        <f>COUNT(K4:K1100)</f>
        <v>591</v>
      </c>
      <c r="L2" s="7"/>
      <c r="M2" s="7"/>
      <c r="N2" s="7"/>
      <c r="O2" s="7"/>
      <c r="P2" s="7"/>
      <c r="Q2" s="7"/>
      <c r="R2" s="7"/>
      <c r="S2" s="7"/>
      <c r="T2" s="7"/>
    </row>
    <row r="3" spans="1:20" ht="27.7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4" t="s">
        <v>10</v>
      </c>
      <c r="J3" s="1"/>
      <c r="K3" s="15" t="s">
        <v>11</v>
      </c>
      <c r="L3" s="15" t="s">
        <v>12</v>
      </c>
      <c r="M3" s="16"/>
      <c r="N3" s="16"/>
      <c r="O3" s="16"/>
      <c r="P3" s="16"/>
      <c r="Q3" s="16"/>
      <c r="R3" s="16"/>
      <c r="S3" s="16"/>
      <c r="T3" s="16"/>
    </row>
    <row r="4" spans="1:20" ht="26.25" customHeight="1">
      <c r="A4" s="17">
        <f t="shared" ref="A4:A982" si="0">IF(B4="","",ROW(B4)-3)</f>
        <v>1</v>
      </c>
      <c r="B4" s="18" t="s">
        <v>13</v>
      </c>
      <c r="C4" s="19" t="s">
        <v>14</v>
      </c>
      <c r="D4" s="19" t="s">
        <v>15</v>
      </c>
      <c r="E4" s="20" t="s">
        <v>16</v>
      </c>
      <c r="F4" s="21" t="s">
        <v>17</v>
      </c>
      <c r="G4" s="22" t="s">
        <v>18</v>
      </c>
      <c r="H4" s="23" t="s">
        <v>19</v>
      </c>
      <c r="I4" s="24" t="s">
        <v>20</v>
      </c>
      <c r="J4" s="1" t="s">
        <v>21</v>
      </c>
      <c r="K4" s="25">
        <v>3</v>
      </c>
      <c r="L4" s="1" t="str">
        <f t="shared" ref="L4:L983" si="1">IFERROR(VLOOKUP(E4,$P$4:$R$296,3,FALSE),"")</f>
        <v/>
      </c>
      <c r="M4" s="26">
        <v>1</v>
      </c>
      <c r="N4" s="27" t="s">
        <v>22</v>
      </c>
      <c r="O4" s="28" t="s">
        <v>23</v>
      </c>
      <c r="P4" s="28" t="s">
        <v>24</v>
      </c>
      <c r="Q4" s="29" t="s">
        <v>25</v>
      </c>
      <c r="R4" s="30" t="s">
        <v>26</v>
      </c>
      <c r="S4" s="1"/>
      <c r="T4" s="1"/>
    </row>
    <row r="5" spans="1:20" ht="26.25" customHeight="1">
      <c r="A5" s="17">
        <f t="shared" si="0"/>
        <v>2</v>
      </c>
      <c r="B5" s="18" t="s">
        <v>27</v>
      </c>
      <c r="C5" s="19" t="s">
        <v>28</v>
      </c>
      <c r="D5" s="19" t="s">
        <v>29</v>
      </c>
      <c r="E5" s="20" t="s">
        <v>30</v>
      </c>
      <c r="F5" s="21" t="s">
        <v>17</v>
      </c>
      <c r="G5" s="22" t="s">
        <v>31</v>
      </c>
      <c r="H5" s="23" t="s">
        <v>32</v>
      </c>
      <c r="I5" s="24" t="s">
        <v>20</v>
      </c>
      <c r="J5" s="1" t="s">
        <v>21</v>
      </c>
      <c r="K5" s="25">
        <v>3</v>
      </c>
      <c r="L5" s="1" t="str">
        <f t="shared" si="1"/>
        <v/>
      </c>
      <c r="M5" s="29">
        <v>2</v>
      </c>
      <c r="N5" s="27" t="s">
        <v>33</v>
      </c>
      <c r="O5" s="28" t="s">
        <v>34</v>
      </c>
      <c r="P5" s="28" t="s">
        <v>35</v>
      </c>
      <c r="Q5" s="29" t="s">
        <v>36</v>
      </c>
      <c r="R5" s="30" t="s">
        <v>26</v>
      </c>
      <c r="S5" s="1"/>
      <c r="T5" s="1"/>
    </row>
    <row r="6" spans="1:20" ht="26.25" customHeight="1">
      <c r="A6" s="17">
        <f t="shared" si="0"/>
        <v>3</v>
      </c>
      <c r="B6" s="18" t="s">
        <v>37</v>
      </c>
      <c r="C6" s="19" t="s">
        <v>38</v>
      </c>
      <c r="D6" s="19" t="s">
        <v>39</v>
      </c>
      <c r="E6" s="20" t="s">
        <v>40</v>
      </c>
      <c r="F6" s="21" t="s">
        <v>41</v>
      </c>
      <c r="G6" s="22" t="s">
        <v>42</v>
      </c>
      <c r="H6" s="23" t="s">
        <v>43</v>
      </c>
      <c r="I6" s="24" t="s">
        <v>20</v>
      </c>
      <c r="J6" s="1" t="s">
        <v>21</v>
      </c>
      <c r="K6" s="25">
        <v>3</v>
      </c>
      <c r="L6" s="1" t="str">
        <f t="shared" si="1"/>
        <v/>
      </c>
      <c r="M6" s="29">
        <v>3</v>
      </c>
      <c r="N6" s="27" t="s">
        <v>44</v>
      </c>
      <c r="O6" s="28" t="s">
        <v>45</v>
      </c>
      <c r="P6" s="28" t="s">
        <v>46</v>
      </c>
      <c r="Q6" s="29" t="s">
        <v>47</v>
      </c>
      <c r="R6" s="30" t="s">
        <v>26</v>
      </c>
      <c r="S6" s="1"/>
      <c r="T6" s="1"/>
    </row>
    <row r="7" spans="1:20" ht="26.25" customHeight="1">
      <c r="A7" s="17">
        <f t="shared" si="0"/>
        <v>4</v>
      </c>
      <c r="B7" s="18" t="s">
        <v>48</v>
      </c>
      <c r="C7" s="31" t="s">
        <v>49</v>
      </c>
      <c r="D7" s="19" t="s">
        <v>50</v>
      </c>
      <c r="E7" s="20" t="s">
        <v>51</v>
      </c>
      <c r="F7" s="32" t="s">
        <v>52</v>
      </c>
      <c r="G7" s="33" t="s">
        <v>53</v>
      </c>
      <c r="H7" s="23" t="s">
        <v>54</v>
      </c>
      <c r="I7" s="34" t="s">
        <v>55</v>
      </c>
      <c r="J7" s="1" t="str">
        <f t="shared" ref="J7:J9" si="2">IFERROR(VLOOKUP(E7,#REF!,8,FALSE),"")</f>
        <v/>
      </c>
      <c r="K7" s="25">
        <v>4</v>
      </c>
      <c r="L7" s="1" t="str">
        <f t="shared" si="1"/>
        <v>2021 과기 서양</v>
      </c>
      <c r="M7" s="35">
        <v>4</v>
      </c>
      <c r="N7" s="36" t="s">
        <v>56</v>
      </c>
      <c r="O7" s="37" t="s">
        <v>57</v>
      </c>
      <c r="P7" s="37" t="s">
        <v>58</v>
      </c>
      <c r="Q7" s="35" t="s">
        <v>36</v>
      </c>
      <c r="R7" s="38" t="s">
        <v>26</v>
      </c>
      <c r="S7" s="25"/>
      <c r="T7" s="25"/>
    </row>
    <row r="8" spans="1:20" ht="26.25" customHeight="1">
      <c r="A8" s="17">
        <f t="shared" si="0"/>
        <v>5</v>
      </c>
      <c r="B8" s="18" t="s">
        <v>37</v>
      </c>
      <c r="C8" s="31" t="s">
        <v>59</v>
      </c>
      <c r="D8" s="19" t="s">
        <v>60</v>
      </c>
      <c r="E8" s="20" t="s">
        <v>61</v>
      </c>
      <c r="F8" s="32" t="s">
        <v>62</v>
      </c>
      <c r="G8" s="22" t="s">
        <v>63</v>
      </c>
      <c r="H8" s="23" t="s">
        <v>64</v>
      </c>
      <c r="I8" s="24" t="s">
        <v>55</v>
      </c>
      <c r="J8" s="1" t="str">
        <f t="shared" si="2"/>
        <v/>
      </c>
      <c r="K8" s="25">
        <v>3</v>
      </c>
      <c r="L8" s="1" t="str">
        <f t="shared" si="1"/>
        <v>2017 FRIC 서양</v>
      </c>
      <c r="M8" s="29">
        <v>5</v>
      </c>
      <c r="N8" s="27" t="s">
        <v>65</v>
      </c>
      <c r="O8" s="28" t="s">
        <v>57</v>
      </c>
      <c r="P8" s="28" t="s">
        <v>66</v>
      </c>
      <c r="Q8" s="29" t="s">
        <v>25</v>
      </c>
      <c r="R8" s="30" t="s">
        <v>26</v>
      </c>
      <c r="S8" s="1"/>
      <c r="T8" s="1"/>
    </row>
    <row r="9" spans="1:20" ht="26.25" customHeight="1">
      <c r="A9" s="17">
        <f t="shared" si="0"/>
        <v>6</v>
      </c>
      <c r="B9" s="18" t="s">
        <v>37</v>
      </c>
      <c r="C9" s="31" t="s">
        <v>67</v>
      </c>
      <c r="D9" s="19" t="s">
        <v>60</v>
      </c>
      <c r="E9" s="20" t="s">
        <v>68</v>
      </c>
      <c r="F9" s="32" t="s">
        <v>69</v>
      </c>
      <c r="G9" s="22" t="s">
        <v>42</v>
      </c>
      <c r="H9" s="23" t="s">
        <v>70</v>
      </c>
      <c r="I9" s="24" t="s">
        <v>55</v>
      </c>
      <c r="J9" s="1" t="str">
        <f t="shared" si="2"/>
        <v/>
      </c>
      <c r="K9" s="1"/>
      <c r="L9" s="1" t="str">
        <f t="shared" si="1"/>
        <v/>
      </c>
      <c r="M9" s="29">
        <v>6</v>
      </c>
      <c r="N9" s="27" t="s">
        <v>71</v>
      </c>
      <c r="O9" s="28" t="s">
        <v>72</v>
      </c>
      <c r="P9" s="28" t="s">
        <v>73</v>
      </c>
      <c r="Q9" s="29" t="s">
        <v>47</v>
      </c>
      <c r="R9" s="30" t="s">
        <v>26</v>
      </c>
      <c r="S9" s="1"/>
      <c r="T9" s="1"/>
    </row>
    <row r="10" spans="1:20" ht="26.25" customHeight="1">
      <c r="A10" s="17">
        <f t="shared" si="0"/>
        <v>7</v>
      </c>
      <c r="B10" s="18" t="s">
        <v>13</v>
      </c>
      <c r="C10" s="19" t="s">
        <v>74</v>
      </c>
      <c r="D10" s="19" t="s">
        <v>60</v>
      </c>
      <c r="E10" s="20" t="s">
        <v>75</v>
      </c>
      <c r="F10" s="21" t="s">
        <v>76</v>
      </c>
      <c r="G10" s="22" t="s">
        <v>42</v>
      </c>
      <c r="H10" s="23" t="s">
        <v>77</v>
      </c>
      <c r="I10" s="24" t="s">
        <v>20</v>
      </c>
      <c r="J10" s="1" t="s">
        <v>21</v>
      </c>
      <c r="K10" s="25">
        <v>3</v>
      </c>
      <c r="L10" s="1" t="str">
        <f t="shared" si="1"/>
        <v/>
      </c>
      <c r="M10" s="29">
        <v>7</v>
      </c>
      <c r="N10" s="27" t="s">
        <v>78</v>
      </c>
      <c r="O10" s="28" t="s">
        <v>79</v>
      </c>
      <c r="P10" s="28" t="s">
        <v>80</v>
      </c>
      <c r="Q10" s="29" t="s">
        <v>36</v>
      </c>
      <c r="R10" s="30" t="s">
        <v>26</v>
      </c>
      <c r="S10" s="1"/>
      <c r="T10" s="1"/>
    </row>
    <row r="11" spans="1:20" ht="26.25" customHeight="1">
      <c r="A11" s="17">
        <f t="shared" si="0"/>
        <v>8</v>
      </c>
      <c r="B11" s="18" t="s">
        <v>81</v>
      </c>
      <c r="C11" s="31" t="s">
        <v>82</v>
      </c>
      <c r="D11" s="19" t="s">
        <v>83</v>
      </c>
      <c r="E11" s="20" t="s">
        <v>84</v>
      </c>
      <c r="F11" s="21" t="s">
        <v>85</v>
      </c>
      <c r="G11" s="33" t="s">
        <v>42</v>
      </c>
      <c r="H11" s="23" t="s">
        <v>86</v>
      </c>
      <c r="I11" s="24" t="s">
        <v>20</v>
      </c>
      <c r="J11" s="1" t="s">
        <v>87</v>
      </c>
      <c r="K11" s="25">
        <v>4</v>
      </c>
      <c r="L11" s="1" t="str">
        <f t="shared" si="1"/>
        <v/>
      </c>
      <c r="M11" s="29">
        <v>8</v>
      </c>
      <c r="N11" s="27" t="s">
        <v>88</v>
      </c>
      <c r="O11" s="28" t="s">
        <v>89</v>
      </c>
      <c r="P11" s="28" t="s">
        <v>90</v>
      </c>
      <c r="Q11" s="29" t="s">
        <v>25</v>
      </c>
      <c r="R11" s="30" t="s">
        <v>26</v>
      </c>
      <c r="S11" s="1"/>
      <c r="T11" s="1"/>
    </row>
    <row r="12" spans="1:20" ht="26.25" customHeight="1">
      <c r="A12" s="17">
        <f t="shared" si="0"/>
        <v>9</v>
      </c>
      <c r="B12" s="18" t="s">
        <v>81</v>
      </c>
      <c r="C12" s="31" t="s">
        <v>91</v>
      </c>
      <c r="D12" s="19" t="s">
        <v>83</v>
      </c>
      <c r="E12" s="20" t="s">
        <v>92</v>
      </c>
      <c r="F12" s="32" t="s">
        <v>93</v>
      </c>
      <c r="G12" s="33" t="s">
        <v>42</v>
      </c>
      <c r="H12" s="23" t="s">
        <v>94</v>
      </c>
      <c r="I12" s="24" t="s">
        <v>55</v>
      </c>
      <c r="J12" s="1" t="str">
        <f t="shared" ref="J12:J14" si="3">IFERROR(VLOOKUP(E12,#REF!,8,FALSE),"")</f>
        <v/>
      </c>
      <c r="K12" s="1"/>
      <c r="L12" s="1" t="str">
        <f t="shared" si="1"/>
        <v/>
      </c>
      <c r="M12" s="29">
        <v>9</v>
      </c>
      <c r="N12" s="27" t="s">
        <v>95</v>
      </c>
      <c r="O12" s="28" t="s">
        <v>96</v>
      </c>
      <c r="P12" s="28" t="s">
        <v>97</v>
      </c>
      <c r="Q12" s="29" t="s">
        <v>25</v>
      </c>
      <c r="R12" s="30" t="s">
        <v>26</v>
      </c>
      <c r="S12" s="1"/>
      <c r="T12" s="1"/>
    </row>
    <row r="13" spans="1:20" ht="26.25" customHeight="1">
      <c r="A13" s="17">
        <f t="shared" si="0"/>
        <v>10</v>
      </c>
      <c r="B13" s="18" t="s">
        <v>81</v>
      </c>
      <c r="C13" s="31" t="s">
        <v>98</v>
      </c>
      <c r="D13" s="19" t="s">
        <v>83</v>
      </c>
      <c r="E13" s="20" t="s">
        <v>99</v>
      </c>
      <c r="F13" s="32" t="s">
        <v>100</v>
      </c>
      <c r="G13" s="33" t="s">
        <v>31</v>
      </c>
      <c r="H13" s="23" t="s">
        <v>101</v>
      </c>
      <c r="I13" s="24" t="s">
        <v>55</v>
      </c>
      <c r="J13" s="1" t="str">
        <f t="shared" si="3"/>
        <v/>
      </c>
      <c r="K13" s="1"/>
      <c r="L13" s="1" t="str">
        <f t="shared" si="1"/>
        <v/>
      </c>
      <c r="M13" s="29">
        <v>10</v>
      </c>
      <c r="N13" s="27" t="s">
        <v>102</v>
      </c>
      <c r="O13" s="28" t="s">
        <v>103</v>
      </c>
      <c r="P13" s="28" t="s">
        <v>104</v>
      </c>
      <c r="Q13" s="29" t="s">
        <v>25</v>
      </c>
      <c r="R13" s="30" t="s">
        <v>26</v>
      </c>
      <c r="S13" s="1"/>
      <c r="T13" s="1"/>
    </row>
    <row r="14" spans="1:20" ht="26.25" customHeight="1">
      <c r="A14" s="17">
        <f t="shared" si="0"/>
        <v>11</v>
      </c>
      <c r="B14" s="18" t="s">
        <v>105</v>
      </c>
      <c r="C14" s="31" t="s">
        <v>106</v>
      </c>
      <c r="D14" s="19" t="s">
        <v>107</v>
      </c>
      <c r="E14" s="20" t="s">
        <v>108</v>
      </c>
      <c r="F14" s="32" t="s">
        <v>109</v>
      </c>
      <c r="G14" s="33" t="s">
        <v>31</v>
      </c>
      <c r="H14" s="23" t="s">
        <v>110</v>
      </c>
      <c r="I14" s="24" t="s">
        <v>55</v>
      </c>
      <c r="J14" s="1" t="str">
        <f t="shared" si="3"/>
        <v/>
      </c>
      <c r="K14" s="1"/>
      <c r="L14" s="1" t="str">
        <f t="shared" si="1"/>
        <v/>
      </c>
      <c r="M14" s="29">
        <v>11</v>
      </c>
      <c r="N14" s="27" t="s">
        <v>111</v>
      </c>
      <c r="O14" s="28" t="s">
        <v>112</v>
      </c>
      <c r="P14" s="28" t="s">
        <v>113</v>
      </c>
      <c r="Q14" s="29" t="s">
        <v>114</v>
      </c>
      <c r="R14" s="30" t="s">
        <v>26</v>
      </c>
      <c r="S14" s="1"/>
      <c r="T14" s="1"/>
    </row>
    <row r="15" spans="1:20" ht="26.25" customHeight="1">
      <c r="A15" s="17">
        <f t="shared" si="0"/>
        <v>12</v>
      </c>
      <c r="B15" s="18" t="s">
        <v>105</v>
      </c>
      <c r="C15" s="31" t="s">
        <v>115</v>
      </c>
      <c r="D15" s="19" t="s">
        <v>116</v>
      </c>
      <c r="E15" s="20" t="s">
        <v>117</v>
      </c>
      <c r="F15" s="21" t="s">
        <v>118</v>
      </c>
      <c r="G15" s="33" t="s">
        <v>42</v>
      </c>
      <c r="H15" s="23" t="s">
        <v>119</v>
      </c>
      <c r="I15" s="34" t="s">
        <v>20</v>
      </c>
      <c r="J15" s="1" t="s">
        <v>87</v>
      </c>
      <c r="K15" s="25">
        <v>4</v>
      </c>
      <c r="L15" s="1" t="str">
        <f t="shared" si="1"/>
        <v/>
      </c>
      <c r="M15" s="35">
        <v>12</v>
      </c>
      <c r="N15" s="36" t="s">
        <v>120</v>
      </c>
      <c r="O15" s="37" t="s">
        <v>121</v>
      </c>
      <c r="P15" s="37" t="s">
        <v>122</v>
      </c>
      <c r="Q15" s="35" t="s">
        <v>47</v>
      </c>
      <c r="R15" s="38" t="s">
        <v>26</v>
      </c>
      <c r="S15" s="25"/>
      <c r="T15" s="25"/>
    </row>
    <row r="16" spans="1:20" ht="26.25" customHeight="1">
      <c r="A16" s="17">
        <f t="shared" si="0"/>
        <v>13</v>
      </c>
      <c r="B16" s="18" t="s">
        <v>37</v>
      </c>
      <c r="C16" s="19" t="s">
        <v>123</v>
      </c>
      <c r="D16" s="19" t="s">
        <v>124</v>
      </c>
      <c r="E16" s="20" t="s">
        <v>125</v>
      </c>
      <c r="F16" s="21" t="s">
        <v>126</v>
      </c>
      <c r="G16" s="22" t="s">
        <v>42</v>
      </c>
      <c r="H16" s="23" t="s">
        <v>127</v>
      </c>
      <c r="I16" s="24" t="s">
        <v>20</v>
      </c>
      <c r="J16" s="1" t="s">
        <v>21</v>
      </c>
      <c r="K16" s="25">
        <v>3</v>
      </c>
      <c r="L16" s="1" t="str">
        <f t="shared" si="1"/>
        <v/>
      </c>
      <c r="M16" s="29">
        <v>13</v>
      </c>
      <c r="N16" s="27" t="s">
        <v>128</v>
      </c>
      <c r="O16" s="28" t="s">
        <v>129</v>
      </c>
      <c r="P16" s="28" t="s">
        <v>130</v>
      </c>
      <c r="Q16" s="29" t="s">
        <v>131</v>
      </c>
      <c r="R16" s="30" t="s">
        <v>26</v>
      </c>
      <c r="S16" s="1"/>
      <c r="T16" s="1"/>
    </row>
    <row r="17" spans="1:20" ht="26.25" customHeight="1">
      <c r="A17" s="17">
        <f t="shared" si="0"/>
        <v>14</v>
      </c>
      <c r="B17" s="18" t="s">
        <v>132</v>
      </c>
      <c r="C17" s="19" t="s">
        <v>133</v>
      </c>
      <c r="D17" s="19" t="s">
        <v>124</v>
      </c>
      <c r="E17" s="20" t="s">
        <v>134</v>
      </c>
      <c r="F17" s="21" t="s">
        <v>135</v>
      </c>
      <c r="G17" s="22" t="s">
        <v>42</v>
      </c>
      <c r="H17" s="23" t="s">
        <v>136</v>
      </c>
      <c r="I17" s="24" t="s">
        <v>20</v>
      </c>
      <c r="J17" s="1" t="s">
        <v>21</v>
      </c>
      <c r="K17" s="25">
        <v>3</v>
      </c>
      <c r="L17" s="1" t="str">
        <f t="shared" si="1"/>
        <v/>
      </c>
      <c r="M17" s="29">
        <v>14</v>
      </c>
      <c r="N17" s="27" t="s">
        <v>137</v>
      </c>
      <c r="O17" s="28" t="s">
        <v>138</v>
      </c>
      <c r="P17" s="28" t="s">
        <v>139</v>
      </c>
      <c r="Q17" s="29" t="s">
        <v>140</v>
      </c>
      <c r="R17" s="30" t="s">
        <v>26</v>
      </c>
      <c r="S17" s="1"/>
      <c r="T17" s="1"/>
    </row>
    <row r="18" spans="1:20" ht="26.25" customHeight="1">
      <c r="A18" s="17">
        <f t="shared" si="0"/>
        <v>15</v>
      </c>
      <c r="B18" s="18" t="s">
        <v>27</v>
      </c>
      <c r="C18" s="31" t="s">
        <v>22</v>
      </c>
      <c r="D18" s="19" t="s">
        <v>141</v>
      </c>
      <c r="E18" s="20" t="s">
        <v>24</v>
      </c>
      <c r="F18" s="32" t="s">
        <v>142</v>
      </c>
      <c r="G18" s="22" t="s">
        <v>42</v>
      </c>
      <c r="H18" s="23" t="s">
        <v>143</v>
      </c>
      <c r="I18" s="24" t="s">
        <v>55</v>
      </c>
      <c r="J18" s="1" t="str">
        <f t="shared" ref="J18:J19" si="4">IFERROR(VLOOKUP(E18,#REF!,8,FALSE),"")</f>
        <v/>
      </c>
      <c r="K18" s="25">
        <v>3</v>
      </c>
      <c r="L18" s="1" t="str">
        <f t="shared" si="1"/>
        <v>2016 FRIC 서양</v>
      </c>
      <c r="M18" s="29">
        <v>15</v>
      </c>
      <c r="N18" s="27" t="s">
        <v>144</v>
      </c>
      <c r="O18" s="28" t="s">
        <v>45</v>
      </c>
      <c r="P18" s="28" t="s">
        <v>145</v>
      </c>
      <c r="Q18" s="29" t="s">
        <v>47</v>
      </c>
      <c r="R18" s="30" t="s">
        <v>26</v>
      </c>
      <c r="S18" s="1"/>
      <c r="T18" s="1"/>
    </row>
    <row r="19" spans="1:20" ht="26.25" customHeight="1">
      <c r="A19" s="17">
        <f t="shared" si="0"/>
        <v>16</v>
      </c>
      <c r="B19" s="18" t="s">
        <v>146</v>
      </c>
      <c r="C19" s="31" t="s">
        <v>33</v>
      </c>
      <c r="D19" s="19" t="s">
        <v>147</v>
      </c>
      <c r="E19" s="20" t="s">
        <v>35</v>
      </c>
      <c r="F19" s="32" t="s">
        <v>148</v>
      </c>
      <c r="G19" s="33" t="s">
        <v>42</v>
      </c>
      <c r="H19" s="23" t="s">
        <v>149</v>
      </c>
      <c r="I19" s="24" t="s">
        <v>55</v>
      </c>
      <c r="J19" s="1" t="str">
        <f t="shared" si="4"/>
        <v/>
      </c>
      <c r="K19" s="25">
        <v>3</v>
      </c>
      <c r="L19" s="1" t="str">
        <f t="shared" si="1"/>
        <v>2016 FRIC 서양</v>
      </c>
      <c r="M19" s="29">
        <v>16</v>
      </c>
      <c r="N19" s="27" t="s">
        <v>150</v>
      </c>
      <c r="O19" s="28" t="s">
        <v>121</v>
      </c>
      <c r="P19" s="28" t="s">
        <v>151</v>
      </c>
      <c r="Q19" s="29" t="s">
        <v>152</v>
      </c>
      <c r="R19" s="30" t="s">
        <v>26</v>
      </c>
      <c r="S19" s="1"/>
      <c r="T19" s="1"/>
    </row>
    <row r="20" spans="1:20" ht="26.25" customHeight="1">
      <c r="A20" s="17">
        <f t="shared" si="0"/>
        <v>17</v>
      </c>
      <c r="B20" s="18" t="s">
        <v>37</v>
      </c>
      <c r="C20" s="19" t="s">
        <v>153</v>
      </c>
      <c r="D20" s="39" t="s">
        <v>154</v>
      </c>
      <c r="E20" s="20" t="s">
        <v>155</v>
      </c>
      <c r="F20" s="40" t="s">
        <v>156</v>
      </c>
      <c r="G20" s="22" t="s">
        <v>53</v>
      </c>
      <c r="H20" s="41" t="s">
        <v>157</v>
      </c>
      <c r="I20" s="24" t="s">
        <v>20</v>
      </c>
      <c r="J20" s="1" t="s">
        <v>21</v>
      </c>
      <c r="K20" s="25">
        <v>3</v>
      </c>
      <c r="L20" s="1" t="str">
        <f t="shared" si="1"/>
        <v/>
      </c>
      <c r="M20" s="29">
        <v>17</v>
      </c>
      <c r="N20" s="27" t="s">
        <v>158</v>
      </c>
      <c r="O20" s="28" t="s">
        <v>45</v>
      </c>
      <c r="P20" s="28" t="s">
        <v>159</v>
      </c>
      <c r="Q20" s="29" t="s">
        <v>47</v>
      </c>
      <c r="R20" s="30" t="s">
        <v>26</v>
      </c>
      <c r="S20" s="1"/>
      <c r="T20" s="1"/>
    </row>
    <row r="21" spans="1:20" ht="26.25" customHeight="1">
      <c r="A21" s="17">
        <f t="shared" si="0"/>
        <v>18</v>
      </c>
      <c r="B21" s="18" t="s">
        <v>81</v>
      </c>
      <c r="C21" s="31" t="s">
        <v>160</v>
      </c>
      <c r="D21" s="19" t="s">
        <v>161</v>
      </c>
      <c r="E21" s="20" t="s">
        <v>162</v>
      </c>
      <c r="F21" s="32" t="s">
        <v>163</v>
      </c>
      <c r="G21" s="33" t="s">
        <v>42</v>
      </c>
      <c r="H21" s="23" t="s">
        <v>164</v>
      </c>
      <c r="I21" s="24" t="s">
        <v>55</v>
      </c>
      <c r="J21" s="1" t="str">
        <f t="shared" ref="J21:J29" si="5">IFERROR(VLOOKUP(E21,#REF!,8,FALSE),"")</f>
        <v/>
      </c>
      <c r="K21" s="25">
        <v>3</v>
      </c>
      <c r="L21" s="1" t="str">
        <f t="shared" si="1"/>
        <v>2018 FRIC 서양</v>
      </c>
      <c r="M21" s="29">
        <v>18</v>
      </c>
      <c r="N21" s="27" t="s">
        <v>165</v>
      </c>
      <c r="O21" s="28" t="s">
        <v>112</v>
      </c>
      <c r="P21" s="28" t="s">
        <v>166</v>
      </c>
      <c r="Q21" s="29" t="s">
        <v>25</v>
      </c>
      <c r="R21" s="30" t="s">
        <v>26</v>
      </c>
      <c r="S21" s="1"/>
      <c r="T21" s="1"/>
    </row>
    <row r="22" spans="1:20" ht="26.25" customHeight="1">
      <c r="A22" s="17">
        <f t="shared" si="0"/>
        <v>19</v>
      </c>
      <c r="B22" s="18" t="s">
        <v>105</v>
      </c>
      <c r="C22" s="31" t="s">
        <v>167</v>
      </c>
      <c r="D22" s="19" t="s">
        <v>168</v>
      </c>
      <c r="E22" s="20" t="s">
        <v>169</v>
      </c>
      <c r="F22" s="32" t="s">
        <v>170</v>
      </c>
      <c r="G22" s="33" t="s">
        <v>53</v>
      </c>
      <c r="H22" s="23" t="s">
        <v>171</v>
      </c>
      <c r="I22" s="24" t="s">
        <v>55</v>
      </c>
      <c r="J22" s="1" t="str">
        <f t="shared" si="5"/>
        <v/>
      </c>
      <c r="K22" s="25">
        <v>3</v>
      </c>
      <c r="L22" s="1" t="str">
        <f t="shared" si="1"/>
        <v>2020 FRIC 서양</v>
      </c>
      <c r="M22" s="29">
        <v>19</v>
      </c>
      <c r="N22" s="27" t="s">
        <v>172</v>
      </c>
      <c r="O22" s="28" t="s">
        <v>173</v>
      </c>
      <c r="P22" s="28" t="s">
        <v>174</v>
      </c>
      <c r="Q22" s="29" t="s">
        <v>114</v>
      </c>
      <c r="R22" s="30" t="s">
        <v>26</v>
      </c>
      <c r="S22" s="1"/>
      <c r="T22" s="1"/>
    </row>
    <row r="23" spans="1:20" ht="26.25" customHeight="1">
      <c r="A23" s="17">
        <f t="shared" si="0"/>
        <v>20</v>
      </c>
      <c r="B23" s="18" t="s">
        <v>175</v>
      </c>
      <c r="C23" s="31" t="s">
        <v>176</v>
      </c>
      <c r="D23" s="19" t="s">
        <v>168</v>
      </c>
      <c r="E23" s="20" t="s">
        <v>177</v>
      </c>
      <c r="F23" s="32" t="s">
        <v>178</v>
      </c>
      <c r="G23" s="33" t="s">
        <v>53</v>
      </c>
      <c r="H23" s="23" t="s">
        <v>179</v>
      </c>
      <c r="I23" s="34" t="s">
        <v>55</v>
      </c>
      <c r="J23" s="1" t="str">
        <f t="shared" si="5"/>
        <v/>
      </c>
      <c r="K23" s="25">
        <v>4</v>
      </c>
      <c r="L23" s="1" t="str">
        <f t="shared" si="1"/>
        <v>2021 과기 서양</v>
      </c>
      <c r="M23" s="35">
        <v>20</v>
      </c>
      <c r="N23" s="36" t="s">
        <v>180</v>
      </c>
      <c r="O23" s="37" t="s">
        <v>181</v>
      </c>
      <c r="P23" s="37" t="s">
        <v>182</v>
      </c>
      <c r="Q23" s="35" t="s">
        <v>25</v>
      </c>
      <c r="R23" s="38" t="s">
        <v>26</v>
      </c>
      <c r="S23" s="25"/>
      <c r="T23" s="25"/>
    </row>
    <row r="24" spans="1:20" ht="26.25" customHeight="1">
      <c r="A24" s="17">
        <f t="shared" si="0"/>
        <v>21</v>
      </c>
      <c r="B24" s="18" t="s">
        <v>105</v>
      </c>
      <c r="C24" s="31" t="s">
        <v>183</v>
      </c>
      <c r="D24" s="19" t="s">
        <v>184</v>
      </c>
      <c r="E24" s="20" t="s">
        <v>185</v>
      </c>
      <c r="F24" s="32" t="s">
        <v>186</v>
      </c>
      <c r="G24" s="33" t="s">
        <v>42</v>
      </c>
      <c r="H24" s="23" t="s">
        <v>187</v>
      </c>
      <c r="I24" s="34" t="s">
        <v>55</v>
      </c>
      <c r="J24" s="1" t="str">
        <f t="shared" si="5"/>
        <v/>
      </c>
      <c r="K24" s="25">
        <v>4</v>
      </c>
      <c r="L24" s="1" t="str">
        <f t="shared" si="1"/>
        <v>2021 과기 서양</v>
      </c>
      <c r="M24" s="35">
        <v>21</v>
      </c>
      <c r="N24" s="36" t="s">
        <v>188</v>
      </c>
      <c r="O24" s="37" t="s">
        <v>189</v>
      </c>
      <c r="P24" s="37"/>
      <c r="Q24" s="35" t="s">
        <v>25</v>
      </c>
      <c r="R24" s="38" t="s">
        <v>26</v>
      </c>
      <c r="S24" s="25"/>
      <c r="T24" s="25"/>
    </row>
    <row r="25" spans="1:20" ht="26.25" customHeight="1">
      <c r="A25" s="17">
        <f t="shared" si="0"/>
        <v>22</v>
      </c>
      <c r="B25" s="18" t="s">
        <v>132</v>
      </c>
      <c r="C25" s="22" t="s">
        <v>190</v>
      </c>
      <c r="D25" s="42" t="s">
        <v>191</v>
      </c>
      <c r="E25" s="43" t="s">
        <v>192</v>
      </c>
      <c r="F25" s="44" t="s">
        <v>193</v>
      </c>
      <c r="G25" s="22" t="s">
        <v>31</v>
      </c>
      <c r="H25" s="41" t="s">
        <v>194</v>
      </c>
      <c r="I25" s="45" t="s">
        <v>55</v>
      </c>
      <c r="J25" s="1" t="str">
        <f t="shared" si="5"/>
        <v/>
      </c>
      <c r="K25" s="25">
        <v>3</v>
      </c>
      <c r="L25" s="1" t="str">
        <f t="shared" si="1"/>
        <v>2020 FRIC 서양</v>
      </c>
      <c r="M25" s="29">
        <v>22</v>
      </c>
      <c r="N25" s="27" t="s">
        <v>195</v>
      </c>
      <c r="O25" s="28" t="s">
        <v>196</v>
      </c>
      <c r="P25" s="28" t="s">
        <v>197</v>
      </c>
      <c r="Q25" s="29" t="s">
        <v>36</v>
      </c>
      <c r="R25" s="30" t="s">
        <v>26</v>
      </c>
      <c r="S25" s="46"/>
      <c r="T25" s="46"/>
    </row>
    <row r="26" spans="1:20" ht="26.25" customHeight="1">
      <c r="A26" s="17">
        <f t="shared" si="0"/>
        <v>23</v>
      </c>
      <c r="B26" s="18" t="s">
        <v>13</v>
      </c>
      <c r="C26" s="19" t="s">
        <v>198</v>
      </c>
      <c r="D26" s="19" t="s">
        <v>199</v>
      </c>
      <c r="E26" s="20" t="s">
        <v>200</v>
      </c>
      <c r="F26" s="32" t="s">
        <v>52</v>
      </c>
      <c r="G26" s="22" t="s">
        <v>42</v>
      </c>
      <c r="H26" s="23" t="s">
        <v>201</v>
      </c>
      <c r="I26" s="34" t="s">
        <v>55</v>
      </c>
      <c r="J26" s="1" t="str">
        <f t="shared" si="5"/>
        <v/>
      </c>
      <c r="K26" s="25">
        <v>3</v>
      </c>
      <c r="L26" s="1" t="str">
        <f t="shared" si="1"/>
        <v>2021 FRIC 서양</v>
      </c>
      <c r="M26" s="35">
        <v>23</v>
      </c>
      <c r="N26" s="36" t="s">
        <v>202</v>
      </c>
      <c r="O26" s="37" t="s">
        <v>203</v>
      </c>
      <c r="P26" s="37" t="s">
        <v>204</v>
      </c>
      <c r="Q26" s="35" t="s">
        <v>36</v>
      </c>
      <c r="R26" s="47" t="s">
        <v>205</v>
      </c>
      <c r="S26" s="25"/>
      <c r="T26" s="25"/>
    </row>
    <row r="27" spans="1:20" ht="26.25" customHeight="1">
      <c r="A27" s="17">
        <f t="shared" si="0"/>
        <v>24</v>
      </c>
      <c r="B27" s="18" t="s">
        <v>37</v>
      </c>
      <c r="C27" s="31" t="s">
        <v>206</v>
      </c>
      <c r="D27" s="19" t="s">
        <v>207</v>
      </c>
      <c r="E27" s="20" t="s">
        <v>208</v>
      </c>
      <c r="F27" s="32" t="s">
        <v>209</v>
      </c>
      <c r="G27" s="22" t="s">
        <v>42</v>
      </c>
      <c r="H27" s="23" t="s">
        <v>210</v>
      </c>
      <c r="I27" s="24" t="s">
        <v>55</v>
      </c>
      <c r="J27" s="1" t="str">
        <f t="shared" si="5"/>
        <v/>
      </c>
      <c r="K27" s="1"/>
      <c r="L27" s="1" t="str">
        <f t="shared" si="1"/>
        <v/>
      </c>
      <c r="M27" s="29">
        <v>1</v>
      </c>
      <c r="N27" s="27" t="s">
        <v>59</v>
      </c>
      <c r="O27" s="28" t="s">
        <v>60</v>
      </c>
      <c r="P27" s="28" t="s">
        <v>61</v>
      </c>
      <c r="Q27" s="29">
        <v>1</v>
      </c>
      <c r="R27" s="30" t="s">
        <v>211</v>
      </c>
      <c r="S27" s="1"/>
      <c r="T27" s="1"/>
    </row>
    <row r="28" spans="1:20" ht="26.25" customHeight="1">
      <c r="A28" s="17">
        <f t="shared" si="0"/>
        <v>25</v>
      </c>
      <c r="B28" s="18" t="s">
        <v>175</v>
      </c>
      <c r="C28" s="22" t="s">
        <v>212</v>
      </c>
      <c r="D28" s="42" t="s">
        <v>213</v>
      </c>
      <c r="E28" s="43" t="s">
        <v>214</v>
      </c>
      <c r="F28" s="44" t="s">
        <v>215</v>
      </c>
      <c r="G28" s="33" t="s">
        <v>42</v>
      </c>
      <c r="H28" s="41" t="s">
        <v>216</v>
      </c>
      <c r="I28" s="45" t="s">
        <v>55</v>
      </c>
      <c r="J28" s="1" t="str">
        <f t="shared" si="5"/>
        <v/>
      </c>
      <c r="K28" s="25">
        <v>4</v>
      </c>
      <c r="L28" s="1" t="str">
        <f t="shared" si="1"/>
        <v>2018 과기 서양</v>
      </c>
      <c r="M28" s="29">
        <v>2</v>
      </c>
      <c r="N28" s="27" t="s">
        <v>217</v>
      </c>
      <c r="O28" s="28" t="s">
        <v>218</v>
      </c>
      <c r="P28" s="28" t="s">
        <v>219</v>
      </c>
      <c r="Q28" s="29">
        <v>12</v>
      </c>
      <c r="R28" s="30" t="s">
        <v>211</v>
      </c>
      <c r="S28" s="46"/>
      <c r="T28" s="46"/>
    </row>
    <row r="29" spans="1:20" ht="26.25" customHeight="1">
      <c r="A29" s="17">
        <f t="shared" si="0"/>
        <v>26</v>
      </c>
      <c r="B29" s="18" t="s">
        <v>13</v>
      </c>
      <c r="C29" s="31" t="s">
        <v>220</v>
      </c>
      <c r="D29" s="19" t="s">
        <v>141</v>
      </c>
      <c r="E29" s="20" t="s">
        <v>221</v>
      </c>
      <c r="F29" s="32" t="s">
        <v>222</v>
      </c>
      <c r="G29" s="22" t="s">
        <v>42</v>
      </c>
      <c r="H29" s="23" t="s">
        <v>223</v>
      </c>
      <c r="I29" s="24" t="s">
        <v>55</v>
      </c>
      <c r="J29" s="1" t="str">
        <f t="shared" si="5"/>
        <v/>
      </c>
      <c r="K29" s="1"/>
      <c r="L29" s="1" t="str">
        <f t="shared" si="1"/>
        <v/>
      </c>
      <c r="M29" s="29">
        <v>3</v>
      </c>
      <c r="N29" s="27" t="s">
        <v>224</v>
      </c>
      <c r="O29" s="28" t="s">
        <v>181</v>
      </c>
      <c r="P29" s="28" t="s">
        <v>225</v>
      </c>
      <c r="Q29" s="29">
        <v>48</v>
      </c>
      <c r="R29" s="30" t="s">
        <v>211</v>
      </c>
      <c r="S29" s="1"/>
      <c r="T29" s="1"/>
    </row>
    <row r="30" spans="1:20" ht="26.25" customHeight="1">
      <c r="A30" s="17">
        <f t="shared" si="0"/>
        <v>27</v>
      </c>
      <c r="B30" s="18" t="s">
        <v>27</v>
      </c>
      <c r="C30" s="22" t="s">
        <v>226</v>
      </c>
      <c r="D30" s="19" t="s">
        <v>227</v>
      </c>
      <c r="E30" s="43" t="s">
        <v>228</v>
      </c>
      <c r="F30" s="40" t="s">
        <v>229</v>
      </c>
      <c r="G30" s="22" t="s">
        <v>42</v>
      </c>
      <c r="H30" s="41" t="s">
        <v>230</v>
      </c>
      <c r="I30" s="45" t="s">
        <v>20</v>
      </c>
      <c r="J30" s="1" t="s">
        <v>87</v>
      </c>
      <c r="K30" s="25">
        <v>4</v>
      </c>
      <c r="L30" s="1" t="str">
        <f t="shared" si="1"/>
        <v/>
      </c>
      <c r="M30" s="29">
        <v>4</v>
      </c>
      <c r="N30" s="27" t="s">
        <v>231</v>
      </c>
      <c r="O30" s="28" t="s">
        <v>181</v>
      </c>
      <c r="P30" s="28" t="s">
        <v>232</v>
      </c>
      <c r="Q30" s="29">
        <v>12</v>
      </c>
      <c r="R30" s="30" t="s">
        <v>211</v>
      </c>
      <c r="S30" s="46"/>
      <c r="T30" s="46"/>
    </row>
    <row r="31" spans="1:20" ht="26.25" customHeight="1">
      <c r="A31" s="17">
        <f t="shared" si="0"/>
        <v>28</v>
      </c>
      <c r="B31" s="18" t="s">
        <v>233</v>
      </c>
      <c r="C31" s="31" t="s">
        <v>234</v>
      </c>
      <c r="D31" s="19" t="s">
        <v>235</v>
      </c>
      <c r="E31" s="48" t="s">
        <v>236</v>
      </c>
      <c r="F31" s="21" t="s">
        <v>135</v>
      </c>
      <c r="G31" s="22" t="s">
        <v>53</v>
      </c>
      <c r="H31" s="23" t="s">
        <v>237</v>
      </c>
      <c r="I31" s="34" t="s">
        <v>20</v>
      </c>
      <c r="J31" s="1" t="s">
        <v>87</v>
      </c>
      <c r="K31" s="25">
        <v>4</v>
      </c>
      <c r="L31" s="1" t="str">
        <f t="shared" si="1"/>
        <v/>
      </c>
      <c r="M31" s="35">
        <v>5</v>
      </c>
      <c r="N31" s="36" t="s">
        <v>238</v>
      </c>
      <c r="O31" s="37" t="s">
        <v>239</v>
      </c>
      <c r="P31" s="37" t="s">
        <v>240</v>
      </c>
      <c r="Q31" s="35" t="s">
        <v>131</v>
      </c>
      <c r="R31" s="38" t="s">
        <v>211</v>
      </c>
      <c r="S31" s="25"/>
      <c r="T31" s="25"/>
    </row>
    <row r="32" spans="1:20" ht="26.25" customHeight="1">
      <c r="A32" s="17">
        <f t="shared" si="0"/>
        <v>29</v>
      </c>
      <c r="B32" s="18" t="s">
        <v>233</v>
      </c>
      <c r="C32" s="22" t="s">
        <v>241</v>
      </c>
      <c r="D32" s="42" t="s">
        <v>242</v>
      </c>
      <c r="E32" s="43" t="s">
        <v>243</v>
      </c>
      <c r="F32" s="44" t="s">
        <v>170</v>
      </c>
      <c r="G32" s="22" t="s">
        <v>31</v>
      </c>
      <c r="H32" s="41" t="s">
        <v>244</v>
      </c>
      <c r="I32" s="45" t="s">
        <v>55</v>
      </c>
      <c r="J32" s="1" t="str">
        <f t="shared" ref="J32:J38" si="6">IFERROR(VLOOKUP(E32,#REF!,8,FALSE),"")</f>
        <v/>
      </c>
      <c r="K32" s="25">
        <v>4</v>
      </c>
      <c r="L32" s="1" t="str">
        <f t="shared" si="1"/>
        <v>2020 과기 서양</v>
      </c>
      <c r="M32" s="29">
        <v>6</v>
      </c>
      <c r="N32" s="27" t="s">
        <v>245</v>
      </c>
      <c r="O32" s="28" t="s">
        <v>246</v>
      </c>
      <c r="P32" s="28" t="s">
        <v>247</v>
      </c>
      <c r="Q32" s="29">
        <v>4</v>
      </c>
      <c r="R32" s="30" t="s">
        <v>211</v>
      </c>
      <c r="S32" s="46"/>
      <c r="T32" s="46"/>
    </row>
    <row r="33" spans="1:20" ht="26.25" customHeight="1">
      <c r="A33" s="17">
        <f t="shared" si="0"/>
        <v>30</v>
      </c>
      <c r="B33" s="18" t="s">
        <v>248</v>
      </c>
      <c r="C33" s="31" t="s">
        <v>249</v>
      </c>
      <c r="D33" s="19" t="s">
        <v>250</v>
      </c>
      <c r="E33" s="20" t="s">
        <v>251</v>
      </c>
      <c r="F33" s="32" t="s">
        <v>252</v>
      </c>
      <c r="G33" s="33" t="s">
        <v>31</v>
      </c>
      <c r="H33" s="23" t="s">
        <v>253</v>
      </c>
      <c r="I33" s="24" t="s">
        <v>55</v>
      </c>
      <c r="J33" s="1" t="str">
        <f t="shared" si="6"/>
        <v/>
      </c>
      <c r="K33" s="1"/>
      <c r="L33" s="1" t="str">
        <f t="shared" si="1"/>
        <v/>
      </c>
      <c r="M33" s="29">
        <v>7</v>
      </c>
      <c r="N33" s="27" t="s">
        <v>254</v>
      </c>
      <c r="O33" s="28" t="s">
        <v>255</v>
      </c>
      <c r="P33" s="28" t="s">
        <v>256</v>
      </c>
      <c r="Q33" s="29">
        <v>4</v>
      </c>
      <c r="R33" s="30" t="s">
        <v>211</v>
      </c>
      <c r="S33" s="1"/>
      <c r="T33" s="1"/>
    </row>
    <row r="34" spans="1:20" ht="26.25" customHeight="1">
      <c r="A34" s="17">
        <f t="shared" si="0"/>
        <v>31</v>
      </c>
      <c r="B34" s="18" t="s">
        <v>81</v>
      </c>
      <c r="C34" s="31" t="s">
        <v>257</v>
      </c>
      <c r="D34" s="19" t="s">
        <v>258</v>
      </c>
      <c r="E34" s="20" t="s">
        <v>259</v>
      </c>
      <c r="F34" s="32" t="s">
        <v>260</v>
      </c>
      <c r="G34" s="33" t="s">
        <v>31</v>
      </c>
      <c r="H34" s="23" t="s">
        <v>261</v>
      </c>
      <c r="I34" s="24" t="s">
        <v>55</v>
      </c>
      <c r="J34" s="1" t="str">
        <f t="shared" si="6"/>
        <v/>
      </c>
      <c r="K34" s="1"/>
      <c r="L34" s="1" t="str">
        <f t="shared" si="1"/>
        <v/>
      </c>
      <c r="M34" s="29">
        <v>8</v>
      </c>
      <c r="N34" s="27" t="s">
        <v>262</v>
      </c>
      <c r="O34" s="28" t="s">
        <v>263</v>
      </c>
      <c r="P34" s="28" t="s">
        <v>264</v>
      </c>
      <c r="Q34" s="29">
        <v>12</v>
      </c>
      <c r="R34" s="30" t="s">
        <v>211</v>
      </c>
      <c r="S34" s="1"/>
      <c r="T34" s="1"/>
    </row>
    <row r="35" spans="1:20" ht="26.25" customHeight="1">
      <c r="A35" s="17">
        <f t="shared" si="0"/>
        <v>32</v>
      </c>
      <c r="B35" s="18" t="s">
        <v>233</v>
      </c>
      <c r="C35" s="31" t="s">
        <v>217</v>
      </c>
      <c r="D35" s="19" t="s">
        <v>242</v>
      </c>
      <c r="E35" s="20" t="s">
        <v>219</v>
      </c>
      <c r="F35" s="32" t="s">
        <v>265</v>
      </c>
      <c r="G35" s="22" t="s">
        <v>42</v>
      </c>
      <c r="H35" s="23" t="s">
        <v>266</v>
      </c>
      <c r="I35" s="24" t="s">
        <v>55</v>
      </c>
      <c r="J35" s="1" t="str">
        <f t="shared" si="6"/>
        <v/>
      </c>
      <c r="K35" s="25">
        <v>3</v>
      </c>
      <c r="L35" s="1" t="str">
        <f t="shared" si="1"/>
        <v>2017 FRIC 서양</v>
      </c>
      <c r="M35" s="29">
        <v>9</v>
      </c>
      <c r="N35" s="27" t="s">
        <v>267</v>
      </c>
      <c r="O35" s="28" t="s">
        <v>268</v>
      </c>
      <c r="P35" s="28" t="s">
        <v>269</v>
      </c>
      <c r="Q35" s="29">
        <v>4</v>
      </c>
      <c r="R35" s="30" t="s">
        <v>211</v>
      </c>
      <c r="S35" s="1"/>
      <c r="T35" s="1"/>
    </row>
    <row r="36" spans="1:20" ht="26.25" customHeight="1">
      <c r="A36" s="17">
        <f t="shared" si="0"/>
        <v>33</v>
      </c>
      <c r="B36" s="18" t="s">
        <v>233</v>
      </c>
      <c r="C36" s="31" t="s">
        <v>270</v>
      </c>
      <c r="D36" s="19" t="s">
        <v>271</v>
      </c>
      <c r="E36" s="20" t="s">
        <v>272</v>
      </c>
      <c r="F36" s="32" t="s">
        <v>222</v>
      </c>
      <c r="G36" s="22" t="s">
        <v>31</v>
      </c>
      <c r="H36" s="23" t="s">
        <v>273</v>
      </c>
      <c r="I36" s="24" t="s">
        <v>55</v>
      </c>
      <c r="J36" s="1" t="str">
        <f t="shared" si="6"/>
        <v/>
      </c>
      <c r="K36" s="1"/>
      <c r="L36" s="1" t="str">
        <f t="shared" si="1"/>
        <v/>
      </c>
      <c r="M36" s="29">
        <v>10</v>
      </c>
      <c r="N36" s="49" t="s">
        <v>274</v>
      </c>
      <c r="O36" s="28"/>
      <c r="P36" s="28"/>
      <c r="Q36" s="29"/>
      <c r="R36" s="50" t="s">
        <v>275</v>
      </c>
      <c r="S36" s="1"/>
      <c r="T36" s="1"/>
    </row>
    <row r="37" spans="1:20" ht="26.25" customHeight="1">
      <c r="A37" s="17">
        <f t="shared" si="0"/>
        <v>34</v>
      </c>
      <c r="B37" s="18" t="s">
        <v>105</v>
      </c>
      <c r="C37" s="31" t="s">
        <v>276</v>
      </c>
      <c r="D37" s="19" t="s">
        <v>277</v>
      </c>
      <c r="E37" s="20" t="s">
        <v>278</v>
      </c>
      <c r="F37" s="32" t="s">
        <v>279</v>
      </c>
      <c r="G37" s="33" t="s">
        <v>42</v>
      </c>
      <c r="H37" s="23" t="s">
        <v>280</v>
      </c>
      <c r="I37" s="24" t="s">
        <v>55</v>
      </c>
      <c r="J37" s="1" t="str">
        <f t="shared" si="6"/>
        <v/>
      </c>
      <c r="K37" s="1"/>
      <c r="L37" s="1" t="str">
        <f t="shared" si="1"/>
        <v/>
      </c>
      <c r="M37" s="29">
        <v>1</v>
      </c>
      <c r="N37" s="27" t="s">
        <v>281</v>
      </c>
      <c r="O37" s="27" t="s">
        <v>282</v>
      </c>
      <c r="P37" s="28" t="s">
        <v>283</v>
      </c>
      <c r="Q37" s="29" t="s">
        <v>131</v>
      </c>
      <c r="R37" s="29" t="s">
        <v>284</v>
      </c>
      <c r="S37" s="1"/>
      <c r="T37" s="1"/>
    </row>
    <row r="38" spans="1:20" ht="26.25" customHeight="1">
      <c r="A38" s="17">
        <f t="shared" si="0"/>
        <v>35</v>
      </c>
      <c r="B38" s="18" t="s">
        <v>81</v>
      </c>
      <c r="C38" s="31" t="s">
        <v>285</v>
      </c>
      <c r="D38" s="19" t="s">
        <v>277</v>
      </c>
      <c r="E38" s="20" t="s">
        <v>286</v>
      </c>
      <c r="F38" s="32" t="s">
        <v>252</v>
      </c>
      <c r="G38" s="33" t="s">
        <v>42</v>
      </c>
      <c r="H38" s="23" t="s">
        <v>287</v>
      </c>
      <c r="I38" s="24" t="s">
        <v>55</v>
      </c>
      <c r="J38" s="1" t="str">
        <f t="shared" si="6"/>
        <v/>
      </c>
      <c r="K38" s="1"/>
      <c r="L38" s="1" t="str">
        <f t="shared" si="1"/>
        <v/>
      </c>
      <c r="M38" s="29">
        <v>2</v>
      </c>
      <c r="N38" s="51" t="s">
        <v>212</v>
      </c>
      <c r="O38" s="51" t="s">
        <v>213</v>
      </c>
      <c r="P38" s="29" t="s">
        <v>214</v>
      </c>
      <c r="Q38" s="29">
        <v>1</v>
      </c>
      <c r="R38" s="29" t="s">
        <v>288</v>
      </c>
      <c r="S38" s="1"/>
      <c r="T38" s="1"/>
    </row>
    <row r="39" spans="1:20" ht="26.25" customHeight="1">
      <c r="A39" s="17">
        <f t="shared" si="0"/>
        <v>36</v>
      </c>
      <c r="B39" s="18" t="s">
        <v>289</v>
      </c>
      <c r="C39" s="31" t="s">
        <v>290</v>
      </c>
      <c r="D39" s="19" t="s">
        <v>291</v>
      </c>
      <c r="E39" s="20" t="s">
        <v>292</v>
      </c>
      <c r="F39" s="21" t="s">
        <v>293</v>
      </c>
      <c r="G39" s="33" t="s">
        <v>42</v>
      </c>
      <c r="H39" s="23" t="s">
        <v>294</v>
      </c>
      <c r="I39" s="24" t="s">
        <v>20</v>
      </c>
      <c r="J39" s="1" t="s">
        <v>87</v>
      </c>
      <c r="K39" s="25">
        <v>4</v>
      </c>
      <c r="L39" s="1" t="str">
        <f t="shared" si="1"/>
        <v/>
      </c>
      <c r="M39" s="29">
        <v>3</v>
      </c>
      <c r="N39" s="51" t="s">
        <v>295</v>
      </c>
      <c r="O39" s="51" t="s">
        <v>296</v>
      </c>
      <c r="P39" s="29" t="s">
        <v>297</v>
      </c>
      <c r="Q39" s="29">
        <v>24</v>
      </c>
      <c r="R39" s="29" t="s">
        <v>288</v>
      </c>
      <c r="S39" s="1"/>
      <c r="T39" s="1"/>
    </row>
    <row r="40" spans="1:20" ht="26.25" customHeight="1">
      <c r="A40" s="17">
        <f t="shared" si="0"/>
        <v>37</v>
      </c>
      <c r="B40" s="18" t="s">
        <v>37</v>
      </c>
      <c r="C40" s="19" t="s">
        <v>298</v>
      </c>
      <c r="D40" s="19" t="s">
        <v>299</v>
      </c>
      <c r="E40" s="20" t="s">
        <v>300</v>
      </c>
      <c r="F40" s="21" t="s">
        <v>301</v>
      </c>
      <c r="G40" s="22" t="s">
        <v>31</v>
      </c>
      <c r="H40" s="23" t="s">
        <v>302</v>
      </c>
      <c r="I40" s="24" t="s">
        <v>20</v>
      </c>
      <c r="J40" s="1" t="s">
        <v>21</v>
      </c>
      <c r="K40" s="25">
        <v>3</v>
      </c>
      <c r="L40" s="1" t="str">
        <f t="shared" si="1"/>
        <v/>
      </c>
      <c r="M40" s="29">
        <v>4</v>
      </c>
      <c r="N40" s="27" t="s">
        <v>303</v>
      </c>
      <c r="O40" s="28" t="s">
        <v>304</v>
      </c>
      <c r="P40" s="28" t="s">
        <v>305</v>
      </c>
      <c r="Q40" s="28" t="s">
        <v>36</v>
      </c>
      <c r="R40" s="50" t="s">
        <v>306</v>
      </c>
      <c r="S40" s="1"/>
      <c r="T40" s="1"/>
    </row>
    <row r="41" spans="1:20" ht="26.25" customHeight="1">
      <c r="A41" s="17">
        <f t="shared" si="0"/>
        <v>38</v>
      </c>
      <c r="B41" s="18" t="s">
        <v>175</v>
      </c>
      <c r="C41" s="31" t="s">
        <v>307</v>
      </c>
      <c r="D41" s="19" t="s">
        <v>308</v>
      </c>
      <c r="E41" s="20" t="s">
        <v>309</v>
      </c>
      <c r="F41" s="32" t="s">
        <v>310</v>
      </c>
      <c r="G41" s="33" t="s">
        <v>42</v>
      </c>
      <c r="H41" s="23" t="s">
        <v>311</v>
      </c>
      <c r="I41" s="24" t="s">
        <v>55</v>
      </c>
      <c r="J41" s="1" t="str">
        <f t="shared" ref="J41:J42" si="7">IFERROR(VLOOKUP(E41,#REF!,8,FALSE),"")</f>
        <v/>
      </c>
      <c r="K41" s="1"/>
      <c r="L41" s="1" t="str">
        <f t="shared" si="1"/>
        <v/>
      </c>
      <c r="M41" s="29">
        <v>5</v>
      </c>
      <c r="N41" s="27" t="s">
        <v>312</v>
      </c>
      <c r="O41" s="28" t="s">
        <v>313</v>
      </c>
      <c r="P41" s="52"/>
      <c r="Q41" s="28" t="s">
        <v>25</v>
      </c>
      <c r="R41" s="50" t="s">
        <v>306</v>
      </c>
      <c r="S41" s="1"/>
      <c r="T41" s="1"/>
    </row>
    <row r="42" spans="1:20" ht="26.25" customHeight="1">
      <c r="A42" s="17">
        <f t="shared" si="0"/>
        <v>39</v>
      </c>
      <c r="B42" s="18" t="s">
        <v>175</v>
      </c>
      <c r="C42" s="31" t="s">
        <v>314</v>
      </c>
      <c r="D42" s="19" t="s">
        <v>315</v>
      </c>
      <c r="E42" s="20" t="s">
        <v>316</v>
      </c>
      <c r="F42" s="32" t="s">
        <v>317</v>
      </c>
      <c r="G42" s="33" t="s">
        <v>42</v>
      </c>
      <c r="H42" s="23" t="s">
        <v>318</v>
      </c>
      <c r="I42" s="24" t="s">
        <v>55</v>
      </c>
      <c r="J42" s="1" t="str">
        <f t="shared" si="7"/>
        <v/>
      </c>
      <c r="K42" s="25">
        <v>4</v>
      </c>
      <c r="L42" s="1" t="str">
        <f t="shared" si="1"/>
        <v>2020 과기 서양</v>
      </c>
      <c r="M42" s="29">
        <v>6</v>
      </c>
      <c r="N42" s="51" t="s">
        <v>319</v>
      </c>
      <c r="O42" s="29" t="s">
        <v>320</v>
      </c>
      <c r="P42" s="29" t="s">
        <v>321</v>
      </c>
      <c r="Q42" s="29">
        <v>4</v>
      </c>
      <c r="R42" s="30" t="s">
        <v>322</v>
      </c>
      <c r="S42" s="1"/>
      <c r="T42" s="1"/>
    </row>
    <row r="43" spans="1:20" ht="26.25" customHeight="1">
      <c r="A43" s="17">
        <f t="shared" si="0"/>
        <v>40</v>
      </c>
      <c r="B43" s="18" t="s">
        <v>175</v>
      </c>
      <c r="C43" s="31" t="s">
        <v>323</v>
      </c>
      <c r="D43" s="19" t="s">
        <v>324</v>
      </c>
      <c r="E43" s="20" t="s">
        <v>325</v>
      </c>
      <c r="F43" s="21" t="s">
        <v>326</v>
      </c>
      <c r="G43" s="33" t="s">
        <v>42</v>
      </c>
      <c r="H43" s="23" t="s">
        <v>327</v>
      </c>
      <c r="I43" s="24" t="s">
        <v>20</v>
      </c>
      <c r="J43" s="1" t="s">
        <v>87</v>
      </c>
      <c r="K43" s="25">
        <v>4</v>
      </c>
      <c r="L43" s="1" t="str">
        <f t="shared" si="1"/>
        <v/>
      </c>
      <c r="M43" s="29">
        <v>7</v>
      </c>
      <c r="N43" s="51" t="s">
        <v>328</v>
      </c>
      <c r="O43" s="29" t="s">
        <v>329</v>
      </c>
      <c r="P43" s="29" t="s">
        <v>330</v>
      </c>
      <c r="Q43" s="29">
        <v>12</v>
      </c>
      <c r="R43" s="30" t="s">
        <v>322</v>
      </c>
      <c r="S43" s="1"/>
      <c r="T43" s="1"/>
    </row>
    <row r="44" spans="1:20" ht="26.25" customHeight="1">
      <c r="A44" s="17">
        <f t="shared" si="0"/>
        <v>41</v>
      </c>
      <c r="B44" s="18" t="s">
        <v>105</v>
      </c>
      <c r="C44" s="31" t="s">
        <v>331</v>
      </c>
      <c r="D44" s="19" t="s">
        <v>332</v>
      </c>
      <c r="E44" s="20" t="s">
        <v>333</v>
      </c>
      <c r="F44" s="21" t="s">
        <v>334</v>
      </c>
      <c r="G44" s="33" t="s">
        <v>42</v>
      </c>
      <c r="H44" s="23" t="s">
        <v>335</v>
      </c>
      <c r="I44" s="34" t="s">
        <v>55</v>
      </c>
      <c r="J44" s="1" t="str">
        <f t="shared" ref="J44:J45" si="8">IFERROR(VLOOKUP(E44,#REF!,8,FALSE),"")</f>
        <v/>
      </c>
      <c r="K44" s="25">
        <v>4</v>
      </c>
      <c r="L44" s="1" t="str">
        <f t="shared" si="1"/>
        <v>2021 과기 서양</v>
      </c>
      <c r="M44" s="35">
        <v>8</v>
      </c>
      <c r="N44" s="53" t="s">
        <v>336</v>
      </c>
      <c r="O44" s="35" t="s">
        <v>337</v>
      </c>
      <c r="P44" s="35" t="s">
        <v>338</v>
      </c>
      <c r="Q44" s="35" t="s">
        <v>114</v>
      </c>
      <c r="R44" s="38" t="s">
        <v>322</v>
      </c>
      <c r="S44" s="25"/>
      <c r="T44" s="25"/>
    </row>
    <row r="45" spans="1:20" ht="26.25" customHeight="1">
      <c r="A45" s="17">
        <f t="shared" si="0"/>
        <v>42</v>
      </c>
      <c r="B45" s="18" t="s">
        <v>105</v>
      </c>
      <c r="C45" s="31" t="s">
        <v>339</v>
      </c>
      <c r="D45" s="19" t="s">
        <v>340</v>
      </c>
      <c r="E45" s="20" t="s">
        <v>341</v>
      </c>
      <c r="F45" s="32" t="s">
        <v>342</v>
      </c>
      <c r="G45" s="33" t="s">
        <v>42</v>
      </c>
      <c r="H45" s="23" t="s">
        <v>343</v>
      </c>
      <c r="I45" s="24" t="s">
        <v>55</v>
      </c>
      <c r="J45" s="1" t="str">
        <f t="shared" si="8"/>
        <v/>
      </c>
      <c r="K45" s="1"/>
      <c r="L45" s="1" t="str">
        <f t="shared" si="1"/>
        <v/>
      </c>
      <c r="M45" s="29">
        <v>9</v>
      </c>
      <c r="N45" s="51" t="s">
        <v>344</v>
      </c>
      <c r="O45" s="29" t="s">
        <v>345</v>
      </c>
      <c r="P45" s="29" t="s">
        <v>346</v>
      </c>
      <c r="Q45" s="29">
        <v>12</v>
      </c>
      <c r="R45" s="30" t="s">
        <v>322</v>
      </c>
      <c r="S45" s="1"/>
      <c r="T45" s="1"/>
    </row>
    <row r="46" spans="1:20" ht="26.25" customHeight="1">
      <c r="A46" s="17">
        <f t="shared" si="0"/>
        <v>43</v>
      </c>
      <c r="B46" s="18" t="s">
        <v>289</v>
      </c>
      <c r="C46" s="19" t="s">
        <v>347</v>
      </c>
      <c r="D46" s="19" t="s">
        <v>348</v>
      </c>
      <c r="E46" s="20" t="s">
        <v>349</v>
      </c>
      <c r="F46" s="21" t="s">
        <v>135</v>
      </c>
      <c r="G46" s="33" t="s">
        <v>350</v>
      </c>
      <c r="H46" s="23" t="s">
        <v>351</v>
      </c>
      <c r="I46" s="24" t="s">
        <v>20</v>
      </c>
      <c r="J46" s="1" t="s">
        <v>21</v>
      </c>
      <c r="K46" s="25">
        <v>3</v>
      </c>
      <c r="L46" s="1" t="str">
        <f t="shared" si="1"/>
        <v/>
      </c>
      <c r="M46" s="29">
        <v>10</v>
      </c>
      <c r="N46" s="51" t="s">
        <v>352</v>
      </c>
      <c r="O46" s="29" t="s">
        <v>353</v>
      </c>
      <c r="P46" s="29" t="s">
        <v>354</v>
      </c>
      <c r="Q46" s="29">
        <v>63</v>
      </c>
      <c r="R46" s="30" t="s">
        <v>322</v>
      </c>
      <c r="S46" s="1"/>
      <c r="T46" s="1"/>
    </row>
    <row r="47" spans="1:20" ht="26.25" customHeight="1">
      <c r="A47" s="17">
        <f t="shared" si="0"/>
        <v>44</v>
      </c>
      <c r="B47" s="18" t="s">
        <v>289</v>
      </c>
      <c r="C47" s="31" t="s">
        <v>355</v>
      </c>
      <c r="D47" s="19" t="s">
        <v>356</v>
      </c>
      <c r="E47" s="20" t="s">
        <v>357</v>
      </c>
      <c r="F47" s="32" t="s">
        <v>358</v>
      </c>
      <c r="G47" s="33" t="s">
        <v>53</v>
      </c>
      <c r="H47" s="23" t="s">
        <v>359</v>
      </c>
      <c r="I47" s="24" t="s">
        <v>55</v>
      </c>
      <c r="J47" s="1" t="str">
        <f t="shared" ref="J47:J50" si="9">IFERROR(VLOOKUP(E47,#REF!,8,FALSE),"")</f>
        <v/>
      </c>
      <c r="K47" s="1"/>
      <c r="L47" s="1" t="str">
        <f t="shared" si="1"/>
        <v/>
      </c>
      <c r="M47" s="29">
        <v>11</v>
      </c>
      <c r="N47" s="27" t="s">
        <v>360</v>
      </c>
      <c r="O47" s="28" t="s">
        <v>361</v>
      </c>
      <c r="P47" s="27" t="s">
        <v>362</v>
      </c>
      <c r="Q47" s="27">
        <v>12</v>
      </c>
      <c r="R47" s="30" t="s">
        <v>322</v>
      </c>
      <c r="S47" s="1"/>
      <c r="T47" s="1"/>
    </row>
    <row r="48" spans="1:20" ht="26.25" customHeight="1">
      <c r="A48" s="17">
        <f t="shared" si="0"/>
        <v>45</v>
      </c>
      <c r="B48" s="18" t="s">
        <v>27</v>
      </c>
      <c r="C48" s="31" t="s">
        <v>363</v>
      </c>
      <c r="D48" s="19" t="s">
        <v>364</v>
      </c>
      <c r="E48" s="20" t="s">
        <v>365</v>
      </c>
      <c r="F48" s="32" t="s">
        <v>170</v>
      </c>
      <c r="G48" s="22" t="s">
        <v>31</v>
      </c>
      <c r="H48" s="23" t="s">
        <v>366</v>
      </c>
      <c r="I48" s="24" t="s">
        <v>55</v>
      </c>
      <c r="J48" s="1" t="str">
        <f t="shared" si="9"/>
        <v/>
      </c>
      <c r="K48" s="25">
        <v>4</v>
      </c>
      <c r="L48" s="1" t="str">
        <f t="shared" si="1"/>
        <v>2020 과기 서양</v>
      </c>
      <c r="M48" s="29">
        <v>12</v>
      </c>
      <c r="N48" s="27" t="s">
        <v>367</v>
      </c>
      <c r="O48" s="28" t="s">
        <v>361</v>
      </c>
      <c r="P48" s="27" t="s">
        <v>368</v>
      </c>
      <c r="Q48" s="27">
        <v>12</v>
      </c>
      <c r="R48" s="30" t="s">
        <v>322</v>
      </c>
      <c r="S48" s="1"/>
      <c r="T48" s="1"/>
    </row>
    <row r="49" spans="1:20" ht="26.25" customHeight="1">
      <c r="A49" s="17">
        <f t="shared" si="0"/>
        <v>46</v>
      </c>
      <c r="B49" s="18" t="s">
        <v>132</v>
      </c>
      <c r="C49" s="31" t="s">
        <v>369</v>
      </c>
      <c r="D49" s="19" t="s">
        <v>370</v>
      </c>
      <c r="E49" s="20" t="s">
        <v>371</v>
      </c>
      <c r="F49" s="32">
        <v>1999</v>
      </c>
      <c r="G49" s="22" t="s">
        <v>53</v>
      </c>
      <c r="H49" s="23" t="s">
        <v>372</v>
      </c>
      <c r="I49" s="24" t="s">
        <v>55</v>
      </c>
      <c r="J49" s="1" t="str">
        <f t="shared" si="9"/>
        <v/>
      </c>
      <c r="K49" s="1"/>
      <c r="L49" s="1" t="str">
        <f t="shared" si="1"/>
        <v/>
      </c>
      <c r="M49" s="29">
        <v>13</v>
      </c>
      <c r="N49" s="27" t="s">
        <v>160</v>
      </c>
      <c r="O49" s="28" t="s">
        <v>361</v>
      </c>
      <c r="P49" s="27" t="s">
        <v>162</v>
      </c>
      <c r="Q49" s="27">
        <v>24</v>
      </c>
      <c r="R49" s="30" t="s">
        <v>322</v>
      </c>
      <c r="S49" s="1"/>
      <c r="T49" s="1"/>
    </row>
    <row r="50" spans="1:20" ht="26.25" customHeight="1">
      <c r="A50" s="17">
        <f t="shared" si="0"/>
        <v>47</v>
      </c>
      <c r="B50" s="18" t="s">
        <v>175</v>
      </c>
      <c r="C50" s="31" t="s">
        <v>373</v>
      </c>
      <c r="D50" s="19" t="s">
        <v>374</v>
      </c>
      <c r="E50" s="20" t="s">
        <v>375</v>
      </c>
      <c r="F50" s="32" t="s">
        <v>376</v>
      </c>
      <c r="G50" s="33" t="s">
        <v>42</v>
      </c>
      <c r="H50" s="23" t="s">
        <v>377</v>
      </c>
      <c r="I50" s="24" t="s">
        <v>55</v>
      </c>
      <c r="J50" s="1" t="str">
        <f t="shared" si="9"/>
        <v/>
      </c>
      <c r="K50" s="1"/>
      <c r="L50" s="1" t="str">
        <f t="shared" si="1"/>
        <v/>
      </c>
      <c r="M50" s="29">
        <v>14</v>
      </c>
      <c r="N50" s="27" t="s">
        <v>378</v>
      </c>
      <c r="O50" s="28" t="s">
        <v>361</v>
      </c>
      <c r="P50" s="27" t="s">
        <v>379</v>
      </c>
      <c r="Q50" s="27">
        <v>12</v>
      </c>
      <c r="R50" s="30" t="s">
        <v>322</v>
      </c>
      <c r="S50" s="1"/>
      <c r="T50" s="1"/>
    </row>
    <row r="51" spans="1:20" ht="26.25" customHeight="1">
      <c r="A51" s="17">
        <f t="shared" si="0"/>
        <v>48</v>
      </c>
      <c r="B51" s="18" t="s">
        <v>105</v>
      </c>
      <c r="C51" s="31" t="s">
        <v>380</v>
      </c>
      <c r="D51" s="19" t="s">
        <v>381</v>
      </c>
      <c r="E51" s="20" t="s">
        <v>382</v>
      </c>
      <c r="F51" s="21" t="s">
        <v>383</v>
      </c>
      <c r="G51" s="33" t="s">
        <v>42</v>
      </c>
      <c r="H51" s="23" t="s">
        <v>384</v>
      </c>
      <c r="I51" s="34" t="s">
        <v>20</v>
      </c>
      <c r="J51" s="1" t="s">
        <v>87</v>
      </c>
      <c r="K51" s="25">
        <v>4</v>
      </c>
      <c r="L51" s="1" t="str">
        <f t="shared" si="1"/>
        <v/>
      </c>
      <c r="M51" s="35">
        <v>15</v>
      </c>
      <c r="N51" s="36" t="s">
        <v>385</v>
      </c>
      <c r="O51" s="37" t="s">
        <v>361</v>
      </c>
      <c r="P51" s="36" t="s">
        <v>386</v>
      </c>
      <c r="Q51" s="36">
        <v>6</v>
      </c>
      <c r="R51" s="38" t="s">
        <v>322</v>
      </c>
      <c r="S51" s="25"/>
      <c r="T51" s="25"/>
    </row>
    <row r="52" spans="1:20" ht="26.25" customHeight="1">
      <c r="A52" s="17">
        <f t="shared" si="0"/>
        <v>49</v>
      </c>
      <c r="B52" s="18" t="s">
        <v>105</v>
      </c>
      <c r="C52" s="31" t="s">
        <v>387</v>
      </c>
      <c r="D52" s="19" t="s">
        <v>196</v>
      </c>
      <c r="E52" s="20" t="s">
        <v>388</v>
      </c>
      <c r="F52" s="32" t="s">
        <v>389</v>
      </c>
      <c r="G52" s="33" t="s">
        <v>42</v>
      </c>
      <c r="H52" s="23" t="s">
        <v>390</v>
      </c>
      <c r="I52" s="24" t="s">
        <v>55</v>
      </c>
      <c r="J52" s="1" t="str">
        <f t="shared" ref="J52:J56" si="10">IFERROR(VLOOKUP(E52,#REF!,8,FALSE),"")</f>
        <v/>
      </c>
      <c r="K52" s="1"/>
      <c r="L52" s="1" t="str">
        <f t="shared" si="1"/>
        <v/>
      </c>
      <c r="M52" s="29">
        <v>16</v>
      </c>
      <c r="N52" s="51" t="s">
        <v>391</v>
      </c>
      <c r="O52" s="29" t="s">
        <v>196</v>
      </c>
      <c r="P52" s="29" t="s">
        <v>392</v>
      </c>
      <c r="Q52" s="27">
        <v>12</v>
      </c>
      <c r="R52" s="30" t="s">
        <v>322</v>
      </c>
      <c r="S52" s="1"/>
      <c r="T52" s="1"/>
    </row>
    <row r="53" spans="1:20" ht="26.25" customHeight="1">
      <c r="A53" s="17">
        <f t="shared" si="0"/>
        <v>50</v>
      </c>
      <c r="B53" s="18" t="s">
        <v>105</v>
      </c>
      <c r="C53" s="31" t="s">
        <v>393</v>
      </c>
      <c r="D53" s="19" t="s">
        <v>394</v>
      </c>
      <c r="E53" s="20" t="s">
        <v>395</v>
      </c>
      <c r="F53" s="32" t="s">
        <v>396</v>
      </c>
      <c r="G53" s="33" t="s">
        <v>31</v>
      </c>
      <c r="H53" s="23" t="s">
        <v>397</v>
      </c>
      <c r="I53" s="24" t="s">
        <v>55</v>
      </c>
      <c r="J53" s="1" t="str">
        <f t="shared" si="10"/>
        <v/>
      </c>
      <c r="K53" s="25">
        <v>3</v>
      </c>
      <c r="L53" s="1" t="str">
        <f t="shared" si="1"/>
        <v>2020 FRIC 서양</v>
      </c>
      <c r="M53" s="54">
        <v>1</v>
      </c>
      <c r="N53" s="27" t="s">
        <v>398</v>
      </c>
      <c r="O53" s="28" t="s">
        <v>399</v>
      </c>
      <c r="P53" s="28" t="s">
        <v>400</v>
      </c>
      <c r="Q53" s="28" t="s">
        <v>25</v>
      </c>
      <c r="R53" s="29" t="s">
        <v>401</v>
      </c>
      <c r="S53" s="1"/>
      <c r="T53" s="1"/>
    </row>
    <row r="54" spans="1:20" ht="26.25" customHeight="1">
      <c r="A54" s="17">
        <f t="shared" si="0"/>
        <v>51</v>
      </c>
      <c r="B54" s="18" t="s">
        <v>105</v>
      </c>
      <c r="C54" s="31" t="s">
        <v>402</v>
      </c>
      <c r="D54" s="19" t="s">
        <v>394</v>
      </c>
      <c r="E54" s="20" t="s">
        <v>403</v>
      </c>
      <c r="F54" s="32" t="s">
        <v>404</v>
      </c>
      <c r="G54" s="33" t="s">
        <v>42</v>
      </c>
      <c r="H54" s="23" t="s">
        <v>405</v>
      </c>
      <c r="I54" s="24" t="s">
        <v>55</v>
      </c>
      <c r="J54" s="1" t="str">
        <f t="shared" si="10"/>
        <v/>
      </c>
      <c r="K54" s="1"/>
      <c r="L54" s="1" t="str">
        <f t="shared" si="1"/>
        <v/>
      </c>
      <c r="M54" s="54">
        <v>2</v>
      </c>
      <c r="N54" s="27" t="s">
        <v>406</v>
      </c>
      <c r="O54" s="28" t="s">
        <v>407</v>
      </c>
      <c r="P54" s="28" t="s">
        <v>408</v>
      </c>
      <c r="Q54" s="28" t="s">
        <v>36</v>
      </c>
      <c r="R54" s="29" t="s">
        <v>401</v>
      </c>
      <c r="S54" s="1"/>
      <c r="T54" s="1"/>
    </row>
    <row r="55" spans="1:20" ht="26.25" customHeight="1">
      <c r="A55" s="17">
        <f t="shared" si="0"/>
        <v>52</v>
      </c>
      <c r="B55" s="18" t="s">
        <v>132</v>
      </c>
      <c r="C55" s="31" t="s">
        <v>409</v>
      </c>
      <c r="D55" s="19" t="s">
        <v>394</v>
      </c>
      <c r="E55" s="20" t="s">
        <v>410</v>
      </c>
      <c r="F55" s="32" t="s">
        <v>142</v>
      </c>
      <c r="G55" s="22" t="s">
        <v>42</v>
      </c>
      <c r="H55" s="23" t="s">
        <v>411</v>
      </c>
      <c r="I55" s="24" t="s">
        <v>55</v>
      </c>
      <c r="J55" s="1" t="str">
        <f t="shared" si="10"/>
        <v/>
      </c>
      <c r="K55" s="1"/>
      <c r="L55" s="1" t="str">
        <f t="shared" si="1"/>
        <v/>
      </c>
      <c r="M55" s="54">
        <v>3</v>
      </c>
      <c r="N55" s="27" t="s">
        <v>412</v>
      </c>
      <c r="O55" s="28" t="s">
        <v>407</v>
      </c>
      <c r="P55" s="28" t="s">
        <v>413</v>
      </c>
      <c r="Q55" s="28" t="s">
        <v>36</v>
      </c>
      <c r="R55" s="29" t="s">
        <v>401</v>
      </c>
      <c r="S55" s="1"/>
      <c r="T55" s="1"/>
    </row>
    <row r="56" spans="1:20" ht="26.25" customHeight="1">
      <c r="A56" s="17">
        <f t="shared" si="0"/>
        <v>53</v>
      </c>
      <c r="B56" s="18" t="s">
        <v>37</v>
      </c>
      <c r="C56" s="31" t="s">
        <v>414</v>
      </c>
      <c r="D56" s="19" t="s">
        <v>394</v>
      </c>
      <c r="E56" s="20" t="s">
        <v>415</v>
      </c>
      <c r="F56" s="32" t="s">
        <v>416</v>
      </c>
      <c r="G56" s="22" t="s">
        <v>31</v>
      </c>
      <c r="H56" s="23" t="s">
        <v>417</v>
      </c>
      <c r="I56" s="24" t="s">
        <v>55</v>
      </c>
      <c r="J56" s="1" t="str">
        <f t="shared" si="10"/>
        <v/>
      </c>
      <c r="K56" s="1"/>
      <c r="L56" s="1" t="str">
        <f t="shared" si="1"/>
        <v/>
      </c>
      <c r="M56" s="54">
        <v>4</v>
      </c>
      <c r="N56" s="27" t="s">
        <v>418</v>
      </c>
      <c r="O56" s="28" t="s">
        <v>407</v>
      </c>
      <c r="P56" s="28" t="s">
        <v>419</v>
      </c>
      <c r="Q56" s="28" t="s">
        <v>36</v>
      </c>
      <c r="R56" s="29" t="s">
        <v>401</v>
      </c>
      <c r="S56" s="1"/>
      <c r="T56" s="1"/>
    </row>
    <row r="57" spans="1:20" ht="26.25" customHeight="1">
      <c r="A57" s="17">
        <f t="shared" si="0"/>
        <v>54</v>
      </c>
      <c r="B57" s="18" t="s">
        <v>175</v>
      </c>
      <c r="C57" s="31" t="s">
        <v>420</v>
      </c>
      <c r="D57" s="19" t="s">
        <v>394</v>
      </c>
      <c r="E57" s="20" t="s">
        <v>421</v>
      </c>
      <c r="F57" s="21" t="s">
        <v>422</v>
      </c>
      <c r="G57" s="33" t="s">
        <v>42</v>
      </c>
      <c r="H57" s="23" t="s">
        <v>423</v>
      </c>
      <c r="I57" s="34" t="s">
        <v>20</v>
      </c>
      <c r="J57" s="1" t="s">
        <v>87</v>
      </c>
      <c r="K57" s="25">
        <v>4</v>
      </c>
      <c r="L57" s="1" t="str">
        <f t="shared" si="1"/>
        <v/>
      </c>
      <c r="M57" s="55">
        <v>5</v>
      </c>
      <c r="N57" s="36" t="s">
        <v>424</v>
      </c>
      <c r="O57" s="37" t="s">
        <v>407</v>
      </c>
      <c r="P57" s="37" t="s">
        <v>425</v>
      </c>
      <c r="Q57" s="37" t="s">
        <v>36</v>
      </c>
      <c r="R57" s="35" t="s">
        <v>401</v>
      </c>
      <c r="S57" s="25"/>
      <c r="T57" s="25"/>
    </row>
    <row r="58" spans="1:20" ht="26.25" customHeight="1">
      <c r="A58" s="17">
        <f t="shared" si="0"/>
        <v>55</v>
      </c>
      <c r="B58" s="18" t="s">
        <v>146</v>
      </c>
      <c r="C58" s="31" t="s">
        <v>426</v>
      </c>
      <c r="D58" s="19" t="s">
        <v>427</v>
      </c>
      <c r="E58" s="20"/>
      <c r="F58" s="32" t="s">
        <v>428</v>
      </c>
      <c r="G58" s="33" t="s">
        <v>53</v>
      </c>
      <c r="H58" s="23" t="s">
        <v>429</v>
      </c>
      <c r="I58" s="24" t="s">
        <v>55</v>
      </c>
      <c r="J58" s="1" t="str">
        <f t="shared" ref="J58:J59" si="11">IFERROR(VLOOKUP(E58,#REF!,8,FALSE),"")</f>
        <v/>
      </c>
      <c r="K58" s="1"/>
      <c r="L58" s="1" t="str">
        <f t="shared" si="1"/>
        <v/>
      </c>
      <c r="M58" s="54">
        <v>6</v>
      </c>
      <c r="N58" s="27" t="s">
        <v>430</v>
      </c>
      <c r="O58" s="28" t="s">
        <v>431</v>
      </c>
      <c r="P58" s="28" t="s">
        <v>432</v>
      </c>
      <c r="Q58" s="28" t="s">
        <v>36</v>
      </c>
      <c r="R58" s="29" t="s">
        <v>401</v>
      </c>
      <c r="S58" s="1"/>
      <c r="T58" s="1"/>
    </row>
    <row r="59" spans="1:20" ht="26.25" customHeight="1">
      <c r="A59" s="17">
        <f t="shared" si="0"/>
        <v>56</v>
      </c>
      <c r="B59" s="18" t="s">
        <v>27</v>
      </c>
      <c r="C59" s="31" t="s">
        <v>433</v>
      </c>
      <c r="D59" s="19" t="s">
        <v>271</v>
      </c>
      <c r="E59" s="20" t="s">
        <v>434</v>
      </c>
      <c r="F59" s="32" t="s">
        <v>222</v>
      </c>
      <c r="G59" s="22" t="s">
        <v>42</v>
      </c>
      <c r="H59" s="23" t="s">
        <v>435</v>
      </c>
      <c r="I59" s="24" t="s">
        <v>55</v>
      </c>
      <c r="J59" s="1" t="str">
        <f t="shared" si="11"/>
        <v/>
      </c>
      <c r="K59" s="1"/>
      <c r="L59" s="1" t="str">
        <f t="shared" si="1"/>
        <v/>
      </c>
      <c r="M59" s="54">
        <v>7</v>
      </c>
      <c r="N59" s="27" t="s">
        <v>436</v>
      </c>
      <c r="O59" s="28" t="s">
        <v>437</v>
      </c>
      <c r="P59" s="28" t="s">
        <v>438</v>
      </c>
      <c r="Q59" s="28" t="s">
        <v>36</v>
      </c>
      <c r="R59" s="29" t="s">
        <v>401</v>
      </c>
      <c r="S59" s="1"/>
      <c r="T59" s="1"/>
    </row>
    <row r="60" spans="1:20" ht="26.25" customHeight="1">
      <c r="A60" s="17">
        <f t="shared" si="0"/>
        <v>57</v>
      </c>
      <c r="B60" s="18" t="s">
        <v>132</v>
      </c>
      <c r="C60" s="19" t="s">
        <v>439</v>
      </c>
      <c r="D60" s="39" t="s">
        <v>440</v>
      </c>
      <c r="E60" s="20" t="s">
        <v>441</v>
      </c>
      <c r="F60" s="40" t="s">
        <v>442</v>
      </c>
      <c r="G60" s="22" t="s">
        <v>53</v>
      </c>
      <c r="H60" s="41" t="s">
        <v>443</v>
      </c>
      <c r="I60" s="24" t="s">
        <v>20</v>
      </c>
      <c r="J60" s="1" t="s">
        <v>21</v>
      </c>
      <c r="K60" s="25">
        <v>3</v>
      </c>
      <c r="L60" s="1" t="str">
        <f t="shared" si="1"/>
        <v/>
      </c>
      <c r="M60" s="54">
        <v>8</v>
      </c>
      <c r="N60" s="27" t="s">
        <v>444</v>
      </c>
      <c r="O60" s="28" t="s">
        <v>437</v>
      </c>
      <c r="P60" s="28" t="s">
        <v>445</v>
      </c>
      <c r="Q60" s="28" t="s">
        <v>36</v>
      </c>
      <c r="R60" s="29" t="s">
        <v>401</v>
      </c>
      <c r="S60" s="1"/>
      <c r="T60" s="1"/>
    </row>
    <row r="61" spans="1:20" ht="26.25" customHeight="1">
      <c r="A61" s="17">
        <f t="shared" si="0"/>
        <v>58</v>
      </c>
      <c r="B61" s="18" t="s">
        <v>132</v>
      </c>
      <c r="C61" s="31" t="s">
        <v>446</v>
      </c>
      <c r="D61" s="19" t="s">
        <v>447</v>
      </c>
      <c r="E61" s="20" t="s">
        <v>448</v>
      </c>
      <c r="F61" s="32" t="s">
        <v>449</v>
      </c>
      <c r="G61" s="22" t="s">
        <v>42</v>
      </c>
      <c r="H61" s="23" t="s">
        <v>450</v>
      </c>
      <c r="I61" s="24" t="s">
        <v>55</v>
      </c>
      <c r="J61" s="1" t="str">
        <f t="shared" ref="J61:J62" si="12">IFERROR(VLOOKUP(E61,#REF!,8,FALSE),"")</f>
        <v/>
      </c>
      <c r="K61" s="1"/>
      <c r="L61" s="1" t="str">
        <f t="shared" si="1"/>
        <v/>
      </c>
      <c r="M61" s="54">
        <v>9</v>
      </c>
      <c r="N61" s="27" t="s">
        <v>451</v>
      </c>
      <c r="O61" s="28" t="s">
        <v>437</v>
      </c>
      <c r="P61" s="28" t="s">
        <v>452</v>
      </c>
      <c r="Q61" s="28" t="s">
        <v>36</v>
      </c>
      <c r="R61" s="29" t="s">
        <v>401</v>
      </c>
      <c r="S61" s="1"/>
      <c r="T61" s="1"/>
    </row>
    <row r="62" spans="1:20" ht="26.25" customHeight="1">
      <c r="A62" s="17">
        <f t="shared" si="0"/>
        <v>59</v>
      </c>
      <c r="B62" s="18" t="s">
        <v>175</v>
      </c>
      <c r="C62" s="31" t="s">
        <v>453</v>
      </c>
      <c r="D62" s="19" t="s">
        <v>196</v>
      </c>
      <c r="E62" s="20" t="s">
        <v>454</v>
      </c>
      <c r="F62" s="32" t="s">
        <v>455</v>
      </c>
      <c r="G62" s="33" t="s">
        <v>42</v>
      </c>
      <c r="H62" s="23" t="s">
        <v>456</v>
      </c>
      <c r="I62" s="24" t="s">
        <v>55</v>
      </c>
      <c r="J62" s="1" t="str">
        <f t="shared" si="12"/>
        <v/>
      </c>
      <c r="K62" s="1"/>
      <c r="L62" s="1" t="str">
        <f t="shared" si="1"/>
        <v/>
      </c>
      <c r="M62" s="54">
        <v>10</v>
      </c>
      <c r="N62" s="27" t="s">
        <v>457</v>
      </c>
      <c r="O62" s="28" t="s">
        <v>437</v>
      </c>
      <c r="P62" s="28" t="s">
        <v>458</v>
      </c>
      <c r="Q62" s="28" t="s">
        <v>36</v>
      </c>
      <c r="R62" s="29" t="s">
        <v>401</v>
      </c>
      <c r="S62" s="1"/>
      <c r="T62" s="1"/>
    </row>
    <row r="63" spans="1:20" ht="26.25" customHeight="1">
      <c r="A63" s="17">
        <f t="shared" si="0"/>
        <v>60</v>
      </c>
      <c r="B63" s="18" t="s">
        <v>105</v>
      </c>
      <c r="C63" s="31" t="s">
        <v>459</v>
      </c>
      <c r="D63" s="19" t="s">
        <v>460</v>
      </c>
      <c r="E63" s="20" t="s">
        <v>461</v>
      </c>
      <c r="F63" s="21" t="s">
        <v>462</v>
      </c>
      <c r="G63" s="33" t="s">
        <v>42</v>
      </c>
      <c r="H63" s="23" t="s">
        <v>463</v>
      </c>
      <c r="I63" s="34" t="s">
        <v>20</v>
      </c>
      <c r="J63" s="1" t="s">
        <v>87</v>
      </c>
      <c r="K63" s="25">
        <v>4</v>
      </c>
      <c r="L63" s="1" t="str">
        <f t="shared" si="1"/>
        <v/>
      </c>
      <c r="M63" s="55">
        <v>11</v>
      </c>
      <c r="N63" s="36" t="s">
        <v>464</v>
      </c>
      <c r="O63" s="37" t="s">
        <v>465</v>
      </c>
      <c r="P63" s="37" t="s">
        <v>466</v>
      </c>
      <c r="Q63" s="37" t="s">
        <v>25</v>
      </c>
      <c r="R63" s="35" t="s">
        <v>401</v>
      </c>
      <c r="S63" s="25"/>
      <c r="T63" s="25"/>
    </row>
    <row r="64" spans="1:20" ht="26.25" customHeight="1">
      <c r="A64" s="17">
        <f t="shared" si="0"/>
        <v>61</v>
      </c>
      <c r="B64" s="18" t="s">
        <v>105</v>
      </c>
      <c r="C64" s="31" t="s">
        <v>467</v>
      </c>
      <c r="D64" s="19" t="s">
        <v>468</v>
      </c>
      <c r="E64" s="20" t="s">
        <v>469</v>
      </c>
      <c r="F64" s="32" t="s">
        <v>170</v>
      </c>
      <c r="G64" s="33" t="s">
        <v>42</v>
      </c>
      <c r="H64" s="23" t="s">
        <v>470</v>
      </c>
      <c r="I64" s="24" t="s">
        <v>55</v>
      </c>
      <c r="J64" s="1" t="str">
        <f>IFERROR(VLOOKUP(E64,#REF!,8,FALSE),"")</f>
        <v/>
      </c>
      <c r="K64" s="25">
        <v>3</v>
      </c>
      <c r="L64" s="1" t="str">
        <f t="shared" si="1"/>
        <v>2020 FRIC 서양</v>
      </c>
      <c r="M64" s="54">
        <v>12</v>
      </c>
      <c r="N64" s="27" t="s">
        <v>471</v>
      </c>
      <c r="O64" s="28" t="s">
        <v>472</v>
      </c>
      <c r="P64" s="28" t="s">
        <v>473</v>
      </c>
      <c r="Q64" s="28" t="s">
        <v>36</v>
      </c>
      <c r="R64" s="29" t="s">
        <v>401</v>
      </c>
      <c r="S64" s="1"/>
      <c r="T64" s="1"/>
    </row>
    <row r="65" spans="1:20" ht="26.25" customHeight="1">
      <c r="A65" s="17">
        <f t="shared" si="0"/>
        <v>62</v>
      </c>
      <c r="B65" s="18" t="s">
        <v>105</v>
      </c>
      <c r="C65" s="31" t="s">
        <v>474</v>
      </c>
      <c r="D65" s="19" t="s">
        <v>124</v>
      </c>
      <c r="E65" s="20" t="s">
        <v>475</v>
      </c>
      <c r="F65" s="21" t="s">
        <v>135</v>
      </c>
      <c r="G65" s="33" t="s">
        <v>42</v>
      </c>
      <c r="H65" s="23" t="s">
        <v>476</v>
      </c>
      <c r="I65" s="24" t="s">
        <v>20</v>
      </c>
      <c r="J65" s="1" t="s">
        <v>87</v>
      </c>
      <c r="K65" s="25">
        <v>4</v>
      </c>
      <c r="L65" s="1" t="str">
        <f t="shared" si="1"/>
        <v/>
      </c>
      <c r="M65" s="54">
        <v>13</v>
      </c>
      <c r="N65" s="27" t="s">
        <v>477</v>
      </c>
      <c r="O65" s="28" t="s">
        <v>478</v>
      </c>
      <c r="P65" s="28" t="s">
        <v>479</v>
      </c>
      <c r="Q65" s="28" t="s">
        <v>36</v>
      </c>
      <c r="R65" s="29" t="s">
        <v>401</v>
      </c>
      <c r="S65" s="1"/>
      <c r="T65" s="1"/>
    </row>
    <row r="66" spans="1:20" ht="26.25" customHeight="1">
      <c r="A66" s="17">
        <f t="shared" si="0"/>
        <v>63</v>
      </c>
      <c r="B66" s="18" t="s">
        <v>13</v>
      </c>
      <c r="C66" s="31" t="s">
        <v>123</v>
      </c>
      <c r="D66" s="19" t="s">
        <v>480</v>
      </c>
      <c r="E66" s="20" t="s">
        <v>481</v>
      </c>
      <c r="F66" s="21" t="s">
        <v>482</v>
      </c>
      <c r="G66" s="22" t="s">
        <v>18</v>
      </c>
      <c r="H66" s="23" t="s">
        <v>483</v>
      </c>
      <c r="I66" s="24" t="s">
        <v>20</v>
      </c>
      <c r="J66" s="1" t="s">
        <v>21</v>
      </c>
      <c r="K66" s="25">
        <v>3</v>
      </c>
      <c r="L66" s="1" t="str">
        <f t="shared" si="1"/>
        <v/>
      </c>
      <c r="M66" s="54">
        <v>14</v>
      </c>
      <c r="N66" s="27" t="s">
        <v>484</v>
      </c>
      <c r="O66" s="28" t="s">
        <v>485</v>
      </c>
      <c r="P66" s="28" t="s">
        <v>486</v>
      </c>
      <c r="Q66" s="28" t="s">
        <v>36</v>
      </c>
      <c r="R66" s="29" t="s">
        <v>401</v>
      </c>
      <c r="S66" s="1"/>
      <c r="T66" s="1"/>
    </row>
    <row r="67" spans="1:20" ht="26.25" customHeight="1">
      <c r="A67" s="17">
        <f t="shared" si="0"/>
        <v>64</v>
      </c>
      <c r="B67" s="18" t="s">
        <v>13</v>
      </c>
      <c r="C67" s="19" t="s">
        <v>487</v>
      </c>
      <c r="D67" s="19" t="s">
        <v>488</v>
      </c>
      <c r="E67" s="20" t="s">
        <v>489</v>
      </c>
      <c r="F67" s="21" t="s">
        <v>490</v>
      </c>
      <c r="G67" s="22" t="s">
        <v>63</v>
      </c>
      <c r="H67" s="23" t="s">
        <v>491</v>
      </c>
      <c r="I67" s="24" t="s">
        <v>20</v>
      </c>
      <c r="J67" s="1" t="s">
        <v>21</v>
      </c>
      <c r="K67" s="25">
        <v>3</v>
      </c>
      <c r="L67" s="1" t="str">
        <f t="shared" si="1"/>
        <v/>
      </c>
      <c r="M67" s="54">
        <v>15</v>
      </c>
      <c r="N67" s="27" t="s">
        <v>492</v>
      </c>
      <c r="O67" s="28" t="s">
        <v>282</v>
      </c>
      <c r="P67" s="28" t="s">
        <v>493</v>
      </c>
      <c r="Q67" s="28" t="s">
        <v>25</v>
      </c>
      <c r="R67" s="29" t="s">
        <v>401</v>
      </c>
      <c r="S67" s="1"/>
      <c r="T67" s="1"/>
    </row>
    <row r="68" spans="1:20" ht="26.25" customHeight="1">
      <c r="A68" s="17">
        <f t="shared" si="0"/>
        <v>65</v>
      </c>
      <c r="B68" s="18" t="s">
        <v>13</v>
      </c>
      <c r="C68" s="31" t="s">
        <v>494</v>
      </c>
      <c r="D68" s="19" t="s">
        <v>480</v>
      </c>
      <c r="E68" s="20" t="s">
        <v>495</v>
      </c>
      <c r="F68" s="32" t="s">
        <v>496</v>
      </c>
      <c r="G68" s="22" t="s">
        <v>53</v>
      </c>
      <c r="H68" s="23" t="s">
        <v>497</v>
      </c>
      <c r="I68" s="24" t="s">
        <v>55</v>
      </c>
      <c r="J68" s="1" t="str">
        <f>IFERROR(VLOOKUP(E68,#REF!,8,FALSE),"")</f>
        <v/>
      </c>
      <c r="K68" s="25">
        <v>3</v>
      </c>
      <c r="L68" s="1" t="str">
        <f t="shared" si="1"/>
        <v>2019 FRIC 서양</v>
      </c>
      <c r="M68" s="54">
        <v>16</v>
      </c>
      <c r="N68" s="51" t="s">
        <v>498</v>
      </c>
      <c r="O68" s="29" t="s">
        <v>499</v>
      </c>
      <c r="P68" s="29" t="s">
        <v>500</v>
      </c>
      <c r="Q68" s="29">
        <v>18</v>
      </c>
      <c r="R68" s="29" t="s">
        <v>501</v>
      </c>
      <c r="S68" s="1"/>
      <c r="T68" s="1"/>
    </row>
    <row r="69" spans="1:20" ht="26.25" customHeight="1">
      <c r="A69" s="17">
        <f t="shared" si="0"/>
        <v>66</v>
      </c>
      <c r="B69" s="18" t="s">
        <v>13</v>
      </c>
      <c r="C69" s="19" t="s">
        <v>502</v>
      </c>
      <c r="D69" s="19" t="s">
        <v>503</v>
      </c>
      <c r="E69" s="20" t="s">
        <v>504</v>
      </c>
      <c r="F69" s="21" t="s">
        <v>505</v>
      </c>
      <c r="G69" s="22" t="s">
        <v>18</v>
      </c>
      <c r="H69" s="23" t="s">
        <v>506</v>
      </c>
      <c r="I69" s="24" t="s">
        <v>20</v>
      </c>
      <c r="J69" s="1" t="s">
        <v>21</v>
      </c>
      <c r="K69" s="25">
        <v>3</v>
      </c>
      <c r="L69" s="1" t="str">
        <f t="shared" si="1"/>
        <v/>
      </c>
      <c r="M69" s="54">
        <v>17</v>
      </c>
      <c r="N69" s="51" t="s">
        <v>507</v>
      </c>
      <c r="O69" s="29" t="s">
        <v>508</v>
      </c>
      <c r="P69" s="29" t="s">
        <v>509</v>
      </c>
      <c r="Q69" s="29">
        <v>12</v>
      </c>
      <c r="R69" s="29" t="s">
        <v>501</v>
      </c>
      <c r="S69" s="1"/>
      <c r="T69" s="1"/>
    </row>
    <row r="70" spans="1:20" ht="26.25" customHeight="1">
      <c r="A70" s="17">
        <f t="shared" si="0"/>
        <v>67</v>
      </c>
      <c r="B70" s="18" t="s">
        <v>13</v>
      </c>
      <c r="C70" s="19" t="s">
        <v>510</v>
      </c>
      <c r="D70" s="19" t="s">
        <v>191</v>
      </c>
      <c r="E70" s="20" t="s">
        <v>511</v>
      </c>
      <c r="F70" s="21" t="s">
        <v>135</v>
      </c>
      <c r="G70" s="22" t="s">
        <v>18</v>
      </c>
      <c r="H70" s="23" t="s">
        <v>512</v>
      </c>
      <c r="I70" s="24" t="s">
        <v>20</v>
      </c>
      <c r="J70" s="1" t="s">
        <v>21</v>
      </c>
      <c r="K70" s="25">
        <v>3</v>
      </c>
      <c r="L70" s="1" t="str">
        <f t="shared" si="1"/>
        <v/>
      </c>
      <c r="M70" s="54">
        <v>18</v>
      </c>
      <c r="N70" s="56" t="s">
        <v>513</v>
      </c>
      <c r="O70" s="29" t="s">
        <v>514</v>
      </c>
      <c r="P70" s="29" t="s">
        <v>515</v>
      </c>
      <c r="Q70" s="57">
        <v>31</v>
      </c>
      <c r="R70" s="29" t="s">
        <v>501</v>
      </c>
      <c r="S70" s="1"/>
      <c r="T70" s="1"/>
    </row>
    <row r="71" spans="1:20" ht="26.25" customHeight="1">
      <c r="A71" s="17">
        <f t="shared" si="0"/>
        <v>68</v>
      </c>
      <c r="B71" s="18" t="s">
        <v>105</v>
      </c>
      <c r="C71" s="31" t="s">
        <v>516</v>
      </c>
      <c r="D71" s="19" t="s">
        <v>517</v>
      </c>
      <c r="E71" s="20" t="s">
        <v>518</v>
      </c>
      <c r="F71" s="32" t="s">
        <v>519</v>
      </c>
      <c r="G71" s="33" t="s">
        <v>42</v>
      </c>
      <c r="H71" s="23" t="s">
        <v>520</v>
      </c>
      <c r="I71" s="24" t="s">
        <v>55</v>
      </c>
      <c r="J71" s="1" t="str">
        <f t="shared" ref="J71:J93" si="13">IFERROR(VLOOKUP(E71,#REF!,8,FALSE),"")</f>
        <v/>
      </c>
      <c r="K71" s="1"/>
      <c r="L71" s="1" t="str">
        <f t="shared" si="1"/>
        <v/>
      </c>
      <c r="M71" s="54">
        <v>19</v>
      </c>
      <c r="N71" s="51" t="s">
        <v>521</v>
      </c>
      <c r="O71" s="29" t="s">
        <v>522</v>
      </c>
      <c r="P71" s="58" t="s">
        <v>523</v>
      </c>
      <c r="Q71" s="29">
        <v>4</v>
      </c>
      <c r="R71" s="29" t="s">
        <v>501</v>
      </c>
      <c r="S71" s="1"/>
      <c r="T71" s="1"/>
    </row>
    <row r="72" spans="1:20" ht="26.25" customHeight="1">
      <c r="A72" s="17">
        <f t="shared" si="0"/>
        <v>69</v>
      </c>
      <c r="B72" s="18" t="s">
        <v>132</v>
      </c>
      <c r="C72" s="31" t="s">
        <v>524</v>
      </c>
      <c r="D72" s="19" t="s">
        <v>525</v>
      </c>
      <c r="E72" s="20" t="s">
        <v>526</v>
      </c>
      <c r="F72" s="32" t="s">
        <v>170</v>
      </c>
      <c r="G72" s="22" t="s">
        <v>42</v>
      </c>
      <c r="H72" s="23" t="s">
        <v>527</v>
      </c>
      <c r="I72" s="24" t="s">
        <v>55</v>
      </c>
      <c r="J72" s="1" t="str">
        <f t="shared" si="13"/>
        <v/>
      </c>
      <c r="K72" s="25">
        <v>3</v>
      </c>
      <c r="L72" s="1" t="str">
        <f t="shared" si="1"/>
        <v>2020 FRIC 서양</v>
      </c>
      <c r="M72" s="54">
        <v>20</v>
      </c>
      <c r="N72" s="27" t="s">
        <v>528</v>
      </c>
      <c r="O72" s="28" t="s">
        <v>529</v>
      </c>
      <c r="P72" s="27" t="s">
        <v>530</v>
      </c>
      <c r="Q72" s="27">
        <v>12</v>
      </c>
      <c r="R72" s="50" t="s">
        <v>531</v>
      </c>
      <c r="S72" s="1"/>
      <c r="T72" s="1"/>
    </row>
    <row r="73" spans="1:20" ht="26.25" customHeight="1">
      <c r="A73" s="17">
        <f t="shared" si="0"/>
        <v>70</v>
      </c>
      <c r="B73" s="18" t="s">
        <v>13</v>
      </c>
      <c r="C73" s="33" t="s">
        <v>532</v>
      </c>
      <c r="D73" s="42" t="s">
        <v>533</v>
      </c>
      <c r="E73" s="43" t="s">
        <v>534</v>
      </c>
      <c r="F73" s="44">
        <v>2019</v>
      </c>
      <c r="G73" s="22" t="s">
        <v>53</v>
      </c>
      <c r="H73" s="59" t="s">
        <v>535</v>
      </c>
      <c r="I73" s="24" t="s">
        <v>55</v>
      </c>
      <c r="J73" s="1" t="str">
        <f t="shared" si="13"/>
        <v/>
      </c>
      <c r="K73" s="25">
        <v>3</v>
      </c>
      <c r="L73" s="1" t="str">
        <f t="shared" si="1"/>
        <v>2020 FRIC 서양</v>
      </c>
      <c r="M73" s="54">
        <v>21</v>
      </c>
      <c r="N73" s="27" t="s">
        <v>536</v>
      </c>
      <c r="O73" s="28" t="s">
        <v>537</v>
      </c>
      <c r="P73" s="28" t="s">
        <v>538</v>
      </c>
      <c r="Q73" s="60">
        <v>6</v>
      </c>
      <c r="R73" s="50" t="s">
        <v>531</v>
      </c>
      <c r="S73" s="1"/>
      <c r="T73" s="1"/>
    </row>
    <row r="74" spans="1:20" ht="26.25" customHeight="1">
      <c r="A74" s="17">
        <f t="shared" si="0"/>
        <v>71</v>
      </c>
      <c r="B74" s="18" t="s">
        <v>175</v>
      </c>
      <c r="C74" s="31" t="s">
        <v>539</v>
      </c>
      <c r="D74" s="19" t="s">
        <v>540</v>
      </c>
      <c r="E74" s="20" t="s">
        <v>541</v>
      </c>
      <c r="F74" s="32" t="s">
        <v>542</v>
      </c>
      <c r="G74" s="33" t="s">
        <v>42</v>
      </c>
      <c r="H74" s="23" t="s">
        <v>543</v>
      </c>
      <c r="I74" s="24" t="s">
        <v>55</v>
      </c>
      <c r="J74" s="1" t="str">
        <f t="shared" si="13"/>
        <v/>
      </c>
      <c r="K74" s="1"/>
      <c r="L74" s="1" t="str">
        <f t="shared" si="1"/>
        <v/>
      </c>
      <c r="M74" s="54">
        <v>22</v>
      </c>
      <c r="N74" s="27" t="s">
        <v>544</v>
      </c>
      <c r="O74" s="28" t="s">
        <v>545</v>
      </c>
      <c r="P74" s="28" t="s">
        <v>546</v>
      </c>
      <c r="Q74" s="28">
        <v>12</v>
      </c>
      <c r="R74" s="50" t="s">
        <v>531</v>
      </c>
      <c r="S74" s="1"/>
      <c r="T74" s="1"/>
    </row>
    <row r="75" spans="1:20" ht="26.25" customHeight="1">
      <c r="A75" s="17">
        <f t="shared" si="0"/>
        <v>72</v>
      </c>
      <c r="B75" s="18" t="s">
        <v>81</v>
      </c>
      <c r="C75" s="31" t="s">
        <v>547</v>
      </c>
      <c r="D75" s="19" t="s">
        <v>191</v>
      </c>
      <c r="E75" s="20" t="s">
        <v>548</v>
      </c>
      <c r="F75" s="32" t="s">
        <v>222</v>
      </c>
      <c r="G75" s="33" t="s">
        <v>42</v>
      </c>
      <c r="H75" s="23" t="s">
        <v>549</v>
      </c>
      <c r="I75" s="24" t="s">
        <v>55</v>
      </c>
      <c r="J75" s="1" t="str">
        <f t="shared" si="13"/>
        <v/>
      </c>
      <c r="K75" s="1"/>
      <c r="L75" s="1" t="str">
        <f t="shared" si="1"/>
        <v/>
      </c>
      <c r="M75" s="54">
        <v>23</v>
      </c>
      <c r="N75" s="27" t="s">
        <v>550</v>
      </c>
      <c r="O75" s="28" t="s">
        <v>545</v>
      </c>
      <c r="P75" s="28" t="s">
        <v>551</v>
      </c>
      <c r="Q75" s="28">
        <v>12</v>
      </c>
      <c r="R75" s="50" t="s">
        <v>531</v>
      </c>
      <c r="S75" s="1"/>
      <c r="T75" s="1"/>
    </row>
    <row r="76" spans="1:20" ht="26.25" customHeight="1">
      <c r="A76" s="17">
        <f t="shared" si="0"/>
        <v>73</v>
      </c>
      <c r="B76" s="18" t="s">
        <v>248</v>
      </c>
      <c r="C76" s="31" t="s">
        <v>552</v>
      </c>
      <c r="D76" s="19" t="s">
        <v>553</v>
      </c>
      <c r="E76" s="20" t="s">
        <v>554</v>
      </c>
      <c r="F76" s="32" t="s">
        <v>555</v>
      </c>
      <c r="G76" s="33" t="s">
        <v>53</v>
      </c>
      <c r="H76" s="23" t="s">
        <v>556</v>
      </c>
      <c r="I76" s="24" t="s">
        <v>55</v>
      </c>
      <c r="J76" s="1" t="str">
        <f t="shared" si="13"/>
        <v/>
      </c>
      <c r="K76" s="25">
        <v>3</v>
      </c>
      <c r="L76" s="1" t="str">
        <f t="shared" si="1"/>
        <v>2020 FRIC 서양</v>
      </c>
      <c r="M76" s="54">
        <v>24</v>
      </c>
      <c r="N76" s="27" t="s">
        <v>557</v>
      </c>
      <c r="O76" s="28" t="s">
        <v>558</v>
      </c>
      <c r="P76" s="28" t="s">
        <v>559</v>
      </c>
      <c r="Q76" s="28">
        <v>14</v>
      </c>
      <c r="R76" s="30" t="s">
        <v>560</v>
      </c>
      <c r="S76" s="1"/>
      <c r="T76" s="1"/>
    </row>
    <row r="77" spans="1:20" ht="26.25" customHeight="1">
      <c r="A77" s="17">
        <f t="shared" si="0"/>
        <v>74</v>
      </c>
      <c r="B77" s="18" t="s">
        <v>13</v>
      </c>
      <c r="C77" s="31" t="s">
        <v>561</v>
      </c>
      <c r="D77" s="19" t="s">
        <v>562</v>
      </c>
      <c r="E77" s="20" t="s">
        <v>563</v>
      </c>
      <c r="F77" s="32" t="s">
        <v>564</v>
      </c>
      <c r="G77" s="22" t="s">
        <v>42</v>
      </c>
      <c r="H77" s="23" t="s">
        <v>565</v>
      </c>
      <c r="I77" s="24" t="s">
        <v>55</v>
      </c>
      <c r="J77" s="1" t="str">
        <f t="shared" si="13"/>
        <v/>
      </c>
      <c r="K77" s="1"/>
      <c r="L77" s="1" t="str">
        <f t="shared" si="1"/>
        <v/>
      </c>
      <c r="M77" s="54">
        <v>25</v>
      </c>
      <c r="N77" s="27" t="s">
        <v>566</v>
      </c>
      <c r="O77" s="28" t="s">
        <v>567</v>
      </c>
      <c r="P77" s="28" t="s">
        <v>568</v>
      </c>
      <c r="Q77" s="28">
        <v>6</v>
      </c>
      <c r="R77" s="30" t="s">
        <v>560</v>
      </c>
      <c r="S77" s="1"/>
      <c r="T77" s="1"/>
    </row>
    <row r="78" spans="1:20" ht="26.25" customHeight="1">
      <c r="A78" s="17">
        <f t="shared" si="0"/>
        <v>75</v>
      </c>
      <c r="B78" s="18" t="s">
        <v>132</v>
      </c>
      <c r="C78" s="31" t="s">
        <v>569</v>
      </c>
      <c r="D78" s="19" t="s">
        <v>271</v>
      </c>
      <c r="E78" s="20" t="s">
        <v>570</v>
      </c>
      <c r="F78" s="32">
        <v>2010</v>
      </c>
      <c r="G78" s="22" t="s">
        <v>42</v>
      </c>
      <c r="H78" s="23" t="s">
        <v>571</v>
      </c>
      <c r="I78" s="24" t="s">
        <v>55</v>
      </c>
      <c r="J78" s="1" t="str">
        <f t="shared" si="13"/>
        <v/>
      </c>
      <c r="K78" s="1"/>
      <c r="L78" s="1" t="str">
        <f t="shared" si="1"/>
        <v/>
      </c>
      <c r="M78" s="54">
        <v>26</v>
      </c>
      <c r="N78" s="27" t="s">
        <v>572</v>
      </c>
      <c r="O78" s="28" t="s">
        <v>57</v>
      </c>
      <c r="P78" s="28" t="s">
        <v>573</v>
      </c>
      <c r="Q78" s="28">
        <v>6</v>
      </c>
      <c r="R78" s="30" t="s">
        <v>560</v>
      </c>
      <c r="S78" s="1"/>
      <c r="T78" s="1"/>
    </row>
    <row r="79" spans="1:20" ht="26.25" customHeight="1">
      <c r="A79" s="17">
        <f t="shared" si="0"/>
        <v>76</v>
      </c>
      <c r="B79" s="18" t="s">
        <v>105</v>
      </c>
      <c r="C79" s="31" t="s">
        <v>574</v>
      </c>
      <c r="D79" s="19" t="s">
        <v>575</v>
      </c>
      <c r="E79" s="20" t="s">
        <v>576</v>
      </c>
      <c r="F79" s="32" t="s">
        <v>519</v>
      </c>
      <c r="G79" s="33" t="s">
        <v>42</v>
      </c>
      <c r="H79" s="23" t="s">
        <v>577</v>
      </c>
      <c r="I79" s="24" t="s">
        <v>55</v>
      </c>
      <c r="J79" s="1" t="str">
        <f t="shared" si="13"/>
        <v/>
      </c>
      <c r="K79" s="1"/>
      <c r="L79" s="1" t="str">
        <f t="shared" si="1"/>
        <v/>
      </c>
      <c r="M79" s="54">
        <v>27</v>
      </c>
      <c r="N79" s="27" t="s">
        <v>578</v>
      </c>
      <c r="O79" s="28" t="s">
        <v>579</v>
      </c>
      <c r="P79" s="28" t="s">
        <v>580</v>
      </c>
      <c r="Q79" s="28">
        <v>6</v>
      </c>
      <c r="R79" s="30" t="s">
        <v>560</v>
      </c>
      <c r="S79" s="1"/>
      <c r="T79" s="1"/>
    </row>
    <row r="80" spans="1:20" ht="26.25" customHeight="1">
      <c r="A80" s="17">
        <f t="shared" si="0"/>
        <v>77</v>
      </c>
      <c r="B80" s="18" t="s">
        <v>27</v>
      </c>
      <c r="C80" s="31" t="s">
        <v>581</v>
      </c>
      <c r="D80" s="19" t="s">
        <v>582</v>
      </c>
      <c r="E80" s="20" t="s">
        <v>583</v>
      </c>
      <c r="F80" s="32" t="s">
        <v>416</v>
      </c>
      <c r="G80" s="22" t="s">
        <v>42</v>
      </c>
      <c r="H80" s="23" t="s">
        <v>584</v>
      </c>
      <c r="I80" s="24" t="s">
        <v>55</v>
      </c>
      <c r="J80" s="1" t="str">
        <f t="shared" si="13"/>
        <v/>
      </c>
      <c r="K80" s="1"/>
      <c r="L80" s="1" t="str">
        <f t="shared" si="1"/>
        <v/>
      </c>
      <c r="M80" s="54">
        <v>28</v>
      </c>
      <c r="N80" s="27" t="s">
        <v>585</v>
      </c>
      <c r="O80" s="28" t="s">
        <v>218</v>
      </c>
      <c r="P80" s="28" t="s">
        <v>586</v>
      </c>
      <c r="Q80" s="28">
        <v>12</v>
      </c>
      <c r="R80" s="30" t="s">
        <v>560</v>
      </c>
      <c r="S80" s="1"/>
      <c r="T80" s="1"/>
    </row>
    <row r="81" spans="1:20" ht="26.25" customHeight="1">
      <c r="A81" s="17">
        <f t="shared" si="0"/>
        <v>78</v>
      </c>
      <c r="B81" s="18" t="s">
        <v>27</v>
      </c>
      <c r="C81" s="31" t="s">
        <v>587</v>
      </c>
      <c r="D81" s="19" t="s">
        <v>588</v>
      </c>
      <c r="E81" s="20" t="s">
        <v>589</v>
      </c>
      <c r="F81" s="32" t="s">
        <v>416</v>
      </c>
      <c r="G81" s="22" t="s">
        <v>31</v>
      </c>
      <c r="H81" s="23" t="s">
        <v>590</v>
      </c>
      <c r="I81" s="24" t="s">
        <v>55</v>
      </c>
      <c r="J81" s="1" t="str">
        <f t="shared" si="13"/>
        <v/>
      </c>
      <c r="K81" s="1"/>
      <c r="L81" s="1" t="str">
        <f t="shared" si="1"/>
        <v/>
      </c>
      <c r="M81" s="54">
        <v>29</v>
      </c>
      <c r="N81" s="27" t="s">
        <v>591</v>
      </c>
      <c r="O81" s="28" t="s">
        <v>218</v>
      </c>
      <c r="P81" s="28" t="s">
        <v>592</v>
      </c>
      <c r="Q81" s="28">
        <v>6</v>
      </c>
      <c r="R81" s="30" t="s">
        <v>560</v>
      </c>
      <c r="S81" s="1"/>
      <c r="T81" s="1"/>
    </row>
    <row r="82" spans="1:20" ht="26.25" customHeight="1">
      <c r="A82" s="17">
        <f t="shared" si="0"/>
        <v>79</v>
      </c>
      <c r="B82" s="18" t="s">
        <v>105</v>
      </c>
      <c r="C82" s="31" t="s">
        <v>593</v>
      </c>
      <c r="D82" s="19" t="s">
        <v>594</v>
      </c>
      <c r="E82" s="20" t="s">
        <v>595</v>
      </c>
      <c r="F82" s="32" t="s">
        <v>596</v>
      </c>
      <c r="G82" s="33" t="s">
        <v>31</v>
      </c>
      <c r="H82" s="23" t="s">
        <v>597</v>
      </c>
      <c r="I82" s="24" t="s">
        <v>55</v>
      </c>
      <c r="J82" s="1" t="str">
        <f t="shared" si="13"/>
        <v/>
      </c>
      <c r="K82" s="1"/>
      <c r="L82" s="1" t="str">
        <f t="shared" si="1"/>
        <v/>
      </c>
      <c r="M82" s="54">
        <v>30</v>
      </c>
      <c r="N82" s="27" t="s">
        <v>598</v>
      </c>
      <c r="O82" s="28" t="s">
        <v>218</v>
      </c>
      <c r="P82" s="28" t="s">
        <v>599</v>
      </c>
      <c r="Q82" s="28">
        <v>6</v>
      </c>
      <c r="R82" s="30" t="s">
        <v>560</v>
      </c>
      <c r="S82" s="1"/>
      <c r="T82" s="1"/>
    </row>
    <row r="83" spans="1:20" ht="26.25" customHeight="1">
      <c r="A83" s="17">
        <f t="shared" si="0"/>
        <v>80</v>
      </c>
      <c r="B83" s="18" t="s">
        <v>132</v>
      </c>
      <c r="C83" s="31" t="s">
        <v>600</v>
      </c>
      <c r="D83" s="19" t="s">
        <v>601</v>
      </c>
      <c r="E83" s="20" t="s">
        <v>602</v>
      </c>
      <c r="F83" s="32" t="s">
        <v>603</v>
      </c>
      <c r="G83" s="22" t="s">
        <v>53</v>
      </c>
      <c r="H83" s="23" t="s">
        <v>604</v>
      </c>
      <c r="I83" s="24" t="s">
        <v>55</v>
      </c>
      <c r="J83" s="1" t="str">
        <f t="shared" si="13"/>
        <v/>
      </c>
      <c r="K83" s="25">
        <v>3</v>
      </c>
      <c r="L83" s="1" t="str">
        <f t="shared" si="1"/>
        <v>2019 FRIC 서양</v>
      </c>
      <c r="M83" s="54">
        <v>31</v>
      </c>
      <c r="N83" s="27" t="s">
        <v>605</v>
      </c>
      <c r="O83" s="28" t="s">
        <v>218</v>
      </c>
      <c r="P83" s="28" t="s">
        <v>606</v>
      </c>
      <c r="Q83" s="28">
        <v>4</v>
      </c>
      <c r="R83" s="30" t="s">
        <v>560</v>
      </c>
      <c r="S83" s="1"/>
      <c r="T83" s="1"/>
    </row>
    <row r="84" spans="1:20" ht="26.25" customHeight="1">
      <c r="A84" s="17">
        <f t="shared" si="0"/>
        <v>81</v>
      </c>
      <c r="B84" s="18" t="s">
        <v>132</v>
      </c>
      <c r="C84" s="31" t="s">
        <v>513</v>
      </c>
      <c r="D84" s="19" t="s">
        <v>607</v>
      </c>
      <c r="E84" s="20" t="s">
        <v>515</v>
      </c>
      <c r="F84" s="32" t="s">
        <v>496</v>
      </c>
      <c r="G84" s="22" t="s">
        <v>53</v>
      </c>
      <c r="H84" s="23" t="s">
        <v>608</v>
      </c>
      <c r="I84" s="24" t="s">
        <v>55</v>
      </c>
      <c r="J84" s="1" t="str">
        <f t="shared" si="13"/>
        <v/>
      </c>
      <c r="K84" s="25">
        <v>4</v>
      </c>
      <c r="L84" s="1" t="str">
        <f t="shared" si="1"/>
        <v>2019 과기 서양</v>
      </c>
      <c r="M84" s="54">
        <v>32</v>
      </c>
      <c r="N84" s="27" t="s">
        <v>609</v>
      </c>
      <c r="O84" s="28" t="s">
        <v>199</v>
      </c>
      <c r="P84" s="28" t="s">
        <v>610</v>
      </c>
      <c r="Q84" s="28">
        <v>4</v>
      </c>
      <c r="R84" s="30" t="s">
        <v>560</v>
      </c>
      <c r="S84" s="1"/>
      <c r="T84" s="1"/>
    </row>
    <row r="85" spans="1:20" ht="26.25" customHeight="1">
      <c r="A85" s="17">
        <f t="shared" si="0"/>
        <v>82</v>
      </c>
      <c r="B85" s="18" t="s">
        <v>132</v>
      </c>
      <c r="C85" s="31" t="s">
        <v>611</v>
      </c>
      <c r="D85" s="19" t="s">
        <v>612</v>
      </c>
      <c r="E85" s="20" t="s">
        <v>613</v>
      </c>
      <c r="F85" s="32" t="s">
        <v>614</v>
      </c>
      <c r="G85" s="22" t="s">
        <v>53</v>
      </c>
      <c r="H85" s="23" t="s">
        <v>615</v>
      </c>
      <c r="I85" s="24" t="s">
        <v>55</v>
      </c>
      <c r="J85" s="1" t="str">
        <f t="shared" si="13"/>
        <v/>
      </c>
      <c r="K85" s="25">
        <v>3</v>
      </c>
      <c r="L85" s="1" t="str">
        <f t="shared" si="1"/>
        <v>2019 FRIC 서양</v>
      </c>
      <c r="M85" s="54">
        <v>33</v>
      </c>
      <c r="N85" s="27" t="s">
        <v>494</v>
      </c>
      <c r="O85" s="28" t="s">
        <v>616</v>
      </c>
      <c r="P85" s="28" t="s">
        <v>495</v>
      </c>
      <c r="Q85" s="28">
        <v>6</v>
      </c>
      <c r="R85" s="30" t="s">
        <v>560</v>
      </c>
      <c r="S85" s="1"/>
      <c r="T85" s="1"/>
    </row>
    <row r="86" spans="1:20" ht="26.25" customHeight="1">
      <c r="A86" s="17">
        <f t="shared" si="0"/>
        <v>83</v>
      </c>
      <c r="B86" s="18" t="s">
        <v>132</v>
      </c>
      <c r="C86" s="31" t="s">
        <v>617</v>
      </c>
      <c r="D86" s="19" t="s">
        <v>618</v>
      </c>
      <c r="E86" s="20" t="s">
        <v>619</v>
      </c>
      <c r="F86" s="32" t="s">
        <v>170</v>
      </c>
      <c r="G86" s="22" t="s">
        <v>53</v>
      </c>
      <c r="H86" s="23" t="s">
        <v>620</v>
      </c>
      <c r="I86" s="24" t="s">
        <v>55</v>
      </c>
      <c r="J86" s="1" t="str">
        <f t="shared" si="13"/>
        <v/>
      </c>
      <c r="K86" s="25">
        <v>3</v>
      </c>
      <c r="L86" s="1" t="str">
        <f t="shared" si="1"/>
        <v>2020 FRIC 서양</v>
      </c>
      <c r="M86" s="54">
        <v>34</v>
      </c>
      <c r="N86" s="27" t="s">
        <v>621</v>
      </c>
      <c r="O86" s="28" t="s">
        <v>622</v>
      </c>
      <c r="P86" s="58" t="s">
        <v>623</v>
      </c>
      <c r="Q86" s="28">
        <v>12</v>
      </c>
      <c r="R86" s="30" t="s">
        <v>560</v>
      </c>
      <c r="S86" s="1"/>
      <c r="T86" s="1"/>
    </row>
    <row r="87" spans="1:20" ht="26.25" customHeight="1">
      <c r="A87" s="17">
        <f t="shared" si="0"/>
        <v>84</v>
      </c>
      <c r="B87" s="18" t="s">
        <v>132</v>
      </c>
      <c r="C87" s="31" t="s">
        <v>624</v>
      </c>
      <c r="D87" s="19" t="s">
        <v>625</v>
      </c>
      <c r="E87" s="20" t="s">
        <v>626</v>
      </c>
      <c r="F87" s="32" t="s">
        <v>222</v>
      </c>
      <c r="G87" s="22" t="s">
        <v>53</v>
      </c>
      <c r="H87" s="23" t="s">
        <v>627</v>
      </c>
      <c r="I87" s="24" t="s">
        <v>55</v>
      </c>
      <c r="J87" s="1" t="str">
        <f t="shared" si="13"/>
        <v/>
      </c>
      <c r="K87" s="1"/>
      <c r="L87" s="1" t="str">
        <f t="shared" si="1"/>
        <v/>
      </c>
      <c r="M87" s="54">
        <v>35</v>
      </c>
      <c r="N87" s="27" t="s">
        <v>628</v>
      </c>
      <c r="O87" s="28" t="s">
        <v>629</v>
      </c>
      <c r="P87" s="28" t="s">
        <v>630</v>
      </c>
      <c r="Q87" s="28">
        <v>4</v>
      </c>
      <c r="R87" s="30" t="s">
        <v>560</v>
      </c>
      <c r="S87" s="1"/>
      <c r="T87" s="1"/>
    </row>
    <row r="88" spans="1:20" ht="26.25" customHeight="1">
      <c r="A88" s="17">
        <f t="shared" si="0"/>
        <v>85</v>
      </c>
      <c r="B88" s="18" t="s">
        <v>132</v>
      </c>
      <c r="C88" s="31" t="s">
        <v>631</v>
      </c>
      <c r="D88" s="19" t="s">
        <v>632</v>
      </c>
      <c r="E88" s="20" t="s">
        <v>633</v>
      </c>
      <c r="F88" s="32" t="s">
        <v>170</v>
      </c>
      <c r="G88" s="22" t="s">
        <v>53</v>
      </c>
      <c r="H88" s="23" t="s">
        <v>634</v>
      </c>
      <c r="I88" s="24" t="s">
        <v>55</v>
      </c>
      <c r="J88" s="1" t="str">
        <f t="shared" si="13"/>
        <v/>
      </c>
      <c r="K88" s="25">
        <v>3</v>
      </c>
      <c r="L88" s="1" t="str">
        <f t="shared" si="1"/>
        <v>2020 FRIC 서양</v>
      </c>
      <c r="M88" s="54">
        <v>36</v>
      </c>
      <c r="N88" s="27" t="s">
        <v>635</v>
      </c>
      <c r="O88" s="28" t="s">
        <v>636</v>
      </c>
      <c r="P88" s="28" t="s">
        <v>602</v>
      </c>
      <c r="Q88" s="28">
        <v>6</v>
      </c>
      <c r="R88" s="30" t="s">
        <v>560</v>
      </c>
      <c r="S88" s="1"/>
      <c r="T88" s="1"/>
    </row>
    <row r="89" spans="1:20" ht="26.25" customHeight="1">
      <c r="A89" s="17">
        <f t="shared" si="0"/>
        <v>86</v>
      </c>
      <c r="B89" s="18" t="s">
        <v>13</v>
      </c>
      <c r="C89" s="31" t="s">
        <v>637</v>
      </c>
      <c r="D89" s="19" t="s">
        <v>638</v>
      </c>
      <c r="E89" s="20" t="s">
        <v>639</v>
      </c>
      <c r="F89" s="32">
        <v>2019</v>
      </c>
      <c r="G89" s="22" t="s">
        <v>53</v>
      </c>
      <c r="H89" s="23" t="s">
        <v>640</v>
      </c>
      <c r="I89" s="24" t="s">
        <v>55</v>
      </c>
      <c r="J89" s="1" t="str">
        <f t="shared" si="13"/>
        <v/>
      </c>
      <c r="K89" s="25">
        <v>3</v>
      </c>
      <c r="L89" s="1" t="str">
        <f t="shared" si="1"/>
        <v>2020 FRIC 서양</v>
      </c>
      <c r="M89" s="54">
        <v>37</v>
      </c>
      <c r="N89" s="27" t="s">
        <v>611</v>
      </c>
      <c r="O89" s="28" t="s">
        <v>641</v>
      </c>
      <c r="P89" s="28" t="s">
        <v>613</v>
      </c>
      <c r="Q89" s="28">
        <v>12</v>
      </c>
      <c r="R89" s="30" t="s">
        <v>560</v>
      </c>
      <c r="S89" s="1"/>
      <c r="T89" s="1"/>
    </row>
    <row r="90" spans="1:20" ht="26.25" customHeight="1">
      <c r="A90" s="17">
        <f t="shared" si="0"/>
        <v>87</v>
      </c>
      <c r="B90" s="18" t="s">
        <v>642</v>
      </c>
      <c r="C90" s="31" t="s">
        <v>643</v>
      </c>
      <c r="D90" s="19" t="s">
        <v>643</v>
      </c>
      <c r="E90" s="20" t="s">
        <v>644</v>
      </c>
      <c r="F90" s="32" t="s">
        <v>603</v>
      </c>
      <c r="G90" s="33" t="s">
        <v>53</v>
      </c>
      <c r="H90" s="23" t="s">
        <v>645</v>
      </c>
      <c r="I90" s="24" t="s">
        <v>55</v>
      </c>
      <c r="J90" s="1" t="str">
        <f t="shared" si="13"/>
        <v/>
      </c>
      <c r="K90" s="25">
        <v>3</v>
      </c>
      <c r="L90" s="1" t="str">
        <f t="shared" si="1"/>
        <v>2019 FRIC 서양</v>
      </c>
      <c r="M90" s="54">
        <v>38</v>
      </c>
      <c r="N90" s="27" t="s">
        <v>646</v>
      </c>
      <c r="O90" s="28" t="s">
        <v>647</v>
      </c>
      <c r="P90" s="28" t="s">
        <v>648</v>
      </c>
      <c r="Q90" s="28">
        <v>12</v>
      </c>
      <c r="R90" s="30" t="s">
        <v>560</v>
      </c>
      <c r="S90" s="1"/>
      <c r="T90" s="1"/>
    </row>
    <row r="91" spans="1:20" ht="26.25" customHeight="1">
      <c r="A91" s="17">
        <f t="shared" si="0"/>
        <v>88</v>
      </c>
      <c r="B91" s="18" t="s">
        <v>13</v>
      </c>
      <c r="C91" s="31" t="s">
        <v>649</v>
      </c>
      <c r="D91" s="19" t="s">
        <v>650</v>
      </c>
      <c r="E91" s="20" t="s">
        <v>651</v>
      </c>
      <c r="F91" s="32" t="s">
        <v>170</v>
      </c>
      <c r="G91" s="22" t="s">
        <v>63</v>
      </c>
      <c r="H91" s="23" t="s">
        <v>652</v>
      </c>
      <c r="I91" s="24" t="s">
        <v>55</v>
      </c>
      <c r="J91" s="1" t="str">
        <f t="shared" si="13"/>
        <v/>
      </c>
      <c r="K91" s="25">
        <v>3</v>
      </c>
      <c r="L91" s="1" t="str">
        <f t="shared" si="1"/>
        <v>2020 FRIC 서양</v>
      </c>
      <c r="M91" s="54">
        <v>39</v>
      </c>
      <c r="N91" s="27" t="s">
        <v>653</v>
      </c>
      <c r="O91" s="28" t="s">
        <v>654</v>
      </c>
      <c r="P91" s="28" t="s">
        <v>655</v>
      </c>
      <c r="Q91" s="28">
        <v>12</v>
      </c>
      <c r="R91" s="30" t="s">
        <v>560</v>
      </c>
      <c r="S91" s="1"/>
      <c r="T91" s="1"/>
    </row>
    <row r="92" spans="1:20" ht="26.25" customHeight="1">
      <c r="A92" s="17">
        <f t="shared" si="0"/>
        <v>89</v>
      </c>
      <c r="B92" s="18" t="s">
        <v>27</v>
      </c>
      <c r="C92" s="31" t="s">
        <v>656</v>
      </c>
      <c r="D92" s="19" t="s">
        <v>657</v>
      </c>
      <c r="E92" s="20" t="s">
        <v>658</v>
      </c>
      <c r="F92" s="32" t="s">
        <v>659</v>
      </c>
      <c r="G92" s="22" t="s">
        <v>42</v>
      </c>
      <c r="H92" s="23" t="s">
        <v>660</v>
      </c>
      <c r="I92" s="24" t="s">
        <v>55</v>
      </c>
      <c r="J92" s="1" t="str">
        <f t="shared" si="13"/>
        <v/>
      </c>
      <c r="K92" s="1"/>
      <c r="L92" s="1" t="str">
        <f t="shared" si="1"/>
        <v/>
      </c>
      <c r="M92" s="54">
        <v>40</v>
      </c>
      <c r="N92" s="27" t="s">
        <v>661</v>
      </c>
      <c r="O92" s="28" t="s">
        <v>662</v>
      </c>
      <c r="P92" s="28" t="s">
        <v>663</v>
      </c>
      <c r="Q92" s="28">
        <v>6</v>
      </c>
      <c r="R92" s="30" t="s">
        <v>560</v>
      </c>
      <c r="S92" s="1"/>
      <c r="T92" s="1"/>
    </row>
    <row r="93" spans="1:20" ht="26.25" customHeight="1">
      <c r="A93" s="17">
        <f t="shared" si="0"/>
        <v>90</v>
      </c>
      <c r="B93" s="18" t="s">
        <v>27</v>
      </c>
      <c r="C93" s="31" t="s">
        <v>664</v>
      </c>
      <c r="D93" s="19" t="s">
        <v>665</v>
      </c>
      <c r="E93" s="20" t="s">
        <v>666</v>
      </c>
      <c r="F93" s="32" t="s">
        <v>667</v>
      </c>
      <c r="G93" s="22" t="s">
        <v>42</v>
      </c>
      <c r="H93" s="23" t="s">
        <v>668</v>
      </c>
      <c r="I93" s="24" t="s">
        <v>55</v>
      </c>
      <c r="J93" s="1" t="str">
        <f t="shared" si="13"/>
        <v/>
      </c>
      <c r="K93" s="1"/>
      <c r="L93" s="1" t="str">
        <f t="shared" si="1"/>
        <v/>
      </c>
      <c r="M93" s="54">
        <v>41</v>
      </c>
      <c r="N93" s="27" t="s">
        <v>669</v>
      </c>
      <c r="O93" s="28" t="s">
        <v>670</v>
      </c>
      <c r="P93" s="28" t="s">
        <v>671</v>
      </c>
      <c r="Q93" s="28">
        <v>13</v>
      </c>
      <c r="R93" s="30" t="s">
        <v>560</v>
      </c>
      <c r="S93" s="1"/>
      <c r="T93" s="1"/>
    </row>
    <row r="94" spans="1:20" ht="26.25" customHeight="1">
      <c r="A94" s="17">
        <f t="shared" si="0"/>
        <v>91</v>
      </c>
      <c r="B94" s="18" t="s">
        <v>27</v>
      </c>
      <c r="C94" s="31" t="s">
        <v>672</v>
      </c>
      <c r="D94" s="19" t="s">
        <v>673</v>
      </c>
      <c r="E94" s="20" t="s">
        <v>674</v>
      </c>
      <c r="F94" s="21" t="s">
        <v>675</v>
      </c>
      <c r="G94" s="22" t="s">
        <v>42</v>
      </c>
      <c r="H94" s="23" t="s">
        <v>676</v>
      </c>
      <c r="I94" s="34" t="s">
        <v>20</v>
      </c>
      <c r="J94" s="1" t="s">
        <v>87</v>
      </c>
      <c r="K94" s="25">
        <v>4</v>
      </c>
      <c r="L94" s="1" t="str">
        <f t="shared" si="1"/>
        <v/>
      </c>
      <c r="M94" s="55">
        <v>42</v>
      </c>
      <c r="N94" s="36" t="s">
        <v>677</v>
      </c>
      <c r="O94" s="37" t="s">
        <v>678</v>
      </c>
      <c r="P94" s="37" t="s">
        <v>644</v>
      </c>
      <c r="Q94" s="37">
        <v>12</v>
      </c>
      <c r="R94" s="38" t="s">
        <v>560</v>
      </c>
      <c r="S94" s="25"/>
      <c r="T94" s="25"/>
    </row>
    <row r="95" spans="1:20" ht="26.25" customHeight="1">
      <c r="A95" s="17">
        <f t="shared" si="0"/>
        <v>92</v>
      </c>
      <c r="B95" s="18" t="s">
        <v>175</v>
      </c>
      <c r="C95" s="31" t="s">
        <v>679</v>
      </c>
      <c r="D95" s="19" t="s">
        <v>374</v>
      </c>
      <c r="E95" s="20" t="s">
        <v>680</v>
      </c>
      <c r="F95" s="32" t="s">
        <v>681</v>
      </c>
      <c r="G95" s="33" t="s">
        <v>42</v>
      </c>
      <c r="H95" s="23" t="s">
        <v>682</v>
      </c>
      <c r="I95" s="24" t="s">
        <v>55</v>
      </c>
      <c r="J95" s="1" t="str">
        <f t="shared" ref="J95:J103" si="14">IFERROR(VLOOKUP(E95,#REF!,8,FALSE),"")</f>
        <v/>
      </c>
      <c r="K95" s="1"/>
      <c r="L95" s="1" t="str">
        <f t="shared" si="1"/>
        <v/>
      </c>
      <c r="M95" s="54">
        <v>43</v>
      </c>
      <c r="N95" s="27" t="s">
        <v>683</v>
      </c>
      <c r="O95" s="28" t="s">
        <v>558</v>
      </c>
      <c r="P95" s="28" t="s">
        <v>684</v>
      </c>
      <c r="Q95" s="28">
        <v>12</v>
      </c>
      <c r="R95" s="30" t="s">
        <v>560</v>
      </c>
      <c r="S95" s="1"/>
      <c r="T95" s="1"/>
    </row>
    <row r="96" spans="1:20" ht="26.25" customHeight="1">
      <c r="A96" s="17">
        <f t="shared" si="0"/>
        <v>93</v>
      </c>
      <c r="B96" s="18" t="s">
        <v>175</v>
      </c>
      <c r="C96" s="31" t="s">
        <v>685</v>
      </c>
      <c r="D96" s="19" t="s">
        <v>277</v>
      </c>
      <c r="E96" s="20" t="s">
        <v>686</v>
      </c>
      <c r="F96" s="32" t="s">
        <v>687</v>
      </c>
      <c r="G96" s="33" t="s">
        <v>63</v>
      </c>
      <c r="H96" s="23" t="s">
        <v>688</v>
      </c>
      <c r="I96" s="24" t="s">
        <v>55</v>
      </c>
      <c r="J96" s="1" t="str">
        <f t="shared" si="14"/>
        <v/>
      </c>
      <c r="K96" s="1"/>
      <c r="L96" s="1" t="str">
        <f t="shared" si="1"/>
        <v/>
      </c>
      <c r="M96" s="54">
        <v>44</v>
      </c>
      <c r="N96" s="27" t="s">
        <v>689</v>
      </c>
      <c r="O96" s="28" t="s">
        <v>255</v>
      </c>
      <c r="P96" s="28" t="s">
        <v>690</v>
      </c>
      <c r="Q96" s="28">
        <v>6</v>
      </c>
      <c r="R96" s="30" t="s">
        <v>560</v>
      </c>
      <c r="S96" s="1"/>
      <c r="T96" s="1"/>
    </row>
    <row r="97" spans="1:20" ht="26.25" customHeight="1">
      <c r="A97" s="17">
        <f t="shared" si="0"/>
        <v>94</v>
      </c>
      <c r="B97" s="18" t="s">
        <v>175</v>
      </c>
      <c r="C97" s="31" t="s">
        <v>691</v>
      </c>
      <c r="D97" s="19" t="s">
        <v>692</v>
      </c>
      <c r="E97" s="20" t="s">
        <v>66</v>
      </c>
      <c r="F97" s="32" t="s">
        <v>693</v>
      </c>
      <c r="G97" s="33" t="s">
        <v>42</v>
      </c>
      <c r="H97" s="23" t="s">
        <v>694</v>
      </c>
      <c r="I97" s="24" t="s">
        <v>55</v>
      </c>
      <c r="J97" s="1" t="str">
        <f t="shared" si="14"/>
        <v/>
      </c>
      <c r="K97" s="25">
        <v>3</v>
      </c>
      <c r="L97" s="1" t="str">
        <f t="shared" si="1"/>
        <v>2016 FRIC 서양</v>
      </c>
      <c r="M97" s="54">
        <v>45</v>
      </c>
      <c r="N97" s="27" t="s">
        <v>695</v>
      </c>
      <c r="O97" s="28" t="s">
        <v>558</v>
      </c>
      <c r="P97" s="28" t="s">
        <v>696</v>
      </c>
      <c r="Q97" s="28">
        <v>12</v>
      </c>
      <c r="R97" s="30" t="s">
        <v>560</v>
      </c>
      <c r="S97" s="1"/>
      <c r="T97" s="1"/>
    </row>
    <row r="98" spans="1:20" ht="26.25" customHeight="1">
      <c r="A98" s="17">
        <f t="shared" si="0"/>
        <v>95</v>
      </c>
      <c r="B98" s="18" t="s">
        <v>175</v>
      </c>
      <c r="C98" s="31" t="s">
        <v>697</v>
      </c>
      <c r="D98" s="19" t="s">
        <v>698</v>
      </c>
      <c r="E98" s="20" t="s">
        <v>699</v>
      </c>
      <c r="F98" s="32" t="s">
        <v>700</v>
      </c>
      <c r="G98" s="33" t="s">
        <v>42</v>
      </c>
      <c r="H98" s="23" t="s">
        <v>701</v>
      </c>
      <c r="I98" s="24" t="s">
        <v>55</v>
      </c>
      <c r="J98" s="1" t="str">
        <f t="shared" si="14"/>
        <v/>
      </c>
      <c r="K98" s="1"/>
      <c r="L98" s="1" t="str">
        <f t="shared" si="1"/>
        <v/>
      </c>
      <c r="M98" s="54">
        <v>46</v>
      </c>
      <c r="N98" s="27" t="s">
        <v>528</v>
      </c>
      <c r="O98" s="28" t="s">
        <v>529</v>
      </c>
      <c r="P98" s="28" t="s">
        <v>530</v>
      </c>
      <c r="Q98" s="28">
        <v>12</v>
      </c>
      <c r="R98" s="30" t="s">
        <v>560</v>
      </c>
      <c r="S98" s="1"/>
      <c r="T98" s="1"/>
    </row>
    <row r="99" spans="1:20" ht="26.25" customHeight="1">
      <c r="A99" s="17">
        <f t="shared" si="0"/>
        <v>96</v>
      </c>
      <c r="B99" s="18" t="s">
        <v>175</v>
      </c>
      <c r="C99" s="31" t="s">
        <v>702</v>
      </c>
      <c r="D99" s="19" t="s">
        <v>374</v>
      </c>
      <c r="E99" s="20" t="s">
        <v>703</v>
      </c>
      <c r="F99" s="32" t="s">
        <v>704</v>
      </c>
      <c r="G99" s="33" t="s">
        <v>42</v>
      </c>
      <c r="H99" s="23" t="s">
        <v>705</v>
      </c>
      <c r="I99" s="24" t="s">
        <v>55</v>
      </c>
      <c r="J99" s="1" t="str">
        <f t="shared" si="14"/>
        <v/>
      </c>
      <c r="K99" s="1"/>
      <c r="L99" s="1" t="str">
        <f t="shared" si="1"/>
        <v/>
      </c>
      <c r="M99" s="54">
        <v>47</v>
      </c>
      <c r="N99" s="27" t="s">
        <v>536</v>
      </c>
      <c r="O99" s="28" t="s">
        <v>537</v>
      </c>
      <c r="P99" s="28" t="s">
        <v>538</v>
      </c>
      <c r="Q99" s="28">
        <v>6</v>
      </c>
      <c r="R99" s="30" t="s">
        <v>560</v>
      </c>
      <c r="S99" s="1"/>
      <c r="T99" s="1"/>
    </row>
    <row r="100" spans="1:20" ht="26.25" customHeight="1">
      <c r="A100" s="17">
        <f t="shared" si="0"/>
        <v>97</v>
      </c>
      <c r="B100" s="18" t="s">
        <v>175</v>
      </c>
      <c r="C100" s="31" t="s">
        <v>706</v>
      </c>
      <c r="D100" s="19" t="s">
        <v>124</v>
      </c>
      <c r="E100" s="20" t="s">
        <v>707</v>
      </c>
      <c r="F100" s="32" t="s">
        <v>708</v>
      </c>
      <c r="G100" s="33" t="s">
        <v>42</v>
      </c>
      <c r="H100" s="23" t="s">
        <v>709</v>
      </c>
      <c r="I100" s="24" t="s">
        <v>55</v>
      </c>
      <c r="J100" s="1" t="str">
        <f t="shared" si="14"/>
        <v/>
      </c>
      <c r="K100" s="1"/>
      <c r="L100" s="1" t="str">
        <f t="shared" si="1"/>
        <v/>
      </c>
      <c r="M100" s="54">
        <v>48</v>
      </c>
      <c r="N100" s="27" t="s">
        <v>544</v>
      </c>
      <c r="O100" s="28" t="s">
        <v>545</v>
      </c>
      <c r="P100" s="28" t="s">
        <v>546</v>
      </c>
      <c r="Q100" s="28">
        <v>12</v>
      </c>
      <c r="R100" s="30" t="s">
        <v>560</v>
      </c>
      <c r="S100" s="1"/>
      <c r="T100" s="1"/>
    </row>
    <row r="101" spans="1:20" ht="26.25" customHeight="1">
      <c r="A101" s="17">
        <f t="shared" si="0"/>
        <v>98</v>
      </c>
      <c r="B101" s="18" t="s">
        <v>175</v>
      </c>
      <c r="C101" s="31" t="s">
        <v>710</v>
      </c>
      <c r="D101" s="19" t="s">
        <v>374</v>
      </c>
      <c r="E101" s="20" t="s">
        <v>711</v>
      </c>
      <c r="F101" s="32" t="s">
        <v>712</v>
      </c>
      <c r="G101" s="33" t="s">
        <v>42</v>
      </c>
      <c r="H101" s="23" t="s">
        <v>713</v>
      </c>
      <c r="I101" s="24" t="s">
        <v>55</v>
      </c>
      <c r="J101" s="1" t="str">
        <f t="shared" si="14"/>
        <v/>
      </c>
      <c r="K101" s="1"/>
      <c r="L101" s="1" t="str">
        <f t="shared" si="1"/>
        <v/>
      </c>
      <c r="M101" s="54">
        <v>49</v>
      </c>
      <c r="N101" s="27" t="s">
        <v>550</v>
      </c>
      <c r="O101" s="28" t="s">
        <v>545</v>
      </c>
      <c r="P101" s="28" t="s">
        <v>551</v>
      </c>
      <c r="Q101" s="28">
        <v>12</v>
      </c>
      <c r="R101" s="30" t="s">
        <v>560</v>
      </c>
      <c r="S101" s="1"/>
      <c r="T101" s="1"/>
    </row>
    <row r="102" spans="1:20" ht="26.25" customHeight="1">
      <c r="A102" s="17">
        <f t="shared" si="0"/>
        <v>99</v>
      </c>
      <c r="B102" s="18" t="s">
        <v>175</v>
      </c>
      <c r="C102" s="31" t="s">
        <v>714</v>
      </c>
      <c r="D102" s="19" t="s">
        <v>308</v>
      </c>
      <c r="E102" s="20" t="s">
        <v>715</v>
      </c>
      <c r="F102" s="32" t="s">
        <v>716</v>
      </c>
      <c r="G102" s="33" t="s">
        <v>42</v>
      </c>
      <c r="H102" s="23" t="s">
        <v>717</v>
      </c>
      <c r="I102" s="24" t="s">
        <v>55</v>
      </c>
      <c r="J102" s="1" t="str">
        <f t="shared" si="14"/>
        <v/>
      </c>
      <c r="K102" s="1"/>
      <c r="L102" s="1" t="str">
        <f t="shared" si="1"/>
        <v/>
      </c>
      <c r="M102" s="57">
        <v>1</v>
      </c>
      <c r="N102" s="27" t="s">
        <v>718</v>
      </c>
      <c r="O102" s="28" t="s">
        <v>719</v>
      </c>
      <c r="P102" s="27" t="s">
        <v>316</v>
      </c>
      <c r="Q102" s="27">
        <v>24</v>
      </c>
      <c r="R102" s="29" t="s">
        <v>720</v>
      </c>
      <c r="S102" s="1"/>
      <c r="T102" s="1"/>
    </row>
    <row r="103" spans="1:20" ht="26.25" customHeight="1">
      <c r="A103" s="17">
        <f t="shared" si="0"/>
        <v>100</v>
      </c>
      <c r="B103" s="18" t="s">
        <v>175</v>
      </c>
      <c r="C103" s="31" t="s">
        <v>721</v>
      </c>
      <c r="D103" s="19" t="s">
        <v>722</v>
      </c>
      <c r="E103" s="20" t="s">
        <v>723</v>
      </c>
      <c r="F103" s="32" t="s">
        <v>252</v>
      </c>
      <c r="G103" s="33" t="s">
        <v>42</v>
      </c>
      <c r="H103" s="23" t="s">
        <v>724</v>
      </c>
      <c r="I103" s="24" t="s">
        <v>55</v>
      </c>
      <c r="J103" s="1" t="str">
        <f t="shared" si="14"/>
        <v/>
      </c>
      <c r="K103" s="1"/>
      <c r="L103" s="1" t="str">
        <f t="shared" si="1"/>
        <v/>
      </c>
      <c r="M103" s="57">
        <v>2</v>
      </c>
      <c r="N103" s="61" t="s">
        <v>725</v>
      </c>
      <c r="O103" s="28" t="s">
        <v>726</v>
      </c>
      <c r="P103" s="27" t="s">
        <v>727</v>
      </c>
      <c r="Q103" s="27">
        <v>12</v>
      </c>
      <c r="R103" s="29" t="s">
        <v>720</v>
      </c>
      <c r="S103" s="1"/>
      <c r="T103" s="1"/>
    </row>
    <row r="104" spans="1:20" ht="26.25" customHeight="1">
      <c r="A104" s="17">
        <f t="shared" si="0"/>
        <v>101</v>
      </c>
      <c r="B104" s="18" t="s">
        <v>175</v>
      </c>
      <c r="C104" s="31" t="s">
        <v>728</v>
      </c>
      <c r="D104" s="19" t="s">
        <v>729</v>
      </c>
      <c r="E104" s="20" t="s">
        <v>730</v>
      </c>
      <c r="F104" s="21" t="s">
        <v>135</v>
      </c>
      <c r="G104" s="33" t="s">
        <v>42</v>
      </c>
      <c r="H104" s="23" t="s">
        <v>731</v>
      </c>
      <c r="I104" s="34" t="s">
        <v>20</v>
      </c>
      <c r="J104" s="1" t="s">
        <v>87</v>
      </c>
      <c r="K104" s="25">
        <v>4</v>
      </c>
      <c r="L104" s="1" t="str">
        <f t="shared" si="1"/>
        <v/>
      </c>
      <c r="M104" s="62">
        <v>3</v>
      </c>
      <c r="N104" s="63" t="s">
        <v>732</v>
      </c>
      <c r="O104" s="37" t="s">
        <v>733</v>
      </c>
      <c r="P104" s="36" t="s">
        <v>734</v>
      </c>
      <c r="Q104" s="36">
        <v>9</v>
      </c>
      <c r="R104" s="35" t="s">
        <v>720</v>
      </c>
      <c r="S104" s="25"/>
      <c r="T104" s="25"/>
    </row>
    <row r="105" spans="1:20" ht="26.25" customHeight="1">
      <c r="A105" s="17">
        <f t="shared" si="0"/>
        <v>102</v>
      </c>
      <c r="B105" s="18" t="s">
        <v>175</v>
      </c>
      <c r="C105" s="31" t="s">
        <v>735</v>
      </c>
      <c r="D105" s="19" t="s">
        <v>736</v>
      </c>
      <c r="E105" s="20" t="s">
        <v>737</v>
      </c>
      <c r="F105" s="32" t="s">
        <v>738</v>
      </c>
      <c r="G105" s="33" t="s">
        <v>42</v>
      </c>
      <c r="H105" s="23" t="s">
        <v>739</v>
      </c>
      <c r="I105" s="24" t="s">
        <v>55</v>
      </c>
      <c r="J105" s="1" t="str">
        <f t="shared" ref="J105:J107" si="15">IFERROR(VLOOKUP(E105,#REF!,8,FALSE),"")</f>
        <v/>
      </c>
      <c r="K105" s="1"/>
      <c r="L105" s="1" t="str">
        <f t="shared" si="1"/>
        <v/>
      </c>
      <c r="M105" s="57">
        <v>4</v>
      </c>
      <c r="N105" s="61" t="s">
        <v>740</v>
      </c>
      <c r="O105" s="28" t="s">
        <v>733</v>
      </c>
      <c r="P105" s="27" t="s">
        <v>741</v>
      </c>
      <c r="Q105" s="27">
        <v>9</v>
      </c>
      <c r="R105" s="29" t="s">
        <v>720</v>
      </c>
      <c r="S105" s="1"/>
      <c r="T105" s="1"/>
    </row>
    <row r="106" spans="1:20" ht="26.25" customHeight="1">
      <c r="A106" s="17">
        <f t="shared" si="0"/>
        <v>103</v>
      </c>
      <c r="B106" s="18" t="s">
        <v>233</v>
      </c>
      <c r="C106" s="31" t="s">
        <v>742</v>
      </c>
      <c r="D106" s="19" t="s">
        <v>743</v>
      </c>
      <c r="E106" s="20" t="s">
        <v>744</v>
      </c>
      <c r="F106" s="32" t="s">
        <v>52</v>
      </c>
      <c r="G106" s="22" t="s">
        <v>53</v>
      </c>
      <c r="H106" s="23" t="s">
        <v>745</v>
      </c>
      <c r="I106" s="34" t="s">
        <v>55</v>
      </c>
      <c r="J106" s="1" t="str">
        <f t="shared" si="15"/>
        <v/>
      </c>
      <c r="K106" s="25">
        <v>4</v>
      </c>
      <c r="L106" s="1" t="str">
        <f t="shared" si="1"/>
        <v>2021 과기 서양</v>
      </c>
      <c r="M106" s="62">
        <v>5</v>
      </c>
      <c r="N106" s="63" t="s">
        <v>241</v>
      </c>
      <c r="O106" s="37" t="s">
        <v>746</v>
      </c>
      <c r="P106" s="36" t="s">
        <v>243</v>
      </c>
      <c r="Q106" s="36">
        <v>12</v>
      </c>
      <c r="R106" s="35" t="s">
        <v>720</v>
      </c>
      <c r="S106" s="25"/>
      <c r="T106" s="25"/>
    </row>
    <row r="107" spans="1:20" ht="26.25" customHeight="1">
      <c r="A107" s="17">
        <f t="shared" si="0"/>
        <v>104</v>
      </c>
      <c r="B107" s="18" t="s">
        <v>13</v>
      </c>
      <c r="C107" s="31" t="s">
        <v>747</v>
      </c>
      <c r="D107" s="19" t="s">
        <v>748</v>
      </c>
      <c r="E107" s="20" t="s">
        <v>749</v>
      </c>
      <c r="F107" s="32" t="s">
        <v>209</v>
      </c>
      <c r="G107" s="22" t="s">
        <v>42</v>
      </c>
      <c r="H107" s="23" t="s">
        <v>750</v>
      </c>
      <c r="I107" s="24" t="s">
        <v>55</v>
      </c>
      <c r="J107" s="1" t="str">
        <f t="shared" si="15"/>
        <v/>
      </c>
      <c r="K107" s="1"/>
      <c r="L107" s="1" t="str">
        <f t="shared" si="1"/>
        <v/>
      </c>
      <c r="M107" s="57">
        <v>6</v>
      </c>
      <c r="N107" s="61" t="s">
        <v>363</v>
      </c>
      <c r="O107" s="28" t="s">
        <v>751</v>
      </c>
      <c r="P107" s="27" t="s">
        <v>365</v>
      </c>
      <c r="Q107" s="27">
        <v>12</v>
      </c>
      <c r="R107" s="29" t="s">
        <v>720</v>
      </c>
      <c r="S107" s="1"/>
      <c r="T107" s="1"/>
    </row>
    <row r="108" spans="1:20" ht="26.25" customHeight="1">
      <c r="A108" s="17">
        <f t="shared" si="0"/>
        <v>105</v>
      </c>
      <c r="B108" s="18" t="s">
        <v>13</v>
      </c>
      <c r="C108" s="19" t="s">
        <v>752</v>
      </c>
      <c r="D108" s="19" t="s">
        <v>753</v>
      </c>
      <c r="E108" s="20" t="s">
        <v>754</v>
      </c>
      <c r="F108" s="21" t="s">
        <v>135</v>
      </c>
      <c r="G108" s="22" t="s">
        <v>63</v>
      </c>
      <c r="H108" s="23" t="s">
        <v>755</v>
      </c>
      <c r="I108" s="24" t="s">
        <v>20</v>
      </c>
      <c r="J108" s="1" t="s">
        <v>21</v>
      </c>
      <c r="K108" s="25">
        <v>3</v>
      </c>
      <c r="L108" s="1" t="str">
        <f t="shared" si="1"/>
        <v/>
      </c>
      <c r="M108" s="57">
        <v>7</v>
      </c>
      <c r="N108" s="51" t="s">
        <v>756</v>
      </c>
      <c r="O108" s="29" t="s">
        <v>757</v>
      </c>
      <c r="P108" s="29" t="s">
        <v>758</v>
      </c>
      <c r="Q108" s="29">
        <v>12</v>
      </c>
      <c r="R108" s="50" t="s">
        <v>759</v>
      </c>
      <c r="S108" s="1"/>
      <c r="T108" s="1"/>
    </row>
    <row r="109" spans="1:20" ht="26.25" customHeight="1">
      <c r="A109" s="17">
        <f t="shared" si="0"/>
        <v>106</v>
      </c>
      <c r="B109" s="18" t="s">
        <v>105</v>
      </c>
      <c r="C109" s="31" t="s">
        <v>760</v>
      </c>
      <c r="D109" s="19" t="s">
        <v>761</v>
      </c>
      <c r="E109" s="20" t="s">
        <v>762</v>
      </c>
      <c r="F109" s="32" t="s">
        <v>763</v>
      </c>
      <c r="G109" s="33" t="s">
        <v>42</v>
      </c>
      <c r="H109" s="23" t="s">
        <v>764</v>
      </c>
      <c r="I109" s="24" t="s">
        <v>55</v>
      </c>
      <c r="J109" s="1" t="str">
        <f t="shared" ref="J109:J111" si="16">IFERROR(VLOOKUP(E109,#REF!,8,FALSE),"")</f>
        <v/>
      </c>
      <c r="K109" s="1"/>
      <c r="L109" s="1" t="str">
        <f t="shared" si="1"/>
        <v/>
      </c>
      <c r="M109" s="57">
        <v>8</v>
      </c>
      <c r="N109" s="51" t="s">
        <v>765</v>
      </c>
      <c r="O109" s="29" t="s">
        <v>766</v>
      </c>
      <c r="P109" s="29" t="s">
        <v>767</v>
      </c>
      <c r="Q109" s="29">
        <v>6</v>
      </c>
      <c r="R109" s="50" t="s">
        <v>759</v>
      </c>
      <c r="S109" s="1"/>
      <c r="T109" s="1"/>
    </row>
    <row r="110" spans="1:20" ht="26.25" customHeight="1">
      <c r="A110" s="17">
        <f t="shared" si="0"/>
        <v>107</v>
      </c>
      <c r="B110" s="18" t="s">
        <v>27</v>
      </c>
      <c r="C110" s="31" t="s">
        <v>550</v>
      </c>
      <c r="D110" s="19" t="s">
        <v>768</v>
      </c>
      <c r="E110" s="20" t="s">
        <v>551</v>
      </c>
      <c r="F110" s="32" t="s">
        <v>769</v>
      </c>
      <c r="G110" s="22" t="s">
        <v>42</v>
      </c>
      <c r="H110" s="23" t="s">
        <v>770</v>
      </c>
      <c r="I110" s="24" t="s">
        <v>55</v>
      </c>
      <c r="J110" s="1" t="str">
        <f t="shared" si="16"/>
        <v/>
      </c>
      <c r="K110" s="25">
        <v>3</v>
      </c>
      <c r="L110" s="1" t="str">
        <f t="shared" si="1"/>
        <v>2019 FRIC 동양</v>
      </c>
      <c r="M110" s="57">
        <v>9</v>
      </c>
      <c r="N110" s="51" t="s">
        <v>771</v>
      </c>
      <c r="O110" s="29" t="s">
        <v>772</v>
      </c>
      <c r="P110" s="29" t="s">
        <v>773</v>
      </c>
      <c r="Q110" s="29">
        <v>12</v>
      </c>
      <c r="R110" s="50" t="s">
        <v>759</v>
      </c>
      <c r="S110" s="1"/>
      <c r="T110" s="1"/>
    </row>
    <row r="111" spans="1:20" ht="26.25" customHeight="1">
      <c r="A111" s="17">
        <f t="shared" si="0"/>
        <v>108</v>
      </c>
      <c r="B111" s="18" t="s">
        <v>105</v>
      </c>
      <c r="C111" s="31" t="s">
        <v>774</v>
      </c>
      <c r="D111" s="19" t="s">
        <v>196</v>
      </c>
      <c r="E111" s="20" t="s">
        <v>775</v>
      </c>
      <c r="F111" s="32" t="s">
        <v>776</v>
      </c>
      <c r="G111" s="33" t="s">
        <v>42</v>
      </c>
      <c r="H111" s="23" t="s">
        <v>777</v>
      </c>
      <c r="I111" s="24" t="s">
        <v>55</v>
      </c>
      <c r="J111" s="1" t="str">
        <f t="shared" si="16"/>
        <v/>
      </c>
      <c r="K111" s="1"/>
      <c r="L111" s="1" t="str">
        <f t="shared" si="1"/>
        <v/>
      </c>
      <c r="M111" s="57">
        <v>10</v>
      </c>
      <c r="N111" s="51" t="s">
        <v>778</v>
      </c>
      <c r="O111" s="29" t="s">
        <v>779</v>
      </c>
      <c r="P111" s="29" t="s">
        <v>780</v>
      </c>
      <c r="Q111" s="29">
        <v>12</v>
      </c>
      <c r="R111" s="50" t="s">
        <v>759</v>
      </c>
      <c r="S111" s="1"/>
      <c r="T111" s="1"/>
    </row>
    <row r="112" spans="1:20" ht="26.25" customHeight="1">
      <c r="A112" s="17">
        <f t="shared" si="0"/>
        <v>109</v>
      </c>
      <c r="B112" s="18" t="s">
        <v>27</v>
      </c>
      <c r="C112" s="19" t="s">
        <v>781</v>
      </c>
      <c r="D112" s="19" t="s">
        <v>782</v>
      </c>
      <c r="E112" s="20" t="s">
        <v>783</v>
      </c>
      <c r="F112" s="21" t="s">
        <v>784</v>
      </c>
      <c r="G112" s="22" t="s">
        <v>42</v>
      </c>
      <c r="H112" s="23" t="s">
        <v>785</v>
      </c>
      <c r="I112" s="24" t="s">
        <v>20</v>
      </c>
      <c r="J112" s="1" t="s">
        <v>21</v>
      </c>
      <c r="K112" s="25">
        <v>3</v>
      </c>
      <c r="L112" s="1" t="str">
        <f t="shared" si="1"/>
        <v/>
      </c>
      <c r="M112" s="57">
        <v>11</v>
      </c>
      <c r="N112" s="51" t="s">
        <v>786</v>
      </c>
      <c r="O112" s="29" t="s">
        <v>787</v>
      </c>
      <c r="P112" s="29" t="s">
        <v>788</v>
      </c>
      <c r="Q112" s="29">
        <v>12</v>
      </c>
      <c r="R112" s="50" t="s">
        <v>759</v>
      </c>
      <c r="S112" s="1"/>
      <c r="T112" s="1"/>
    </row>
    <row r="113" spans="1:20" ht="26.25" customHeight="1">
      <c r="A113" s="17">
        <f t="shared" si="0"/>
        <v>110</v>
      </c>
      <c r="B113" s="18" t="s">
        <v>105</v>
      </c>
      <c r="C113" s="31" t="s">
        <v>789</v>
      </c>
      <c r="D113" s="19" t="s">
        <v>790</v>
      </c>
      <c r="E113" s="20" t="s">
        <v>791</v>
      </c>
      <c r="F113" s="32" t="s">
        <v>170</v>
      </c>
      <c r="G113" s="33" t="s">
        <v>53</v>
      </c>
      <c r="H113" s="23" t="s">
        <v>792</v>
      </c>
      <c r="I113" s="24" t="s">
        <v>55</v>
      </c>
      <c r="J113" s="1" t="str">
        <f t="shared" ref="J113:J115" si="17">IFERROR(VLOOKUP(E113,#REF!,8,FALSE),"")</f>
        <v/>
      </c>
      <c r="K113" s="25">
        <v>3</v>
      </c>
      <c r="L113" s="1" t="str">
        <f t="shared" si="1"/>
        <v>2020 FRIC 서양</v>
      </c>
      <c r="M113" s="57">
        <v>12</v>
      </c>
      <c r="N113" s="51" t="s">
        <v>793</v>
      </c>
      <c r="O113" s="29" t="s">
        <v>794</v>
      </c>
      <c r="P113" s="29" t="s">
        <v>795</v>
      </c>
      <c r="Q113" s="29">
        <v>12</v>
      </c>
      <c r="R113" s="50" t="s">
        <v>759</v>
      </c>
      <c r="S113" s="1"/>
      <c r="T113" s="1"/>
    </row>
    <row r="114" spans="1:20" ht="26.25" customHeight="1">
      <c r="A114" s="17">
        <f t="shared" si="0"/>
        <v>111</v>
      </c>
      <c r="B114" s="18" t="s">
        <v>105</v>
      </c>
      <c r="C114" s="31" t="s">
        <v>796</v>
      </c>
      <c r="D114" s="19" t="s">
        <v>797</v>
      </c>
      <c r="E114" s="20" t="s">
        <v>798</v>
      </c>
      <c r="F114" s="32" t="s">
        <v>252</v>
      </c>
      <c r="G114" s="33" t="s">
        <v>42</v>
      </c>
      <c r="H114" s="23" t="s">
        <v>799</v>
      </c>
      <c r="I114" s="24" t="s">
        <v>55</v>
      </c>
      <c r="J114" s="1" t="str">
        <f t="shared" si="17"/>
        <v/>
      </c>
      <c r="K114" s="1"/>
      <c r="L114" s="1" t="str">
        <f t="shared" si="1"/>
        <v/>
      </c>
      <c r="M114" s="57">
        <v>13</v>
      </c>
      <c r="N114" s="27" t="s">
        <v>800</v>
      </c>
      <c r="O114" s="28" t="s">
        <v>801</v>
      </c>
      <c r="P114" s="28" t="s">
        <v>802</v>
      </c>
      <c r="Q114" s="28">
        <v>12</v>
      </c>
      <c r="R114" s="30" t="s">
        <v>803</v>
      </c>
      <c r="S114" s="1"/>
      <c r="T114" s="1"/>
    </row>
    <row r="115" spans="1:20" ht="26.25" customHeight="1">
      <c r="A115" s="17">
        <f t="shared" si="0"/>
        <v>112</v>
      </c>
      <c r="B115" s="64" t="s">
        <v>27</v>
      </c>
      <c r="C115" s="31" t="s">
        <v>804</v>
      </c>
      <c r="D115" s="19" t="s">
        <v>797</v>
      </c>
      <c r="E115" s="20" t="s">
        <v>805</v>
      </c>
      <c r="F115" s="32" t="s">
        <v>681</v>
      </c>
      <c r="G115" s="22" t="s">
        <v>42</v>
      </c>
      <c r="H115" s="23" t="s">
        <v>806</v>
      </c>
      <c r="I115" s="24" t="s">
        <v>55</v>
      </c>
      <c r="J115" s="1" t="str">
        <f t="shared" si="17"/>
        <v/>
      </c>
      <c r="K115" s="1"/>
      <c r="L115" s="1" t="str">
        <f t="shared" si="1"/>
        <v/>
      </c>
      <c r="M115" s="57">
        <v>14</v>
      </c>
      <c r="N115" s="27" t="s">
        <v>807</v>
      </c>
      <c r="O115" s="28" t="s">
        <v>808</v>
      </c>
      <c r="P115" s="65" t="s">
        <v>809</v>
      </c>
      <c r="Q115" s="27">
        <v>144</v>
      </c>
      <c r="R115" s="30" t="s">
        <v>803</v>
      </c>
      <c r="S115" s="1"/>
      <c r="T115" s="1"/>
    </row>
    <row r="116" spans="1:20" ht="26.25" customHeight="1">
      <c r="A116" s="17">
        <f t="shared" si="0"/>
        <v>113</v>
      </c>
      <c r="B116" s="18" t="s">
        <v>13</v>
      </c>
      <c r="C116" s="66" t="s">
        <v>810</v>
      </c>
      <c r="D116" s="19" t="s">
        <v>797</v>
      </c>
      <c r="E116" s="20" t="s">
        <v>811</v>
      </c>
      <c r="F116" s="21" t="s">
        <v>135</v>
      </c>
      <c r="G116" s="22" t="s">
        <v>42</v>
      </c>
      <c r="H116" s="23" t="s">
        <v>812</v>
      </c>
      <c r="I116" s="24" t="s">
        <v>20</v>
      </c>
      <c r="J116" s="1" t="s">
        <v>21</v>
      </c>
      <c r="K116" s="25">
        <v>3</v>
      </c>
      <c r="L116" s="1" t="str">
        <f t="shared" si="1"/>
        <v/>
      </c>
      <c r="M116" s="57">
        <v>15</v>
      </c>
      <c r="N116" s="27" t="s">
        <v>813</v>
      </c>
      <c r="O116" s="28" t="s">
        <v>808</v>
      </c>
      <c r="P116" s="28" t="s">
        <v>814</v>
      </c>
      <c r="Q116" s="28"/>
      <c r="R116" s="30" t="s">
        <v>803</v>
      </c>
      <c r="S116" s="1"/>
      <c r="T116" s="1"/>
    </row>
    <row r="117" spans="1:20" ht="26.25" customHeight="1">
      <c r="A117" s="17">
        <f t="shared" si="0"/>
        <v>114</v>
      </c>
      <c r="B117" s="67" t="s">
        <v>105</v>
      </c>
      <c r="C117" s="31" t="s">
        <v>815</v>
      </c>
      <c r="D117" s="19" t="s">
        <v>45</v>
      </c>
      <c r="E117" s="20" t="s">
        <v>816</v>
      </c>
      <c r="F117" s="21" t="s">
        <v>817</v>
      </c>
      <c r="G117" s="33" t="s">
        <v>42</v>
      </c>
      <c r="H117" s="23" t="s">
        <v>818</v>
      </c>
      <c r="I117" s="34" t="s">
        <v>20</v>
      </c>
      <c r="J117" s="1" t="s">
        <v>87</v>
      </c>
      <c r="K117" s="25">
        <v>4</v>
      </c>
      <c r="L117" s="1" t="str">
        <f t="shared" si="1"/>
        <v/>
      </c>
      <c r="M117" s="62">
        <v>16</v>
      </c>
      <c r="N117" s="36" t="s">
        <v>819</v>
      </c>
      <c r="O117" s="37" t="s">
        <v>808</v>
      </c>
      <c r="P117" s="37" t="s">
        <v>820</v>
      </c>
      <c r="Q117" s="37"/>
      <c r="R117" s="38" t="s">
        <v>803</v>
      </c>
      <c r="S117" s="25"/>
      <c r="T117" s="25"/>
    </row>
    <row r="118" spans="1:20" ht="26.25" customHeight="1">
      <c r="A118" s="17">
        <f t="shared" si="0"/>
        <v>115</v>
      </c>
      <c r="B118" s="18" t="s">
        <v>175</v>
      </c>
      <c r="C118" s="31" t="s">
        <v>821</v>
      </c>
      <c r="D118" s="19" t="s">
        <v>797</v>
      </c>
      <c r="E118" s="20" t="s">
        <v>822</v>
      </c>
      <c r="F118" s="32" t="s">
        <v>519</v>
      </c>
      <c r="G118" s="33" t="s">
        <v>42</v>
      </c>
      <c r="H118" s="23" t="s">
        <v>823</v>
      </c>
      <c r="I118" s="24" t="s">
        <v>55</v>
      </c>
      <c r="J118" s="1" t="str">
        <f>IFERROR(VLOOKUP(E118,#REF!,8,FALSE),"")</f>
        <v/>
      </c>
      <c r="K118" s="1"/>
      <c r="L118" s="1" t="str">
        <f t="shared" si="1"/>
        <v/>
      </c>
      <c r="M118" s="57">
        <v>17</v>
      </c>
      <c r="N118" s="27" t="s">
        <v>824</v>
      </c>
      <c r="O118" s="28" t="s">
        <v>825</v>
      </c>
      <c r="P118" s="28" t="s">
        <v>826</v>
      </c>
      <c r="Q118" s="28">
        <v>12</v>
      </c>
      <c r="R118" s="30" t="s">
        <v>803</v>
      </c>
      <c r="S118" s="1"/>
      <c r="T118" s="1"/>
    </row>
    <row r="119" spans="1:20" ht="26.25" customHeight="1">
      <c r="A119" s="17">
        <f t="shared" si="0"/>
        <v>116</v>
      </c>
      <c r="B119" s="18" t="s">
        <v>37</v>
      </c>
      <c r="C119" s="19" t="s">
        <v>827</v>
      </c>
      <c r="D119" s="19" t="s">
        <v>124</v>
      </c>
      <c r="E119" s="20" t="s">
        <v>828</v>
      </c>
      <c r="F119" s="21" t="s">
        <v>17</v>
      </c>
      <c r="G119" s="22" t="s">
        <v>42</v>
      </c>
      <c r="H119" s="23" t="s">
        <v>829</v>
      </c>
      <c r="I119" s="24" t="s">
        <v>20</v>
      </c>
      <c r="J119" s="1" t="s">
        <v>21</v>
      </c>
      <c r="K119" s="25">
        <v>3</v>
      </c>
      <c r="L119" s="1" t="str">
        <f t="shared" si="1"/>
        <v/>
      </c>
      <c r="M119" s="57">
        <v>18</v>
      </c>
      <c r="N119" s="27" t="s">
        <v>467</v>
      </c>
      <c r="O119" s="28" t="s">
        <v>467</v>
      </c>
      <c r="P119" s="28" t="s">
        <v>469</v>
      </c>
      <c r="Q119" s="28">
        <v>6</v>
      </c>
      <c r="R119" s="30" t="s">
        <v>803</v>
      </c>
      <c r="S119" s="1"/>
      <c r="T119" s="1"/>
    </row>
    <row r="120" spans="1:20" ht="26.25" customHeight="1">
      <c r="A120" s="17">
        <f t="shared" si="0"/>
        <v>117</v>
      </c>
      <c r="B120" s="18" t="s">
        <v>132</v>
      </c>
      <c r="C120" s="31" t="s">
        <v>646</v>
      </c>
      <c r="D120" s="19" t="s">
        <v>647</v>
      </c>
      <c r="E120" s="20" t="s">
        <v>648</v>
      </c>
      <c r="F120" s="32" t="s">
        <v>496</v>
      </c>
      <c r="G120" s="22" t="s">
        <v>53</v>
      </c>
      <c r="H120" s="23" t="s">
        <v>830</v>
      </c>
      <c r="I120" s="24" t="s">
        <v>55</v>
      </c>
      <c r="J120" s="1" t="str">
        <f t="shared" ref="J120:J121" si="18">IFERROR(VLOOKUP(E120,#REF!,8,FALSE),"")</f>
        <v/>
      </c>
      <c r="K120" s="25">
        <v>3</v>
      </c>
      <c r="L120" s="1" t="str">
        <f t="shared" si="1"/>
        <v>2019 FRIC 서양</v>
      </c>
      <c r="M120" s="57">
        <v>19</v>
      </c>
      <c r="N120" s="27" t="s">
        <v>831</v>
      </c>
      <c r="O120" s="28" t="s">
        <v>832</v>
      </c>
      <c r="P120" s="28" t="s">
        <v>833</v>
      </c>
      <c r="Q120" s="27">
        <v>10</v>
      </c>
      <c r="R120" s="30" t="s">
        <v>803</v>
      </c>
      <c r="S120" s="1"/>
      <c r="T120" s="1"/>
    </row>
    <row r="121" spans="1:20" ht="26.25" customHeight="1">
      <c r="A121" s="17">
        <f t="shared" si="0"/>
        <v>118</v>
      </c>
      <c r="B121" s="18" t="s">
        <v>132</v>
      </c>
      <c r="C121" s="31" t="s">
        <v>834</v>
      </c>
      <c r="D121" s="19" t="s">
        <v>835</v>
      </c>
      <c r="E121" s="20" t="s">
        <v>836</v>
      </c>
      <c r="F121" s="32" t="s">
        <v>837</v>
      </c>
      <c r="G121" s="22" t="s">
        <v>53</v>
      </c>
      <c r="H121" s="23" t="s">
        <v>838</v>
      </c>
      <c r="I121" s="34" t="s">
        <v>55</v>
      </c>
      <c r="J121" s="1" t="str">
        <f t="shared" si="18"/>
        <v/>
      </c>
      <c r="K121" s="25">
        <v>4</v>
      </c>
      <c r="L121" s="1" t="str">
        <f t="shared" si="1"/>
        <v>2021 과기 서양</v>
      </c>
      <c r="M121" s="62">
        <v>20</v>
      </c>
      <c r="N121" s="36" t="s">
        <v>839</v>
      </c>
      <c r="O121" s="37" t="s">
        <v>840</v>
      </c>
      <c r="P121" s="37" t="s">
        <v>169</v>
      </c>
      <c r="Q121" s="37">
        <v>12</v>
      </c>
      <c r="R121" s="38" t="s">
        <v>803</v>
      </c>
      <c r="S121" s="25"/>
      <c r="T121" s="25"/>
    </row>
    <row r="122" spans="1:20" ht="26.25" customHeight="1">
      <c r="A122" s="17">
        <f t="shared" si="0"/>
        <v>119</v>
      </c>
      <c r="B122" s="18" t="s">
        <v>27</v>
      </c>
      <c r="C122" s="19" t="s">
        <v>841</v>
      </c>
      <c r="D122" s="19" t="s">
        <v>141</v>
      </c>
      <c r="E122" s="20" t="s">
        <v>842</v>
      </c>
      <c r="F122" s="21" t="s">
        <v>135</v>
      </c>
      <c r="G122" s="22" t="s">
        <v>42</v>
      </c>
      <c r="H122" s="23" t="s">
        <v>843</v>
      </c>
      <c r="I122" s="24" t="s">
        <v>20</v>
      </c>
      <c r="J122" s="1" t="s">
        <v>87</v>
      </c>
      <c r="K122" s="25">
        <v>4</v>
      </c>
      <c r="L122" s="1" t="str">
        <f t="shared" si="1"/>
        <v/>
      </c>
      <c r="M122" s="57">
        <v>21</v>
      </c>
      <c r="N122" s="27" t="s">
        <v>844</v>
      </c>
      <c r="O122" s="28" t="s">
        <v>255</v>
      </c>
      <c r="P122" s="27" t="s">
        <v>845</v>
      </c>
      <c r="Q122" s="27">
        <v>4</v>
      </c>
      <c r="R122" s="30" t="s">
        <v>803</v>
      </c>
      <c r="S122" s="1"/>
      <c r="T122" s="1"/>
    </row>
    <row r="123" spans="1:20" ht="26.25" customHeight="1">
      <c r="A123" s="17">
        <f t="shared" si="0"/>
        <v>120</v>
      </c>
      <c r="B123" s="18" t="s">
        <v>27</v>
      </c>
      <c r="C123" s="31" t="s">
        <v>846</v>
      </c>
      <c r="D123" s="19" t="s">
        <v>847</v>
      </c>
      <c r="E123" s="20" t="s">
        <v>848</v>
      </c>
      <c r="F123" s="32" t="s">
        <v>170</v>
      </c>
      <c r="G123" s="22" t="s">
        <v>42</v>
      </c>
      <c r="H123" s="23" t="s">
        <v>849</v>
      </c>
      <c r="I123" s="24" t="s">
        <v>55</v>
      </c>
      <c r="J123" s="1" t="str">
        <f t="shared" ref="J123:J124" si="19">IFERROR(VLOOKUP(E123,#REF!,8,FALSE),"")</f>
        <v/>
      </c>
      <c r="K123" s="25">
        <v>3</v>
      </c>
      <c r="L123" s="1" t="str">
        <f t="shared" si="1"/>
        <v>2020 FRIC 서양</v>
      </c>
      <c r="M123" s="57">
        <v>22</v>
      </c>
      <c r="N123" s="27" t="s">
        <v>850</v>
      </c>
      <c r="O123" s="28" t="s">
        <v>851</v>
      </c>
      <c r="P123" s="27" t="s">
        <v>852</v>
      </c>
      <c r="Q123" s="28">
        <v>4</v>
      </c>
      <c r="R123" s="30" t="s">
        <v>803</v>
      </c>
      <c r="S123" s="1"/>
      <c r="T123" s="1"/>
    </row>
    <row r="124" spans="1:20" ht="26.25" customHeight="1">
      <c r="A124" s="17">
        <f t="shared" si="0"/>
        <v>121</v>
      </c>
      <c r="B124" s="18" t="s">
        <v>37</v>
      </c>
      <c r="C124" s="31" t="s">
        <v>853</v>
      </c>
      <c r="D124" s="19" t="s">
        <v>854</v>
      </c>
      <c r="E124" s="20" t="s">
        <v>855</v>
      </c>
      <c r="F124" s="32" t="s">
        <v>170</v>
      </c>
      <c r="G124" s="22" t="s">
        <v>53</v>
      </c>
      <c r="H124" s="23" t="s">
        <v>856</v>
      </c>
      <c r="I124" s="24" t="s">
        <v>55</v>
      </c>
      <c r="J124" s="1" t="str">
        <f t="shared" si="19"/>
        <v/>
      </c>
      <c r="K124" s="25">
        <v>3</v>
      </c>
      <c r="L124" s="1" t="str">
        <f t="shared" si="1"/>
        <v>2020 FRIC 서양</v>
      </c>
      <c r="M124" s="57">
        <v>23</v>
      </c>
      <c r="N124" s="27" t="s">
        <v>857</v>
      </c>
      <c r="O124" s="28" t="s">
        <v>858</v>
      </c>
      <c r="P124" s="28" t="s">
        <v>859</v>
      </c>
      <c r="Q124" s="28">
        <v>4</v>
      </c>
      <c r="R124" s="30" t="s">
        <v>803</v>
      </c>
      <c r="S124" s="1"/>
      <c r="T124" s="1"/>
    </row>
    <row r="125" spans="1:20" ht="26.25" customHeight="1">
      <c r="A125" s="17">
        <f t="shared" si="0"/>
        <v>122</v>
      </c>
      <c r="B125" s="18" t="s">
        <v>37</v>
      </c>
      <c r="C125" s="19" t="s">
        <v>860</v>
      </c>
      <c r="D125" s="19" t="s">
        <v>861</v>
      </c>
      <c r="E125" s="20" t="s">
        <v>862</v>
      </c>
      <c r="F125" s="21" t="s">
        <v>863</v>
      </c>
      <c r="G125" s="22" t="s">
        <v>53</v>
      </c>
      <c r="H125" s="23" t="s">
        <v>864</v>
      </c>
      <c r="I125" s="24" t="s">
        <v>20</v>
      </c>
      <c r="J125" s="1" t="s">
        <v>21</v>
      </c>
      <c r="K125" s="25">
        <v>3</v>
      </c>
      <c r="L125" s="1" t="str">
        <f t="shared" si="1"/>
        <v/>
      </c>
      <c r="M125" s="57">
        <v>24</v>
      </c>
      <c r="N125" s="27" t="s">
        <v>865</v>
      </c>
      <c r="O125" s="28" t="s">
        <v>196</v>
      </c>
      <c r="P125" s="27" t="s">
        <v>866</v>
      </c>
      <c r="Q125" s="27">
        <v>8</v>
      </c>
      <c r="R125" s="30" t="s">
        <v>803</v>
      </c>
      <c r="S125" s="1"/>
      <c r="T125" s="1"/>
    </row>
    <row r="126" spans="1:20" ht="26.25" customHeight="1">
      <c r="A126" s="17">
        <f t="shared" si="0"/>
        <v>123</v>
      </c>
      <c r="B126" s="18" t="s">
        <v>867</v>
      </c>
      <c r="C126" s="31" t="s">
        <v>868</v>
      </c>
      <c r="D126" s="19" t="s">
        <v>869</v>
      </c>
      <c r="E126" s="20" t="s">
        <v>870</v>
      </c>
      <c r="F126" s="32">
        <v>1964</v>
      </c>
      <c r="G126" s="33" t="s">
        <v>42</v>
      </c>
      <c r="H126" s="23" t="s">
        <v>871</v>
      </c>
      <c r="I126" s="24" t="s">
        <v>55</v>
      </c>
      <c r="J126" s="1" t="str">
        <f>IFERROR(VLOOKUP(E126,#REF!,8,FALSE),"")</f>
        <v/>
      </c>
      <c r="K126" s="1"/>
      <c r="L126" s="1" t="str">
        <f t="shared" si="1"/>
        <v/>
      </c>
      <c r="M126" s="57">
        <v>25</v>
      </c>
      <c r="N126" s="27" t="s">
        <v>872</v>
      </c>
      <c r="O126" s="28" t="s">
        <v>196</v>
      </c>
      <c r="P126" s="28" t="s">
        <v>873</v>
      </c>
      <c r="Q126" s="28">
        <v>8</v>
      </c>
      <c r="R126" s="30" t="s">
        <v>803</v>
      </c>
      <c r="S126" s="1"/>
      <c r="T126" s="1"/>
    </row>
    <row r="127" spans="1:20" ht="26.25" customHeight="1">
      <c r="A127" s="17">
        <f t="shared" si="0"/>
        <v>124</v>
      </c>
      <c r="B127" s="18" t="s">
        <v>27</v>
      </c>
      <c r="C127" s="31" t="s">
        <v>874</v>
      </c>
      <c r="D127" s="19" t="s">
        <v>673</v>
      </c>
      <c r="E127" s="20" t="s">
        <v>875</v>
      </c>
      <c r="F127" s="21" t="s">
        <v>876</v>
      </c>
      <c r="G127" s="22" t="s">
        <v>42</v>
      </c>
      <c r="H127" s="23" t="s">
        <v>877</v>
      </c>
      <c r="I127" s="34" t="s">
        <v>20</v>
      </c>
      <c r="J127" s="1" t="s">
        <v>87</v>
      </c>
      <c r="K127" s="25">
        <v>4</v>
      </c>
      <c r="L127" s="1" t="str">
        <f t="shared" si="1"/>
        <v/>
      </c>
      <c r="M127" s="62">
        <v>26</v>
      </c>
      <c r="N127" s="36" t="s">
        <v>878</v>
      </c>
      <c r="O127" s="37" t="s">
        <v>196</v>
      </c>
      <c r="P127" s="37" t="s">
        <v>879</v>
      </c>
      <c r="Q127" s="36">
        <v>6</v>
      </c>
      <c r="R127" s="38" t="s">
        <v>803</v>
      </c>
      <c r="S127" s="25"/>
      <c r="T127" s="25"/>
    </row>
    <row r="128" spans="1:20" ht="26.25" customHeight="1">
      <c r="A128" s="17">
        <f t="shared" si="0"/>
        <v>125</v>
      </c>
      <c r="B128" s="18" t="s">
        <v>27</v>
      </c>
      <c r="C128" s="19" t="s">
        <v>880</v>
      </c>
      <c r="D128" s="19" t="s">
        <v>665</v>
      </c>
      <c r="E128" s="20" t="s">
        <v>881</v>
      </c>
      <c r="F128" s="21" t="s">
        <v>882</v>
      </c>
      <c r="G128" s="22" t="s">
        <v>31</v>
      </c>
      <c r="H128" s="23" t="s">
        <v>883</v>
      </c>
      <c r="I128" s="24" t="s">
        <v>20</v>
      </c>
      <c r="J128" s="1" t="s">
        <v>21</v>
      </c>
      <c r="K128" s="25">
        <v>3</v>
      </c>
      <c r="L128" s="1" t="str">
        <f t="shared" si="1"/>
        <v/>
      </c>
      <c r="M128" s="57">
        <v>27</v>
      </c>
      <c r="N128" s="27" t="s">
        <v>884</v>
      </c>
      <c r="O128" s="28" t="s">
        <v>255</v>
      </c>
      <c r="P128" s="28" t="s">
        <v>885</v>
      </c>
      <c r="Q128" s="28">
        <v>12</v>
      </c>
      <c r="R128" s="30" t="s">
        <v>803</v>
      </c>
      <c r="S128" s="1"/>
      <c r="T128" s="1"/>
    </row>
    <row r="129" spans="1:20" ht="26.25" customHeight="1">
      <c r="A129" s="17">
        <f t="shared" si="0"/>
        <v>126</v>
      </c>
      <c r="B129" s="18" t="s">
        <v>27</v>
      </c>
      <c r="C129" s="31" t="s">
        <v>886</v>
      </c>
      <c r="D129" s="19" t="s">
        <v>808</v>
      </c>
      <c r="E129" s="20" t="s">
        <v>887</v>
      </c>
      <c r="F129" s="32" t="s">
        <v>252</v>
      </c>
      <c r="G129" s="22" t="s">
        <v>42</v>
      </c>
      <c r="H129" s="23" t="s">
        <v>888</v>
      </c>
      <c r="I129" s="24" t="s">
        <v>55</v>
      </c>
      <c r="J129" s="1" t="str">
        <f>IFERROR(VLOOKUP(E129,#REF!,8,FALSE),"")</f>
        <v/>
      </c>
      <c r="K129" s="1"/>
      <c r="L129" s="1" t="str">
        <f t="shared" si="1"/>
        <v/>
      </c>
      <c r="M129" s="57">
        <v>28</v>
      </c>
      <c r="N129" s="61" t="s">
        <v>190</v>
      </c>
      <c r="O129" s="68" t="s">
        <v>889</v>
      </c>
      <c r="P129" s="68" t="s">
        <v>192</v>
      </c>
      <c r="Q129" s="68">
        <v>1</v>
      </c>
      <c r="R129" s="30" t="s">
        <v>803</v>
      </c>
      <c r="S129" s="1"/>
      <c r="T129" s="1"/>
    </row>
    <row r="130" spans="1:20" ht="26.25" customHeight="1">
      <c r="A130" s="17">
        <f t="shared" si="0"/>
        <v>127</v>
      </c>
      <c r="B130" s="18" t="s">
        <v>27</v>
      </c>
      <c r="C130" s="19" t="s">
        <v>890</v>
      </c>
      <c r="D130" s="19" t="s">
        <v>891</v>
      </c>
      <c r="E130" s="20" t="s">
        <v>892</v>
      </c>
      <c r="F130" s="21" t="s">
        <v>893</v>
      </c>
      <c r="G130" s="22" t="s">
        <v>31</v>
      </c>
      <c r="H130" s="23" t="s">
        <v>894</v>
      </c>
      <c r="I130" s="24" t="s">
        <v>20</v>
      </c>
      <c r="J130" s="1" t="s">
        <v>21</v>
      </c>
      <c r="K130" s="25">
        <v>3</v>
      </c>
      <c r="L130" s="1" t="str">
        <f t="shared" si="1"/>
        <v/>
      </c>
      <c r="M130" s="57">
        <v>29</v>
      </c>
      <c r="N130" s="61" t="s">
        <v>895</v>
      </c>
      <c r="O130" s="68" t="s">
        <v>896</v>
      </c>
      <c r="P130" s="68" t="s">
        <v>897</v>
      </c>
      <c r="Q130" s="68">
        <v>1</v>
      </c>
      <c r="R130" s="30" t="s">
        <v>803</v>
      </c>
      <c r="S130" s="1"/>
      <c r="T130" s="1"/>
    </row>
    <row r="131" spans="1:20" ht="26.25" customHeight="1">
      <c r="A131" s="17">
        <f t="shared" si="0"/>
        <v>128</v>
      </c>
      <c r="B131" s="18" t="s">
        <v>27</v>
      </c>
      <c r="C131" s="19" t="s">
        <v>898</v>
      </c>
      <c r="D131" s="19" t="s">
        <v>227</v>
      </c>
      <c r="E131" s="20" t="s">
        <v>899</v>
      </c>
      <c r="F131" s="21" t="s">
        <v>900</v>
      </c>
      <c r="G131" s="22" t="s">
        <v>42</v>
      </c>
      <c r="H131" s="23" t="s">
        <v>901</v>
      </c>
      <c r="I131" s="24" t="s">
        <v>20</v>
      </c>
      <c r="J131" s="1" t="s">
        <v>21</v>
      </c>
      <c r="K131" s="25">
        <v>3</v>
      </c>
      <c r="L131" s="1" t="str">
        <f t="shared" si="1"/>
        <v/>
      </c>
      <c r="M131" s="57">
        <v>30</v>
      </c>
      <c r="N131" s="61" t="s">
        <v>393</v>
      </c>
      <c r="O131" s="68" t="s">
        <v>394</v>
      </c>
      <c r="P131" s="68" t="s">
        <v>395</v>
      </c>
      <c r="Q131" s="68">
        <v>1</v>
      </c>
      <c r="R131" s="30" t="s">
        <v>803</v>
      </c>
      <c r="S131" s="1"/>
      <c r="T131" s="1"/>
    </row>
    <row r="132" spans="1:20" ht="26.25" customHeight="1">
      <c r="A132" s="17">
        <f t="shared" si="0"/>
        <v>129</v>
      </c>
      <c r="B132" s="18" t="s">
        <v>27</v>
      </c>
      <c r="C132" s="19" t="s">
        <v>902</v>
      </c>
      <c r="D132" s="19" t="s">
        <v>903</v>
      </c>
      <c r="E132" s="20" t="s">
        <v>904</v>
      </c>
      <c r="F132" s="21" t="s">
        <v>905</v>
      </c>
      <c r="G132" s="22" t="s">
        <v>53</v>
      </c>
      <c r="H132" s="23" t="s">
        <v>906</v>
      </c>
      <c r="I132" s="24" t="s">
        <v>20</v>
      </c>
      <c r="J132" s="1" t="s">
        <v>21</v>
      </c>
      <c r="K132" s="25">
        <v>3</v>
      </c>
      <c r="L132" s="1" t="str">
        <f t="shared" si="1"/>
        <v/>
      </c>
      <c r="M132" s="57">
        <v>31</v>
      </c>
      <c r="N132" s="61" t="s">
        <v>524</v>
      </c>
      <c r="O132" s="68" t="s">
        <v>907</v>
      </c>
      <c r="P132" s="68" t="s">
        <v>526</v>
      </c>
      <c r="Q132" s="68">
        <v>6</v>
      </c>
      <c r="R132" s="30" t="s">
        <v>803</v>
      </c>
      <c r="S132" s="1"/>
      <c r="T132" s="1"/>
    </row>
    <row r="133" spans="1:20" ht="26.25" customHeight="1">
      <c r="A133" s="17">
        <f t="shared" si="0"/>
        <v>130</v>
      </c>
      <c r="B133" s="18" t="s">
        <v>27</v>
      </c>
      <c r="C133" s="19" t="s">
        <v>908</v>
      </c>
      <c r="D133" s="19" t="s">
        <v>909</v>
      </c>
      <c r="E133" s="20" t="s">
        <v>910</v>
      </c>
      <c r="F133" s="21" t="s">
        <v>17</v>
      </c>
      <c r="G133" s="22" t="s">
        <v>53</v>
      </c>
      <c r="H133" s="23" t="s">
        <v>911</v>
      </c>
      <c r="I133" s="24" t="s">
        <v>20</v>
      </c>
      <c r="J133" s="1" t="s">
        <v>21</v>
      </c>
      <c r="K133" s="25">
        <v>3</v>
      </c>
      <c r="L133" s="1" t="str">
        <f t="shared" si="1"/>
        <v/>
      </c>
      <c r="M133" s="57">
        <v>32</v>
      </c>
      <c r="N133" s="61" t="s">
        <v>532</v>
      </c>
      <c r="O133" s="68" t="s">
        <v>533</v>
      </c>
      <c r="P133" s="68" t="s">
        <v>534</v>
      </c>
      <c r="Q133" s="68">
        <v>11</v>
      </c>
      <c r="R133" s="30" t="s">
        <v>803</v>
      </c>
      <c r="S133" s="1"/>
      <c r="T133" s="1"/>
    </row>
    <row r="134" spans="1:20" ht="26.25" customHeight="1">
      <c r="A134" s="17">
        <f t="shared" si="0"/>
        <v>131</v>
      </c>
      <c r="B134" s="18" t="s">
        <v>27</v>
      </c>
      <c r="C134" s="31" t="s">
        <v>912</v>
      </c>
      <c r="D134" s="19" t="s">
        <v>913</v>
      </c>
      <c r="E134" s="20" t="s">
        <v>914</v>
      </c>
      <c r="F134" s="32" t="s">
        <v>915</v>
      </c>
      <c r="G134" s="22" t="s">
        <v>53</v>
      </c>
      <c r="H134" s="23" t="s">
        <v>916</v>
      </c>
      <c r="I134" s="24" t="s">
        <v>55</v>
      </c>
      <c r="J134" s="1" t="str">
        <f t="shared" ref="J134:J137" si="20">IFERROR(VLOOKUP(E134,#REF!,8,FALSE),"")</f>
        <v/>
      </c>
      <c r="K134" s="1"/>
      <c r="L134" s="1" t="str">
        <f t="shared" si="1"/>
        <v/>
      </c>
      <c r="M134" s="57">
        <v>33</v>
      </c>
      <c r="N134" s="61" t="s">
        <v>552</v>
      </c>
      <c r="O134" s="68" t="s">
        <v>917</v>
      </c>
      <c r="P134" s="68" t="s">
        <v>554</v>
      </c>
      <c r="Q134" s="68">
        <v>8</v>
      </c>
      <c r="R134" s="30" t="s">
        <v>803</v>
      </c>
      <c r="S134" s="1"/>
      <c r="T134" s="1"/>
    </row>
    <row r="135" spans="1:20" ht="26.25" customHeight="1">
      <c r="A135" s="17">
        <f t="shared" si="0"/>
        <v>132</v>
      </c>
      <c r="B135" s="18" t="s">
        <v>27</v>
      </c>
      <c r="C135" s="31" t="s">
        <v>544</v>
      </c>
      <c r="D135" s="19" t="s">
        <v>768</v>
      </c>
      <c r="E135" s="20" t="s">
        <v>546</v>
      </c>
      <c r="F135" s="32" t="s">
        <v>918</v>
      </c>
      <c r="G135" s="22" t="s">
        <v>42</v>
      </c>
      <c r="H135" s="23" t="s">
        <v>919</v>
      </c>
      <c r="I135" s="24" t="s">
        <v>55</v>
      </c>
      <c r="J135" s="1" t="str">
        <f t="shared" si="20"/>
        <v/>
      </c>
      <c r="K135" s="25">
        <v>3</v>
      </c>
      <c r="L135" s="1" t="str">
        <f t="shared" si="1"/>
        <v>2019 FRIC 동양</v>
      </c>
      <c r="M135" s="57">
        <v>34</v>
      </c>
      <c r="N135" s="61" t="s">
        <v>617</v>
      </c>
      <c r="O135" s="68" t="s">
        <v>920</v>
      </c>
      <c r="P135" s="68" t="s">
        <v>619</v>
      </c>
      <c r="Q135" s="68">
        <v>5</v>
      </c>
      <c r="R135" s="30" t="s">
        <v>803</v>
      </c>
      <c r="S135" s="1"/>
      <c r="T135" s="1"/>
    </row>
    <row r="136" spans="1:20" ht="26.25" customHeight="1">
      <c r="A136" s="17">
        <f t="shared" si="0"/>
        <v>133</v>
      </c>
      <c r="B136" s="18" t="s">
        <v>175</v>
      </c>
      <c r="C136" s="31" t="s">
        <v>921</v>
      </c>
      <c r="D136" s="19" t="s">
        <v>196</v>
      </c>
      <c r="E136" s="20" t="s">
        <v>922</v>
      </c>
      <c r="F136" s="32" t="s">
        <v>738</v>
      </c>
      <c r="G136" s="33" t="s">
        <v>42</v>
      </c>
      <c r="H136" s="23" t="s">
        <v>923</v>
      </c>
      <c r="I136" s="24" t="s">
        <v>55</v>
      </c>
      <c r="J136" s="1" t="str">
        <f t="shared" si="20"/>
        <v/>
      </c>
      <c r="K136" s="1"/>
      <c r="L136" s="1" t="str">
        <f t="shared" si="1"/>
        <v/>
      </c>
      <c r="M136" s="57">
        <v>35</v>
      </c>
      <c r="N136" s="61" t="s">
        <v>631</v>
      </c>
      <c r="O136" s="68" t="s">
        <v>924</v>
      </c>
      <c r="P136" s="68" t="s">
        <v>633</v>
      </c>
      <c r="Q136" s="68">
        <v>6</v>
      </c>
      <c r="R136" s="30" t="s">
        <v>803</v>
      </c>
      <c r="S136" s="1"/>
      <c r="T136" s="1"/>
    </row>
    <row r="137" spans="1:20" ht="26.25" customHeight="1">
      <c r="A137" s="17">
        <f t="shared" si="0"/>
        <v>134</v>
      </c>
      <c r="B137" s="18" t="s">
        <v>132</v>
      </c>
      <c r="C137" s="31" t="s">
        <v>925</v>
      </c>
      <c r="D137" s="19" t="s">
        <v>271</v>
      </c>
      <c r="E137" s="20" t="s">
        <v>926</v>
      </c>
      <c r="F137" s="32" t="s">
        <v>222</v>
      </c>
      <c r="G137" s="22" t="s">
        <v>42</v>
      </c>
      <c r="H137" s="23" t="s">
        <v>927</v>
      </c>
      <c r="I137" s="24" t="s">
        <v>55</v>
      </c>
      <c r="J137" s="1" t="str">
        <f t="shared" si="20"/>
        <v/>
      </c>
      <c r="K137" s="1"/>
      <c r="L137" s="1" t="str">
        <f t="shared" si="1"/>
        <v/>
      </c>
      <c r="M137" s="57">
        <v>36</v>
      </c>
      <c r="N137" s="61" t="s">
        <v>928</v>
      </c>
      <c r="O137" s="68" t="s">
        <v>929</v>
      </c>
      <c r="P137" s="68" t="s">
        <v>930</v>
      </c>
      <c r="Q137" s="68">
        <v>4</v>
      </c>
      <c r="R137" s="30" t="s">
        <v>803</v>
      </c>
      <c r="S137" s="1"/>
      <c r="T137" s="1"/>
    </row>
    <row r="138" spans="1:20" ht="26.25" customHeight="1">
      <c r="A138" s="17">
        <f t="shared" si="0"/>
        <v>135</v>
      </c>
      <c r="B138" s="18" t="s">
        <v>132</v>
      </c>
      <c r="C138" s="19" t="s">
        <v>931</v>
      </c>
      <c r="D138" s="19" t="s">
        <v>227</v>
      </c>
      <c r="E138" s="20" t="s">
        <v>932</v>
      </c>
      <c r="F138" s="21" t="s">
        <v>933</v>
      </c>
      <c r="G138" s="22" t="s">
        <v>42</v>
      </c>
      <c r="H138" s="23" t="s">
        <v>934</v>
      </c>
      <c r="I138" s="24" t="s">
        <v>20</v>
      </c>
      <c r="J138" s="1" t="s">
        <v>21</v>
      </c>
      <c r="K138" s="25">
        <v>3</v>
      </c>
      <c r="L138" s="1" t="str">
        <f t="shared" si="1"/>
        <v/>
      </c>
      <c r="M138" s="57">
        <v>37</v>
      </c>
      <c r="N138" s="61" t="s">
        <v>935</v>
      </c>
      <c r="O138" s="68" t="s">
        <v>936</v>
      </c>
      <c r="P138" s="68" t="s">
        <v>937</v>
      </c>
      <c r="Q138" s="68">
        <v>4</v>
      </c>
      <c r="R138" s="30" t="s">
        <v>803</v>
      </c>
      <c r="S138" s="1"/>
      <c r="T138" s="1"/>
    </row>
    <row r="139" spans="1:20" ht="26.25" customHeight="1">
      <c r="A139" s="17">
        <f t="shared" si="0"/>
        <v>136</v>
      </c>
      <c r="B139" s="18" t="s">
        <v>13</v>
      </c>
      <c r="C139" s="31" t="s">
        <v>938</v>
      </c>
      <c r="D139" s="19" t="s">
        <v>939</v>
      </c>
      <c r="E139" s="20" t="s">
        <v>940</v>
      </c>
      <c r="F139" s="32" t="s">
        <v>941</v>
      </c>
      <c r="G139" s="22" t="s">
        <v>31</v>
      </c>
      <c r="H139" s="23" t="s">
        <v>942</v>
      </c>
      <c r="I139" s="24" t="s">
        <v>55</v>
      </c>
      <c r="J139" s="1" t="str">
        <f t="shared" ref="J139:J142" si="21">IFERROR(VLOOKUP(E139,#REF!,8,FALSE),"")</f>
        <v/>
      </c>
      <c r="K139" s="1"/>
      <c r="L139" s="1" t="str">
        <f t="shared" si="1"/>
        <v/>
      </c>
      <c r="M139" s="57">
        <v>38</v>
      </c>
      <c r="N139" s="61" t="s">
        <v>637</v>
      </c>
      <c r="O139" s="68" t="s">
        <v>650</v>
      </c>
      <c r="P139" s="68" t="s">
        <v>639</v>
      </c>
      <c r="Q139" s="68">
        <v>26</v>
      </c>
      <c r="R139" s="30" t="s">
        <v>803</v>
      </c>
      <c r="S139" s="1"/>
      <c r="T139" s="1"/>
    </row>
    <row r="140" spans="1:20" ht="26.25" customHeight="1">
      <c r="A140" s="17">
        <f t="shared" si="0"/>
        <v>137</v>
      </c>
      <c r="B140" s="18" t="s">
        <v>13</v>
      </c>
      <c r="C140" s="31" t="s">
        <v>844</v>
      </c>
      <c r="D140" s="19" t="s">
        <v>124</v>
      </c>
      <c r="E140" s="20" t="s">
        <v>845</v>
      </c>
      <c r="F140" s="32" t="s">
        <v>170</v>
      </c>
      <c r="G140" s="22" t="s">
        <v>42</v>
      </c>
      <c r="H140" s="23" t="s">
        <v>943</v>
      </c>
      <c r="I140" s="24" t="s">
        <v>55</v>
      </c>
      <c r="J140" s="1" t="str">
        <f t="shared" si="21"/>
        <v/>
      </c>
      <c r="K140" s="25">
        <v>3</v>
      </c>
      <c r="L140" s="1" t="str">
        <f t="shared" si="1"/>
        <v>2020 FRIC 서양</v>
      </c>
      <c r="M140" s="57">
        <v>39</v>
      </c>
      <c r="N140" s="61" t="s">
        <v>944</v>
      </c>
      <c r="O140" s="68" t="s">
        <v>945</v>
      </c>
      <c r="P140" s="68" t="s">
        <v>651</v>
      </c>
      <c r="Q140" s="68">
        <v>12</v>
      </c>
      <c r="R140" s="30" t="s">
        <v>803</v>
      </c>
      <c r="S140" s="1"/>
      <c r="T140" s="1"/>
    </row>
    <row r="141" spans="1:20" ht="26.25" customHeight="1">
      <c r="A141" s="17">
        <f t="shared" si="0"/>
        <v>138</v>
      </c>
      <c r="B141" s="18" t="s">
        <v>105</v>
      </c>
      <c r="C141" s="31" t="s">
        <v>946</v>
      </c>
      <c r="D141" s="19" t="s">
        <v>45</v>
      </c>
      <c r="E141" s="20" t="s">
        <v>947</v>
      </c>
      <c r="F141" s="32" t="s">
        <v>948</v>
      </c>
      <c r="G141" s="33" t="s">
        <v>31</v>
      </c>
      <c r="H141" s="23" t="s">
        <v>949</v>
      </c>
      <c r="I141" s="24" t="s">
        <v>55</v>
      </c>
      <c r="J141" s="1" t="str">
        <f t="shared" si="21"/>
        <v/>
      </c>
      <c r="K141" s="1"/>
      <c r="L141" s="1" t="str">
        <f t="shared" si="1"/>
        <v/>
      </c>
      <c r="M141" s="57">
        <v>40</v>
      </c>
      <c r="N141" s="61" t="s">
        <v>950</v>
      </c>
      <c r="O141" s="68" t="s">
        <v>196</v>
      </c>
      <c r="P141" s="68" t="s">
        <v>791</v>
      </c>
      <c r="Q141" s="68">
        <v>10</v>
      </c>
      <c r="R141" s="30" t="s">
        <v>803</v>
      </c>
      <c r="S141" s="1"/>
      <c r="T141" s="1"/>
    </row>
    <row r="142" spans="1:20" ht="26.25" customHeight="1">
      <c r="A142" s="17">
        <f t="shared" si="0"/>
        <v>139</v>
      </c>
      <c r="B142" s="18" t="s">
        <v>105</v>
      </c>
      <c r="C142" s="31" t="s">
        <v>951</v>
      </c>
      <c r="D142" s="19" t="s">
        <v>722</v>
      </c>
      <c r="E142" s="20" t="s">
        <v>952</v>
      </c>
      <c r="F142" s="32" t="s">
        <v>953</v>
      </c>
      <c r="G142" s="33" t="s">
        <v>42</v>
      </c>
      <c r="H142" s="23" t="s">
        <v>954</v>
      </c>
      <c r="I142" s="24" t="s">
        <v>55</v>
      </c>
      <c r="J142" s="1" t="str">
        <f t="shared" si="21"/>
        <v/>
      </c>
      <c r="K142" s="1"/>
      <c r="L142" s="1" t="str">
        <f t="shared" si="1"/>
        <v/>
      </c>
      <c r="M142" s="57">
        <v>41</v>
      </c>
      <c r="N142" s="61" t="s">
        <v>955</v>
      </c>
      <c r="O142" s="68" t="s">
        <v>847</v>
      </c>
      <c r="P142" s="68" t="s">
        <v>848</v>
      </c>
      <c r="Q142" s="68">
        <v>10</v>
      </c>
      <c r="R142" s="30" t="s">
        <v>803</v>
      </c>
      <c r="S142" s="1"/>
      <c r="T142" s="1"/>
    </row>
    <row r="143" spans="1:20" ht="26.25" customHeight="1">
      <c r="A143" s="17">
        <f t="shared" si="0"/>
        <v>140</v>
      </c>
      <c r="B143" s="18" t="s">
        <v>37</v>
      </c>
      <c r="C143" s="19" t="s">
        <v>956</v>
      </c>
      <c r="D143" s="19" t="s">
        <v>957</v>
      </c>
      <c r="E143" s="20" t="s">
        <v>958</v>
      </c>
      <c r="F143" s="21" t="s">
        <v>959</v>
      </c>
      <c r="G143" s="22" t="s">
        <v>350</v>
      </c>
      <c r="H143" s="23" t="s">
        <v>960</v>
      </c>
      <c r="I143" s="24" t="s">
        <v>20</v>
      </c>
      <c r="J143" s="1" t="s">
        <v>21</v>
      </c>
      <c r="K143" s="25">
        <v>3</v>
      </c>
      <c r="L143" s="1" t="str">
        <f t="shared" si="1"/>
        <v/>
      </c>
      <c r="M143" s="57">
        <v>42</v>
      </c>
      <c r="N143" s="61" t="s">
        <v>853</v>
      </c>
      <c r="O143" s="68" t="s">
        <v>854</v>
      </c>
      <c r="P143" s="68" t="s">
        <v>855</v>
      </c>
      <c r="Q143" s="68">
        <v>12</v>
      </c>
      <c r="R143" s="30" t="s">
        <v>803</v>
      </c>
      <c r="S143" s="1"/>
      <c r="T143" s="1"/>
    </row>
    <row r="144" spans="1:20" ht="26.25" customHeight="1">
      <c r="A144" s="17">
        <f t="shared" si="0"/>
        <v>141</v>
      </c>
      <c r="B144" s="18" t="s">
        <v>81</v>
      </c>
      <c r="C144" s="22" t="s">
        <v>961</v>
      </c>
      <c r="D144" s="19" t="s">
        <v>181</v>
      </c>
      <c r="E144" s="20" t="s">
        <v>232</v>
      </c>
      <c r="F144" s="32" t="s">
        <v>962</v>
      </c>
      <c r="G144" s="33" t="s">
        <v>42</v>
      </c>
      <c r="H144" s="23" t="s">
        <v>963</v>
      </c>
      <c r="I144" s="24" t="s">
        <v>55</v>
      </c>
      <c r="J144" s="1" t="str">
        <f t="shared" ref="J144:J150" si="22">IFERROR(VLOOKUP(E144,#REF!,8,FALSE),"")</f>
        <v/>
      </c>
      <c r="K144" s="25">
        <v>3</v>
      </c>
      <c r="L144" s="1" t="str">
        <f t="shared" si="1"/>
        <v>2017 FRIC 서양</v>
      </c>
      <c r="M144" s="57">
        <v>43</v>
      </c>
      <c r="N144" s="61" t="s">
        <v>964</v>
      </c>
      <c r="O144" s="68" t="s">
        <v>965</v>
      </c>
      <c r="P144" s="68" t="s">
        <v>966</v>
      </c>
      <c r="Q144" s="68">
        <v>11</v>
      </c>
      <c r="R144" s="30" t="s">
        <v>803</v>
      </c>
      <c r="S144" s="1"/>
      <c r="T144" s="1"/>
    </row>
    <row r="145" spans="1:20" ht="26.25" customHeight="1">
      <c r="A145" s="17">
        <f t="shared" si="0"/>
        <v>142</v>
      </c>
      <c r="B145" s="18" t="s">
        <v>248</v>
      </c>
      <c r="C145" s="31" t="s">
        <v>967</v>
      </c>
      <c r="D145" s="19" t="s">
        <v>227</v>
      </c>
      <c r="E145" s="20" t="s">
        <v>968</v>
      </c>
      <c r="F145" s="32" t="s">
        <v>969</v>
      </c>
      <c r="G145" s="33" t="s">
        <v>42</v>
      </c>
      <c r="H145" s="23" t="s">
        <v>970</v>
      </c>
      <c r="I145" s="24" t="s">
        <v>55</v>
      </c>
      <c r="J145" s="1" t="str">
        <f t="shared" si="22"/>
        <v/>
      </c>
      <c r="K145" s="1"/>
      <c r="L145" s="1" t="str">
        <f t="shared" si="1"/>
        <v/>
      </c>
      <c r="M145" s="57">
        <v>44</v>
      </c>
      <c r="N145" s="61" t="s">
        <v>971</v>
      </c>
      <c r="O145" s="68" t="s">
        <v>972</v>
      </c>
      <c r="P145" s="68" t="s">
        <v>973</v>
      </c>
      <c r="Q145" s="68">
        <v>10</v>
      </c>
      <c r="R145" s="30" t="s">
        <v>803</v>
      </c>
      <c r="S145" s="1"/>
      <c r="T145" s="1"/>
    </row>
    <row r="146" spans="1:20" ht="26.25" customHeight="1">
      <c r="A146" s="17">
        <f t="shared" si="0"/>
        <v>143</v>
      </c>
      <c r="B146" s="18" t="s">
        <v>248</v>
      </c>
      <c r="C146" s="31" t="s">
        <v>336</v>
      </c>
      <c r="D146" s="19" t="s">
        <v>124</v>
      </c>
      <c r="E146" s="20" t="s">
        <v>974</v>
      </c>
      <c r="F146" s="32" t="s">
        <v>163</v>
      </c>
      <c r="G146" s="33" t="s">
        <v>31</v>
      </c>
      <c r="H146" s="59" t="s">
        <v>975</v>
      </c>
      <c r="I146" s="24" t="s">
        <v>55</v>
      </c>
      <c r="J146" s="1" t="str">
        <f t="shared" si="22"/>
        <v/>
      </c>
      <c r="K146" s="1"/>
      <c r="L146" s="1" t="str">
        <f t="shared" si="1"/>
        <v/>
      </c>
      <c r="M146" s="57">
        <v>45</v>
      </c>
      <c r="N146" s="61" t="s">
        <v>976</v>
      </c>
      <c r="O146" s="68" t="s">
        <v>977</v>
      </c>
      <c r="P146" s="68" t="s">
        <v>978</v>
      </c>
      <c r="Q146" s="68">
        <v>12</v>
      </c>
      <c r="R146" s="30" t="s">
        <v>803</v>
      </c>
      <c r="S146" s="1"/>
      <c r="T146" s="1"/>
    </row>
    <row r="147" spans="1:20" ht="26.25" customHeight="1">
      <c r="A147" s="17">
        <f t="shared" si="0"/>
        <v>144</v>
      </c>
      <c r="B147" s="18" t="s">
        <v>27</v>
      </c>
      <c r="C147" s="31" t="s">
        <v>979</v>
      </c>
      <c r="D147" s="19" t="s">
        <v>196</v>
      </c>
      <c r="E147" s="20" t="s">
        <v>980</v>
      </c>
      <c r="F147" s="32" t="s">
        <v>981</v>
      </c>
      <c r="G147" s="22" t="s">
        <v>42</v>
      </c>
      <c r="H147" s="23" t="s">
        <v>982</v>
      </c>
      <c r="I147" s="24" t="s">
        <v>55</v>
      </c>
      <c r="J147" s="1" t="str">
        <f t="shared" si="22"/>
        <v/>
      </c>
      <c r="K147" s="1"/>
      <c r="L147" s="1" t="str">
        <f t="shared" si="1"/>
        <v/>
      </c>
      <c r="M147" s="57">
        <v>46</v>
      </c>
      <c r="N147" s="61" t="s">
        <v>983</v>
      </c>
      <c r="O147" s="68" t="s">
        <v>984</v>
      </c>
      <c r="P147" s="68" t="s">
        <v>985</v>
      </c>
      <c r="Q147" s="68">
        <v>6</v>
      </c>
      <c r="R147" s="30" t="s">
        <v>803</v>
      </c>
      <c r="S147" s="1"/>
      <c r="T147" s="1"/>
    </row>
    <row r="148" spans="1:20" ht="26.25" customHeight="1">
      <c r="A148" s="17">
        <f t="shared" si="0"/>
        <v>145</v>
      </c>
      <c r="B148" s="18" t="s">
        <v>27</v>
      </c>
      <c r="C148" s="31" t="s">
        <v>986</v>
      </c>
      <c r="D148" s="19" t="s">
        <v>124</v>
      </c>
      <c r="E148" s="20" t="s">
        <v>987</v>
      </c>
      <c r="F148" s="32">
        <v>2010</v>
      </c>
      <c r="G148" s="22" t="s">
        <v>42</v>
      </c>
      <c r="H148" s="23" t="s">
        <v>988</v>
      </c>
      <c r="I148" s="24" t="s">
        <v>55</v>
      </c>
      <c r="J148" s="1" t="str">
        <f t="shared" si="22"/>
        <v/>
      </c>
      <c r="K148" s="1"/>
      <c r="L148" s="1" t="str">
        <f t="shared" si="1"/>
        <v/>
      </c>
      <c r="M148" s="57">
        <v>47</v>
      </c>
      <c r="N148" s="61" t="s">
        <v>989</v>
      </c>
      <c r="O148" s="68" t="s">
        <v>990</v>
      </c>
      <c r="P148" s="68" t="s">
        <v>991</v>
      </c>
      <c r="Q148" s="68">
        <v>6</v>
      </c>
      <c r="R148" s="30" t="s">
        <v>803</v>
      </c>
      <c r="S148" s="1"/>
      <c r="T148" s="1"/>
    </row>
    <row r="149" spans="1:20" ht="26.25" customHeight="1">
      <c r="A149" s="17">
        <f t="shared" si="0"/>
        <v>146</v>
      </c>
      <c r="B149" s="18" t="s">
        <v>105</v>
      </c>
      <c r="C149" s="31" t="s">
        <v>992</v>
      </c>
      <c r="D149" s="19" t="s">
        <v>124</v>
      </c>
      <c r="E149" s="20" t="s">
        <v>993</v>
      </c>
      <c r="F149" s="32" t="s">
        <v>519</v>
      </c>
      <c r="G149" s="33" t="s">
        <v>42</v>
      </c>
      <c r="H149" s="23" t="s">
        <v>994</v>
      </c>
      <c r="I149" s="24" t="s">
        <v>55</v>
      </c>
      <c r="J149" s="1" t="str">
        <f t="shared" si="22"/>
        <v/>
      </c>
      <c r="K149" s="1"/>
      <c r="L149" s="1" t="str">
        <f t="shared" si="1"/>
        <v/>
      </c>
      <c r="M149" s="57">
        <v>48</v>
      </c>
      <c r="N149" s="61" t="s">
        <v>995</v>
      </c>
      <c r="O149" s="68" t="s">
        <v>239</v>
      </c>
      <c r="P149" s="68" t="s">
        <v>996</v>
      </c>
      <c r="Q149" s="68">
        <v>12</v>
      </c>
      <c r="R149" s="30" t="s">
        <v>803</v>
      </c>
      <c r="S149" s="1"/>
      <c r="T149" s="1"/>
    </row>
    <row r="150" spans="1:20" ht="26.25" customHeight="1">
      <c r="A150" s="17">
        <f t="shared" si="0"/>
        <v>147</v>
      </c>
      <c r="B150" s="18" t="s">
        <v>105</v>
      </c>
      <c r="C150" s="31" t="s">
        <v>997</v>
      </c>
      <c r="D150" s="19" t="s">
        <v>196</v>
      </c>
      <c r="E150" s="20" t="s">
        <v>998</v>
      </c>
      <c r="F150" s="32" t="s">
        <v>953</v>
      </c>
      <c r="G150" s="33" t="s">
        <v>42</v>
      </c>
      <c r="H150" s="23" t="s">
        <v>999</v>
      </c>
      <c r="I150" s="24" t="s">
        <v>55</v>
      </c>
      <c r="J150" s="1" t="str">
        <f t="shared" si="22"/>
        <v/>
      </c>
      <c r="K150" s="1"/>
      <c r="L150" s="1" t="str">
        <f t="shared" si="1"/>
        <v/>
      </c>
      <c r="M150" s="57">
        <v>49</v>
      </c>
      <c r="N150" s="61" t="s">
        <v>1000</v>
      </c>
      <c r="O150" s="68" t="s">
        <v>1001</v>
      </c>
      <c r="P150" s="68" t="s">
        <v>1002</v>
      </c>
      <c r="Q150" s="68">
        <v>12</v>
      </c>
      <c r="R150" s="30" t="s">
        <v>803</v>
      </c>
      <c r="S150" s="1"/>
      <c r="T150" s="1"/>
    </row>
    <row r="151" spans="1:20" ht="26.25" customHeight="1">
      <c r="A151" s="17">
        <f t="shared" si="0"/>
        <v>148</v>
      </c>
      <c r="B151" s="18" t="s">
        <v>105</v>
      </c>
      <c r="C151" s="31" t="s">
        <v>1003</v>
      </c>
      <c r="D151" s="19" t="s">
        <v>124</v>
      </c>
      <c r="E151" s="20" t="s">
        <v>1004</v>
      </c>
      <c r="F151" s="21" t="s">
        <v>1005</v>
      </c>
      <c r="G151" s="33" t="s">
        <v>42</v>
      </c>
      <c r="H151" s="23" t="s">
        <v>1006</v>
      </c>
      <c r="I151" s="34" t="s">
        <v>20</v>
      </c>
      <c r="J151" s="1" t="s">
        <v>87</v>
      </c>
      <c r="K151" s="25">
        <v>4</v>
      </c>
      <c r="L151" s="1" t="str">
        <f t="shared" si="1"/>
        <v/>
      </c>
      <c r="M151" s="62">
        <v>50</v>
      </c>
      <c r="N151" s="63" t="s">
        <v>1007</v>
      </c>
      <c r="O151" s="69" t="s">
        <v>196</v>
      </c>
      <c r="P151" s="69" t="s">
        <v>1008</v>
      </c>
      <c r="Q151" s="69">
        <v>4</v>
      </c>
      <c r="R151" s="38" t="s">
        <v>803</v>
      </c>
      <c r="S151" s="25"/>
      <c r="T151" s="25"/>
    </row>
    <row r="152" spans="1:20" ht="26.25" customHeight="1">
      <c r="A152" s="17">
        <f t="shared" si="0"/>
        <v>149</v>
      </c>
      <c r="B152" s="18" t="s">
        <v>105</v>
      </c>
      <c r="C152" s="31" t="s">
        <v>1009</v>
      </c>
      <c r="D152" s="19" t="s">
        <v>124</v>
      </c>
      <c r="E152" s="20" t="s">
        <v>1010</v>
      </c>
      <c r="F152" s="21" t="s">
        <v>1011</v>
      </c>
      <c r="G152" s="33" t="s">
        <v>42</v>
      </c>
      <c r="H152" s="23" t="s">
        <v>1012</v>
      </c>
      <c r="I152" s="34" t="s">
        <v>20</v>
      </c>
      <c r="J152" s="1" t="s">
        <v>87</v>
      </c>
      <c r="K152" s="25">
        <v>4</v>
      </c>
      <c r="L152" s="1" t="str">
        <f t="shared" si="1"/>
        <v/>
      </c>
      <c r="M152" s="62">
        <v>51</v>
      </c>
      <c r="N152" s="63" t="s">
        <v>1013</v>
      </c>
      <c r="O152" s="69" t="s">
        <v>1014</v>
      </c>
      <c r="P152" s="69" t="s">
        <v>1015</v>
      </c>
      <c r="Q152" s="69">
        <v>5</v>
      </c>
      <c r="R152" s="38" t="s">
        <v>803</v>
      </c>
      <c r="S152" s="25"/>
      <c r="T152" s="25"/>
    </row>
    <row r="153" spans="1:20" ht="26.25" customHeight="1">
      <c r="A153" s="17">
        <f t="shared" si="0"/>
        <v>150</v>
      </c>
      <c r="B153" s="18" t="s">
        <v>81</v>
      </c>
      <c r="C153" s="31" t="s">
        <v>1016</v>
      </c>
      <c r="D153" s="19" t="s">
        <v>83</v>
      </c>
      <c r="E153" s="20" t="s">
        <v>1017</v>
      </c>
      <c r="F153" s="21" t="s">
        <v>1018</v>
      </c>
      <c r="G153" s="33" t="s">
        <v>42</v>
      </c>
      <c r="H153" s="23" t="s">
        <v>1019</v>
      </c>
      <c r="I153" s="24" t="s">
        <v>20</v>
      </c>
      <c r="J153" s="1" t="s">
        <v>87</v>
      </c>
      <c r="K153" s="25">
        <v>4</v>
      </c>
      <c r="L153" s="1" t="str">
        <f t="shared" si="1"/>
        <v/>
      </c>
      <c r="M153" s="57">
        <v>52</v>
      </c>
      <c r="N153" s="61" t="s">
        <v>1020</v>
      </c>
      <c r="O153" s="68" t="s">
        <v>1021</v>
      </c>
      <c r="P153" s="68" t="s">
        <v>1022</v>
      </c>
      <c r="Q153" s="68">
        <v>12</v>
      </c>
      <c r="R153" s="30" t="s">
        <v>803</v>
      </c>
      <c r="S153" s="1"/>
      <c r="T153" s="1"/>
    </row>
    <row r="154" spans="1:20" ht="26.25" customHeight="1">
      <c r="A154" s="17">
        <f t="shared" si="0"/>
        <v>151</v>
      </c>
      <c r="B154" s="18" t="s">
        <v>105</v>
      </c>
      <c r="C154" s="31" t="s">
        <v>1023</v>
      </c>
      <c r="D154" s="19" t="s">
        <v>124</v>
      </c>
      <c r="E154" s="20" t="s">
        <v>1024</v>
      </c>
      <c r="F154" s="32" t="s">
        <v>1025</v>
      </c>
      <c r="G154" s="33" t="s">
        <v>42</v>
      </c>
      <c r="H154" s="23" t="s">
        <v>1026</v>
      </c>
      <c r="I154" s="24" t="s">
        <v>55</v>
      </c>
      <c r="J154" s="1" t="str">
        <f t="shared" ref="J154:J158" si="23">IFERROR(VLOOKUP(E154,#REF!,8,FALSE),"")</f>
        <v/>
      </c>
      <c r="K154" s="1"/>
      <c r="L154" s="1" t="str">
        <f t="shared" si="1"/>
        <v/>
      </c>
      <c r="M154" s="57">
        <v>53</v>
      </c>
      <c r="N154" s="61" t="s">
        <v>1027</v>
      </c>
      <c r="O154" s="68" t="s">
        <v>1028</v>
      </c>
      <c r="P154" s="68" t="s">
        <v>1029</v>
      </c>
      <c r="Q154" s="68">
        <v>12</v>
      </c>
      <c r="R154" s="30" t="s">
        <v>803</v>
      </c>
      <c r="S154" s="1"/>
      <c r="T154" s="1"/>
    </row>
    <row r="155" spans="1:20" ht="26.25" customHeight="1">
      <c r="A155" s="17">
        <f t="shared" si="0"/>
        <v>152</v>
      </c>
      <c r="B155" s="18" t="s">
        <v>81</v>
      </c>
      <c r="C155" s="31" t="s">
        <v>1030</v>
      </c>
      <c r="D155" s="19" t="s">
        <v>1031</v>
      </c>
      <c r="E155" s="20" t="s">
        <v>1032</v>
      </c>
      <c r="F155" s="32" t="s">
        <v>1033</v>
      </c>
      <c r="G155" s="33" t="s">
        <v>53</v>
      </c>
      <c r="H155" s="23" t="s">
        <v>1034</v>
      </c>
      <c r="I155" s="24" t="s">
        <v>55</v>
      </c>
      <c r="J155" s="1" t="str">
        <f t="shared" si="23"/>
        <v/>
      </c>
      <c r="K155" s="1"/>
      <c r="L155" s="1" t="str">
        <f t="shared" si="1"/>
        <v/>
      </c>
      <c r="M155" s="57">
        <v>54</v>
      </c>
      <c r="N155" s="61" t="s">
        <v>1035</v>
      </c>
      <c r="O155" s="68" t="s">
        <v>1036</v>
      </c>
      <c r="P155" s="68" t="s">
        <v>1037</v>
      </c>
      <c r="Q155" s="68">
        <v>4</v>
      </c>
      <c r="R155" s="30" t="s">
        <v>803</v>
      </c>
      <c r="S155" s="1"/>
      <c r="T155" s="1"/>
    </row>
    <row r="156" spans="1:20" ht="26.25" customHeight="1">
      <c r="A156" s="17">
        <f t="shared" si="0"/>
        <v>153</v>
      </c>
      <c r="B156" s="18" t="s">
        <v>81</v>
      </c>
      <c r="C156" s="31" t="s">
        <v>1038</v>
      </c>
      <c r="D156" s="19" t="s">
        <v>1031</v>
      </c>
      <c r="E156" s="20" t="s">
        <v>852</v>
      </c>
      <c r="F156" s="32" t="s">
        <v>1039</v>
      </c>
      <c r="G156" s="33" t="s">
        <v>53</v>
      </c>
      <c r="H156" s="23" t="s">
        <v>1040</v>
      </c>
      <c r="I156" s="24" t="s">
        <v>55</v>
      </c>
      <c r="J156" s="1" t="str">
        <f t="shared" si="23"/>
        <v/>
      </c>
      <c r="K156" s="25">
        <v>3</v>
      </c>
      <c r="L156" s="1" t="str">
        <f t="shared" si="1"/>
        <v>2020 FRIC 서양</v>
      </c>
      <c r="M156" s="57">
        <v>55</v>
      </c>
      <c r="N156" s="61" t="s">
        <v>1041</v>
      </c>
      <c r="O156" s="68" t="s">
        <v>1042</v>
      </c>
      <c r="P156" s="68" t="s">
        <v>1043</v>
      </c>
      <c r="Q156" s="68">
        <v>6</v>
      </c>
      <c r="R156" s="30" t="s">
        <v>803</v>
      </c>
      <c r="S156" s="1"/>
      <c r="T156" s="1"/>
    </row>
    <row r="157" spans="1:20" ht="26.25" customHeight="1">
      <c r="A157" s="17">
        <f t="shared" si="0"/>
        <v>154</v>
      </c>
      <c r="B157" s="18" t="s">
        <v>81</v>
      </c>
      <c r="C157" s="31" t="s">
        <v>1044</v>
      </c>
      <c r="D157" s="19" t="s">
        <v>1045</v>
      </c>
      <c r="E157" s="20" t="s">
        <v>225</v>
      </c>
      <c r="F157" s="32" t="s">
        <v>962</v>
      </c>
      <c r="G157" s="33" t="s">
        <v>42</v>
      </c>
      <c r="H157" s="23" t="s">
        <v>1046</v>
      </c>
      <c r="I157" s="24" t="s">
        <v>55</v>
      </c>
      <c r="J157" s="1" t="str">
        <f t="shared" si="23"/>
        <v/>
      </c>
      <c r="K157" s="25">
        <v>3</v>
      </c>
      <c r="L157" s="1" t="str">
        <f t="shared" si="1"/>
        <v>2017 FRIC 서양</v>
      </c>
      <c r="M157" s="57">
        <v>56</v>
      </c>
      <c r="N157" s="61" t="s">
        <v>1047</v>
      </c>
      <c r="O157" s="68" t="s">
        <v>1042</v>
      </c>
      <c r="P157" s="68" t="s">
        <v>1048</v>
      </c>
      <c r="Q157" s="68">
        <v>4</v>
      </c>
      <c r="R157" s="30" t="s">
        <v>803</v>
      </c>
      <c r="S157" s="1"/>
      <c r="T157" s="1"/>
    </row>
    <row r="158" spans="1:20" ht="26.25" customHeight="1">
      <c r="A158" s="17">
        <f t="shared" si="0"/>
        <v>155</v>
      </c>
      <c r="B158" s="18" t="s">
        <v>81</v>
      </c>
      <c r="C158" s="31" t="s">
        <v>1049</v>
      </c>
      <c r="D158" s="19" t="s">
        <v>1050</v>
      </c>
      <c r="E158" s="20" t="s">
        <v>1051</v>
      </c>
      <c r="F158" s="32" t="s">
        <v>1052</v>
      </c>
      <c r="G158" s="33" t="s">
        <v>53</v>
      </c>
      <c r="H158" s="23" t="s">
        <v>1053</v>
      </c>
      <c r="I158" s="24" t="s">
        <v>55</v>
      </c>
      <c r="J158" s="1" t="str">
        <f t="shared" si="23"/>
        <v/>
      </c>
      <c r="K158" s="1"/>
      <c r="L158" s="1" t="str">
        <f t="shared" si="1"/>
        <v/>
      </c>
      <c r="M158" s="57">
        <v>57</v>
      </c>
      <c r="N158" s="61" t="s">
        <v>1054</v>
      </c>
      <c r="O158" s="68" t="s">
        <v>1055</v>
      </c>
      <c r="P158" s="68" t="s">
        <v>1056</v>
      </c>
      <c r="Q158" s="68">
        <v>12</v>
      </c>
      <c r="R158" s="30" t="s">
        <v>803</v>
      </c>
      <c r="S158" s="1"/>
      <c r="T158" s="1"/>
    </row>
    <row r="159" spans="1:20" ht="26.25" customHeight="1">
      <c r="A159" s="17">
        <f t="shared" si="0"/>
        <v>156</v>
      </c>
      <c r="B159" s="18" t="s">
        <v>81</v>
      </c>
      <c r="C159" s="19" t="s">
        <v>1057</v>
      </c>
      <c r="D159" s="19" t="s">
        <v>1058</v>
      </c>
      <c r="E159" s="20" t="s">
        <v>1059</v>
      </c>
      <c r="F159" s="21" t="s">
        <v>135</v>
      </c>
      <c r="G159" s="33" t="s">
        <v>42</v>
      </c>
      <c r="H159" s="23" t="s">
        <v>1060</v>
      </c>
      <c r="I159" s="24" t="s">
        <v>20</v>
      </c>
      <c r="J159" s="1" t="s">
        <v>21</v>
      </c>
      <c r="K159" s="25">
        <v>3</v>
      </c>
      <c r="L159" s="1" t="str">
        <f t="shared" si="1"/>
        <v/>
      </c>
      <c r="M159" s="57">
        <v>58</v>
      </c>
      <c r="N159" s="61" t="s">
        <v>1061</v>
      </c>
      <c r="O159" s="68" t="s">
        <v>1042</v>
      </c>
      <c r="P159" s="68" t="s">
        <v>1062</v>
      </c>
      <c r="Q159" s="68">
        <v>6</v>
      </c>
      <c r="R159" s="30" t="s">
        <v>803</v>
      </c>
      <c r="S159" s="1"/>
      <c r="T159" s="1"/>
    </row>
    <row r="160" spans="1:20" ht="26.25" customHeight="1">
      <c r="A160" s="17">
        <f t="shared" si="0"/>
        <v>157</v>
      </c>
      <c r="B160" s="18" t="s">
        <v>81</v>
      </c>
      <c r="C160" s="31" t="s">
        <v>1063</v>
      </c>
      <c r="D160" s="19" t="s">
        <v>83</v>
      </c>
      <c r="E160" s="20" t="s">
        <v>1064</v>
      </c>
      <c r="F160" s="32" t="s">
        <v>1065</v>
      </c>
      <c r="G160" s="33" t="s">
        <v>53</v>
      </c>
      <c r="H160" s="23" t="s">
        <v>1066</v>
      </c>
      <c r="I160" s="24" t="s">
        <v>55</v>
      </c>
      <c r="J160" s="1" t="str">
        <f t="shared" ref="J160:J161" si="24">IFERROR(VLOOKUP(E160,#REF!,8,FALSE),"")</f>
        <v/>
      </c>
      <c r="K160" s="1"/>
      <c r="L160" s="1" t="str">
        <f t="shared" si="1"/>
        <v/>
      </c>
      <c r="M160" s="57">
        <v>59</v>
      </c>
      <c r="N160" s="61" t="s">
        <v>1067</v>
      </c>
      <c r="O160" s="68" t="s">
        <v>1068</v>
      </c>
      <c r="P160" s="68" t="s">
        <v>1069</v>
      </c>
      <c r="Q160" s="68">
        <v>2</v>
      </c>
      <c r="R160" s="30" t="s">
        <v>803</v>
      </c>
      <c r="S160" s="1"/>
      <c r="T160" s="1"/>
    </row>
    <row r="161" spans="1:20" ht="26.25" customHeight="1">
      <c r="A161" s="17">
        <f t="shared" si="0"/>
        <v>158</v>
      </c>
      <c r="B161" s="18" t="s">
        <v>13</v>
      </c>
      <c r="C161" s="31" t="s">
        <v>971</v>
      </c>
      <c r="D161" s="19" t="s">
        <v>972</v>
      </c>
      <c r="E161" s="20" t="s">
        <v>973</v>
      </c>
      <c r="F161" s="32" t="s">
        <v>170</v>
      </c>
      <c r="G161" s="22" t="s">
        <v>53</v>
      </c>
      <c r="H161" s="23" t="s">
        <v>1070</v>
      </c>
      <c r="I161" s="24" t="s">
        <v>55</v>
      </c>
      <c r="J161" s="1" t="str">
        <f t="shared" si="24"/>
        <v/>
      </c>
      <c r="K161" s="25">
        <v>3</v>
      </c>
      <c r="L161" s="1" t="str">
        <f t="shared" si="1"/>
        <v>2020 FRIC 서양</v>
      </c>
      <c r="M161" s="57">
        <v>60</v>
      </c>
      <c r="N161" s="61" t="s">
        <v>1071</v>
      </c>
      <c r="O161" s="68" t="s">
        <v>196</v>
      </c>
      <c r="P161" s="68" t="s">
        <v>1072</v>
      </c>
      <c r="Q161" s="68">
        <v>4</v>
      </c>
      <c r="R161" s="30" t="s">
        <v>803</v>
      </c>
      <c r="S161" s="1"/>
      <c r="T161" s="1"/>
    </row>
    <row r="162" spans="1:20" ht="26.25" customHeight="1">
      <c r="A162" s="17">
        <f t="shared" si="0"/>
        <v>159</v>
      </c>
      <c r="B162" s="18" t="s">
        <v>13</v>
      </c>
      <c r="C162" s="19" t="s">
        <v>1073</v>
      </c>
      <c r="D162" s="19" t="s">
        <v>60</v>
      </c>
      <c r="E162" s="20" t="s">
        <v>1074</v>
      </c>
      <c r="F162" s="21" t="s">
        <v>1075</v>
      </c>
      <c r="G162" s="22" t="s">
        <v>53</v>
      </c>
      <c r="H162" s="23" t="s">
        <v>1076</v>
      </c>
      <c r="I162" s="24" t="s">
        <v>20</v>
      </c>
      <c r="J162" s="1" t="s">
        <v>21</v>
      </c>
      <c r="K162" s="25">
        <v>3</v>
      </c>
      <c r="L162" s="1" t="str">
        <f t="shared" si="1"/>
        <v/>
      </c>
      <c r="M162" s="57">
        <v>61</v>
      </c>
      <c r="N162" s="61" t="s">
        <v>1077</v>
      </c>
      <c r="O162" s="68" t="s">
        <v>1078</v>
      </c>
      <c r="P162" s="68" t="s">
        <v>1079</v>
      </c>
      <c r="Q162" s="68">
        <v>4</v>
      </c>
      <c r="R162" s="30" t="s">
        <v>803</v>
      </c>
      <c r="S162" s="1"/>
      <c r="T162" s="1"/>
    </row>
    <row r="163" spans="1:20" ht="26.25" customHeight="1">
      <c r="A163" s="17">
        <f t="shared" si="0"/>
        <v>160</v>
      </c>
      <c r="B163" s="18" t="s">
        <v>81</v>
      </c>
      <c r="C163" s="19" t="s">
        <v>1080</v>
      </c>
      <c r="D163" s="19" t="s">
        <v>141</v>
      </c>
      <c r="E163" s="20" t="s">
        <v>1081</v>
      </c>
      <c r="F163" s="21" t="s">
        <v>905</v>
      </c>
      <c r="G163" s="33" t="s">
        <v>42</v>
      </c>
      <c r="H163" s="23" t="s">
        <v>1082</v>
      </c>
      <c r="I163" s="24" t="s">
        <v>20</v>
      </c>
      <c r="J163" s="1" t="s">
        <v>21</v>
      </c>
      <c r="K163" s="25">
        <v>3</v>
      </c>
      <c r="L163" s="1" t="str">
        <f t="shared" si="1"/>
        <v/>
      </c>
      <c r="M163" s="57">
        <v>62</v>
      </c>
      <c r="N163" s="61" t="s">
        <v>1083</v>
      </c>
      <c r="O163" s="68" t="s">
        <v>1084</v>
      </c>
      <c r="P163" s="68" t="s">
        <v>1085</v>
      </c>
      <c r="Q163" s="68">
        <v>6</v>
      </c>
      <c r="R163" s="30" t="s">
        <v>803</v>
      </c>
      <c r="S163" s="1"/>
      <c r="T163" s="1"/>
    </row>
    <row r="164" spans="1:20" ht="26.25" customHeight="1">
      <c r="A164" s="17">
        <f t="shared" si="0"/>
        <v>161</v>
      </c>
      <c r="B164" s="18" t="s">
        <v>13</v>
      </c>
      <c r="C164" s="31" t="s">
        <v>360</v>
      </c>
      <c r="D164" s="19" t="s">
        <v>499</v>
      </c>
      <c r="E164" s="20" t="s">
        <v>362</v>
      </c>
      <c r="F164" s="32" t="s">
        <v>163</v>
      </c>
      <c r="G164" s="22" t="s">
        <v>1086</v>
      </c>
      <c r="H164" s="23" t="s">
        <v>1087</v>
      </c>
      <c r="I164" s="24" t="s">
        <v>55</v>
      </c>
      <c r="J164" s="1" t="str">
        <f t="shared" ref="J164:J167" si="25">IFERROR(VLOOKUP(E164,#REF!,8,FALSE),"")</f>
        <v/>
      </c>
      <c r="K164" s="25">
        <v>3</v>
      </c>
      <c r="L164" s="1" t="str">
        <f t="shared" si="1"/>
        <v>2018 FRIC 서양</v>
      </c>
      <c r="M164" s="57">
        <v>63</v>
      </c>
      <c r="N164" s="61" t="s">
        <v>1088</v>
      </c>
      <c r="O164" s="68" t="s">
        <v>103</v>
      </c>
      <c r="P164" s="68" t="s">
        <v>1089</v>
      </c>
      <c r="Q164" s="68">
        <v>12</v>
      </c>
      <c r="R164" s="30" t="s">
        <v>803</v>
      </c>
      <c r="S164" s="1"/>
      <c r="T164" s="1"/>
    </row>
    <row r="165" spans="1:20" ht="26.25" customHeight="1">
      <c r="A165" s="17">
        <f t="shared" si="0"/>
        <v>162</v>
      </c>
      <c r="B165" s="18" t="s">
        <v>13</v>
      </c>
      <c r="C165" s="31" t="s">
        <v>976</v>
      </c>
      <c r="D165" s="19" t="s">
        <v>1090</v>
      </c>
      <c r="E165" s="20" t="s">
        <v>978</v>
      </c>
      <c r="F165" s="32" t="s">
        <v>170</v>
      </c>
      <c r="G165" s="22" t="s">
        <v>53</v>
      </c>
      <c r="H165" s="23" t="s">
        <v>1091</v>
      </c>
      <c r="I165" s="24" t="s">
        <v>55</v>
      </c>
      <c r="J165" s="1" t="str">
        <f t="shared" si="25"/>
        <v/>
      </c>
      <c r="K165" s="25">
        <v>3</v>
      </c>
      <c r="L165" s="1" t="str">
        <f t="shared" si="1"/>
        <v>2020 FRIC 서양</v>
      </c>
      <c r="M165" s="57">
        <v>64</v>
      </c>
      <c r="N165" s="61" t="s">
        <v>1092</v>
      </c>
      <c r="O165" s="68" t="s">
        <v>1078</v>
      </c>
      <c r="P165" s="68" t="s">
        <v>1093</v>
      </c>
      <c r="Q165" s="68">
        <v>4</v>
      </c>
      <c r="R165" s="30" t="s">
        <v>803</v>
      </c>
      <c r="S165" s="1"/>
      <c r="T165" s="1"/>
    </row>
    <row r="166" spans="1:20" ht="26.25" customHeight="1">
      <c r="A166" s="17">
        <f t="shared" si="0"/>
        <v>163</v>
      </c>
      <c r="B166" s="18" t="s">
        <v>13</v>
      </c>
      <c r="C166" s="31" t="s">
        <v>983</v>
      </c>
      <c r="D166" s="19" t="s">
        <v>1094</v>
      </c>
      <c r="E166" s="20" t="s">
        <v>985</v>
      </c>
      <c r="F166" s="32" t="s">
        <v>170</v>
      </c>
      <c r="G166" s="22" t="s">
        <v>53</v>
      </c>
      <c r="H166" s="23" t="s">
        <v>1095</v>
      </c>
      <c r="I166" s="24" t="s">
        <v>55</v>
      </c>
      <c r="J166" s="1" t="str">
        <f t="shared" si="25"/>
        <v/>
      </c>
      <c r="K166" s="25">
        <v>3</v>
      </c>
      <c r="L166" s="1" t="str">
        <f t="shared" si="1"/>
        <v>2020 FRIC 서양</v>
      </c>
      <c r="M166" s="57">
        <v>65</v>
      </c>
      <c r="N166" s="61" t="s">
        <v>1096</v>
      </c>
      <c r="O166" s="68" t="s">
        <v>1097</v>
      </c>
      <c r="P166" s="68" t="s">
        <v>1098</v>
      </c>
      <c r="Q166" s="68">
        <v>6</v>
      </c>
      <c r="R166" s="30" t="s">
        <v>803</v>
      </c>
      <c r="S166" s="1"/>
      <c r="T166" s="1"/>
    </row>
    <row r="167" spans="1:20" ht="26.25" customHeight="1">
      <c r="A167" s="17">
        <f t="shared" si="0"/>
        <v>164</v>
      </c>
      <c r="B167" s="18" t="s">
        <v>105</v>
      </c>
      <c r="C167" s="31" t="s">
        <v>1099</v>
      </c>
      <c r="D167" s="19" t="s">
        <v>196</v>
      </c>
      <c r="E167" s="20" t="s">
        <v>1100</v>
      </c>
      <c r="F167" s="32" t="s">
        <v>1101</v>
      </c>
      <c r="G167" s="33" t="s">
        <v>42</v>
      </c>
      <c r="H167" s="23" t="s">
        <v>1102</v>
      </c>
      <c r="I167" s="24" t="s">
        <v>55</v>
      </c>
      <c r="J167" s="1" t="str">
        <f t="shared" si="25"/>
        <v/>
      </c>
      <c r="K167" s="1"/>
      <c r="L167" s="1" t="str">
        <f t="shared" si="1"/>
        <v/>
      </c>
      <c r="M167" s="57">
        <v>66</v>
      </c>
      <c r="N167" s="61" t="s">
        <v>1103</v>
      </c>
      <c r="O167" s="68" t="s">
        <v>255</v>
      </c>
      <c r="P167" s="68" t="s">
        <v>1104</v>
      </c>
      <c r="Q167" s="68">
        <v>4</v>
      </c>
      <c r="R167" s="30" t="s">
        <v>803</v>
      </c>
      <c r="S167" s="1"/>
      <c r="T167" s="1"/>
    </row>
    <row r="168" spans="1:20" ht="26.25" customHeight="1">
      <c r="A168" s="17">
        <f t="shared" si="0"/>
        <v>165</v>
      </c>
      <c r="B168" s="18" t="s">
        <v>132</v>
      </c>
      <c r="C168" s="19" t="s">
        <v>1105</v>
      </c>
      <c r="D168" s="19" t="s">
        <v>1106</v>
      </c>
      <c r="E168" s="20" t="s">
        <v>1107</v>
      </c>
      <c r="F168" s="21" t="s">
        <v>1108</v>
      </c>
      <c r="G168" s="22" t="s">
        <v>42</v>
      </c>
      <c r="H168" s="23" t="s">
        <v>1109</v>
      </c>
      <c r="I168" s="24" t="s">
        <v>20</v>
      </c>
      <c r="J168" s="1" t="s">
        <v>21</v>
      </c>
      <c r="K168" s="25">
        <v>3</v>
      </c>
      <c r="L168" s="1" t="str">
        <f t="shared" si="1"/>
        <v/>
      </c>
      <c r="M168" s="57">
        <v>67</v>
      </c>
      <c r="N168" s="61" t="s">
        <v>1110</v>
      </c>
      <c r="O168" s="68" t="s">
        <v>1111</v>
      </c>
      <c r="P168" s="68" t="s">
        <v>1112</v>
      </c>
      <c r="Q168" s="68">
        <v>12</v>
      </c>
      <c r="R168" s="30" t="s">
        <v>803</v>
      </c>
      <c r="S168" s="1"/>
      <c r="T168" s="1"/>
    </row>
    <row r="169" spans="1:20" ht="26.25" customHeight="1">
      <c r="A169" s="17">
        <f t="shared" si="0"/>
        <v>166</v>
      </c>
      <c r="B169" s="18" t="s">
        <v>48</v>
      </c>
      <c r="C169" s="31" t="s">
        <v>1113</v>
      </c>
      <c r="D169" s="19" t="s">
        <v>1114</v>
      </c>
      <c r="E169" s="20" t="s">
        <v>1115</v>
      </c>
      <c r="F169" s="32" t="s">
        <v>222</v>
      </c>
      <c r="G169" s="33" t="s">
        <v>53</v>
      </c>
      <c r="H169" s="23" t="s">
        <v>1116</v>
      </c>
      <c r="I169" s="24" t="s">
        <v>55</v>
      </c>
      <c r="J169" s="1" t="str">
        <f t="shared" ref="J169:J172" si="26">IFERROR(VLOOKUP(E169,#REF!,8,FALSE),"")</f>
        <v/>
      </c>
      <c r="K169" s="1"/>
      <c r="L169" s="1" t="str">
        <f t="shared" si="1"/>
        <v/>
      </c>
      <c r="M169" s="57">
        <v>68</v>
      </c>
      <c r="N169" s="61" t="s">
        <v>1117</v>
      </c>
      <c r="O169" s="68" t="s">
        <v>1118</v>
      </c>
      <c r="P169" s="68" t="s">
        <v>1119</v>
      </c>
      <c r="Q169" s="68">
        <v>12</v>
      </c>
      <c r="R169" s="30" t="s">
        <v>803</v>
      </c>
      <c r="S169" s="1"/>
      <c r="T169" s="1"/>
    </row>
    <row r="170" spans="1:20" ht="26.25" customHeight="1">
      <c r="A170" s="17">
        <f t="shared" si="0"/>
        <v>167</v>
      </c>
      <c r="B170" s="18" t="s">
        <v>175</v>
      </c>
      <c r="C170" s="31" t="s">
        <v>1120</v>
      </c>
      <c r="D170" s="19" t="s">
        <v>588</v>
      </c>
      <c r="E170" s="20" t="s">
        <v>1121</v>
      </c>
      <c r="F170" s="32" t="s">
        <v>1122</v>
      </c>
      <c r="G170" s="70" t="s">
        <v>42</v>
      </c>
      <c r="H170" s="23" t="s">
        <v>1123</v>
      </c>
      <c r="I170" s="24" t="s">
        <v>55</v>
      </c>
      <c r="J170" s="1" t="str">
        <f t="shared" si="26"/>
        <v/>
      </c>
      <c r="K170" s="1"/>
      <c r="L170" s="1" t="str">
        <f t="shared" si="1"/>
        <v/>
      </c>
      <c r="M170" s="57">
        <v>69</v>
      </c>
      <c r="N170" s="61" t="s">
        <v>1124</v>
      </c>
      <c r="O170" s="68" t="s">
        <v>1125</v>
      </c>
      <c r="P170" s="68" t="s">
        <v>1126</v>
      </c>
      <c r="Q170" s="68">
        <v>6</v>
      </c>
      <c r="R170" s="30" t="s">
        <v>803</v>
      </c>
      <c r="S170" s="1"/>
      <c r="T170" s="1"/>
    </row>
    <row r="171" spans="1:20" ht="26.25" customHeight="1">
      <c r="A171" s="17">
        <f t="shared" si="0"/>
        <v>168</v>
      </c>
      <c r="B171" s="18" t="s">
        <v>105</v>
      </c>
      <c r="C171" s="31" t="s">
        <v>1127</v>
      </c>
      <c r="D171" s="19" t="s">
        <v>1128</v>
      </c>
      <c r="E171" s="20" t="s">
        <v>1129</v>
      </c>
      <c r="F171" s="32" t="s">
        <v>1130</v>
      </c>
      <c r="G171" s="33" t="s">
        <v>53</v>
      </c>
      <c r="H171" s="23" t="s">
        <v>1131</v>
      </c>
      <c r="I171" s="24" t="s">
        <v>55</v>
      </c>
      <c r="J171" s="1" t="str">
        <f t="shared" si="26"/>
        <v/>
      </c>
      <c r="K171" s="1"/>
      <c r="L171" s="1" t="str">
        <f t="shared" si="1"/>
        <v/>
      </c>
      <c r="M171" s="57">
        <v>70</v>
      </c>
      <c r="N171" s="61" t="s">
        <v>1132</v>
      </c>
      <c r="O171" s="68" t="s">
        <v>1133</v>
      </c>
      <c r="P171" s="68" t="s">
        <v>1134</v>
      </c>
      <c r="Q171" s="68">
        <v>12</v>
      </c>
      <c r="R171" s="30" t="s">
        <v>803</v>
      </c>
      <c r="S171" s="1"/>
      <c r="T171" s="1"/>
    </row>
    <row r="172" spans="1:20" ht="26.25" customHeight="1">
      <c r="A172" s="17">
        <f t="shared" si="0"/>
        <v>169</v>
      </c>
      <c r="B172" s="18" t="s">
        <v>27</v>
      </c>
      <c r="C172" s="31" t="s">
        <v>1135</v>
      </c>
      <c r="D172" s="19" t="s">
        <v>808</v>
      </c>
      <c r="E172" s="20" t="s">
        <v>1136</v>
      </c>
      <c r="F172" s="32" t="s">
        <v>1137</v>
      </c>
      <c r="G172" s="22" t="s">
        <v>42</v>
      </c>
      <c r="H172" s="23" t="s">
        <v>1138</v>
      </c>
      <c r="I172" s="24" t="s">
        <v>55</v>
      </c>
      <c r="J172" s="1" t="str">
        <f t="shared" si="26"/>
        <v/>
      </c>
      <c r="K172" s="1"/>
      <c r="L172" s="1" t="str">
        <f t="shared" si="1"/>
        <v/>
      </c>
      <c r="M172" s="57">
        <v>71</v>
      </c>
      <c r="N172" s="61" t="s">
        <v>1139</v>
      </c>
      <c r="O172" s="68" t="s">
        <v>1140</v>
      </c>
      <c r="P172" s="68" t="s">
        <v>1141</v>
      </c>
      <c r="Q172" s="68">
        <v>12</v>
      </c>
      <c r="R172" s="30" t="s">
        <v>803</v>
      </c>
      <c r="S172" s="1"/>
      <c r="T172" s="1"/>
    </row>
    <row r="173" spans="1:20" ht="26.25" customHeight="1">
      <c r="A173" s="17">
        <f t="shared" si="0"/>
        <v>170</v>
      </c>
      <c r="B173" s="18" t="s">
        <v>13</v>
      </c>
      <c r="C173" s="19" t="s">
        <v>1142</v>
      </c>
      <c r="D173" s="19" t="s">
        <v>1143</v>
      </c>
      <c r="E173" s="20" t="s">
        <v>1144</v>
      </c>
      <c r="F173" s="21" t="s">
        <v>135</v>
      </c>
      <c r="G173" s="22" t="s">
        <v>53</v>
      </c>
      <c r="H173" s="23" t="s">
        <v>1145</v>
      </c>
      <c r="I173" s="24" t="s">
        <v>20</v>
      </c>
      <c r="J173" s="1" t="s">
        <v>21</v>
      </c>
      <c r="K173" s="25">
        <v>3</v>
      </c>
      <c r="L173" s="1" t="str">
        <f t="shared" si="1"/>
        <v/>
      </c>
      <c r="M173" s="57">
        <v>72</v>
      </c>
      <c r="N173" s="61" t="s">
        <v>1146</v>
      </c>
      <c r="O173" s="68" t="s">
        <v>1147</v>
      </c>
      <c r="P173" s="68" t="s">
        <v>1148</v>
      </c>
      <c r="Q173" s="68">
        <v>12</v>
      </c>
      <c r="R173" s="30" t="s">
        <v>803</v>
      </c>
      <c r="S173" s="1"/>
      <c r="T173" s="1"/>
    </row>
    <row r="174" spans="1:20" ht="26.25" customHeight="1">
      <c r="A174" s="17">
        <f t="shared" si="0"/>
        <v>171</v>
      </c>
      <c r="B174" s="18" t="s">
        <v>132</v>
      </c>
      <c r="C174" s="31" t="s">
        <v>238</v>
      </c>
      <c r="D174" s="19" t="s">
        <v>239</v>
      </c>
      <c r="E174" s="20" t="s">
        <v>240</v>
      </c>
      <c r="F174" s="32" t="s">
        <v>62</v>
      </c>
      <c r="G174" s="22" t="s">
        <v>53</v>
      </c>
      <c r="H174" s="23" t="s">
        <v>1149</v>
      </c>
      <c r="I174" s="24" t="s">
        <v>55</v>
      </c>
      <c r="J174" s="1" t="str">
        <f t="shared" ref="J174:J177" si="27">IFERROR(VLOOKUP(E174,#REF!,8,FALSE),"")</f>
        <v/>
      </c>
      <c r="K174" s="25">
        <v>3</v>
      </c>
      <c r="L174" s="1" t="str">
        <f t="shared" si="1"/>
        <v>2017 FRIC 서양</v>
      </c>
      <c r="M174" s="57">
        <v>73</v>
      </c>
      <c r="N174" s="61" t="s">
        <v>1150</v>
      </c>
      <c r="O174" s="68" t="s">
        <v>1151</v>
      </c>
      <c r="P174" s="68" t="s">
        <v>1152</v>
      </c>
      <c r="Q174" s="68">
        <v>11</v>
      </c>
      <c r="R174" s="30" t="s">
        <v>803</v>
      </c>
      <c r="S174" s="1"/>
      <c r="T174" s="1"/>
    </row>
    <row r="175" spans="1:20" ht="26.25" customHeight="1">
      <c r="A175" s="17">
        <f t="shared" si="0"/>
        <v>172</v>
      </c>
      <c r="B175" s="18" t="s">
        <v>132</v>
      </c>
      <c r="C175" s="31" t="s">
        <v>1153</v>
      </c>
      <c r="D175" s="19" t="s">
        <v>1154</v>
      </c>
      <c r="E175" s="20" t="s">
        <v>1155</v>
      </c>
      <c r="F175" s="32" t="s">
        <v>496</v>
      </c>
      <c r="G175" s="22" t="s">
        <v>53</v>
      </c>
      <c r="H175" s="23" t="s">
        <v>1156</v>
      </c>
      <c r="I175" s="24" t="s">
        <v>55</v>
      </c>
      <c r="J175" s="1" t="str">
        <f t="shared" si="27"/>
        <v/>
      </c>
      <c r="K175" s="1"/>
      <c r="L175" s="1" t="str">
        <f t="shared" si="1"/>
        <v/>
      </c>
      <c r="M175" s="57">
        <v>74</v>
      </c>
      <c r="N175" s="61" t="s">
        <v>1157</v>
      </c>
      <c r="O175" s="68" t="s">
        <v>641</v>
      </c>
      <c r="P175" s="68" t="s">
        <v>1158</v>
      </c>
      <c r="Q175" s="68">
        <v>12</v>
      </c>
      <c r="R175" s="30" t="s">
        <v>803</v>
      </c>
      <c r="S175" s="1"/>
      <c r="T175" s="1"/>
    </row>
    <row r="176" spans="1:20" ht="26.25" customHeight="1">
      <c r="A176" s="17">
        <f t="shared" si="0"/>
        <v>173</v>
      </c>
      <c r="B176" s="18" t="s">
        <v>132</v>
      </c>
      <c r="C176" s="31" t="s">
        <v>1159</v>
      </c>
      <c r="D176" s="19" t="s">
        <v>239</v>
      </c>
      <c r="E176" s="20" t="s">
        <v>996</v>
      </c>
      <c r="F176" s="32" t="s">
        <v>170</v>
      </c>
      <c r="G176" s="22" t="s">
        <v>53</v>
      </c>
      <c r="H176" s="23" t="s">
        <v>1160</v>
      </c>
      <c r="I176" s="24" t="s">
        <v>55</v>
      </c>
      <c r="J176" s="1" t="str">
        <f t="shared" si="27"/>
        <v/>
      </c>
      <c r="K176" s="25">
        <v>3</v>
      </c>
      <c r="L176" s="1" t="str">
        <f t="shared" si="1"/>
        <v>2020 FRIC 서양</v>
      </c>
      <c r="M176" s="57">
        <v>75</v>
      </c>
      <c r="N176" s="61" t="s">
        <v>1161</v>
      </c>
      <c r="O176" s="68" t="s">
        <v>1162</v>
      </c>
      <c r="P176" s="68" t="s">
        <v>1163</v>
      </c>
      <c r="Q176" s="68">
        <v>10</v>
      </c>
      <c r="R176" s="30" t="s">
        <v>803</v>
      </c>
      <c r="S176" s="1"/>
      <c r="T176" s="1"/>
    </row>
    <row r="177" spans="1:20" ht="26.25" customHeight="1">
      <c r="A177" s="17">
        <f t="shared" si="0"/>
        <v>174</v>
      </c>
      <c r="B177" s="18" t="s">
        <v>105</v>
      </c>
      <c r="C177" s="31" t="s">
        <v>725</v>
      </c>
      <c r="D177" s="19" t="s">
        <v>726</v>
      </c>
      <c r="E177" s="20" t="s">
        <v>727</v>
      </c>
      <c r="F177" s="32" t="s">
        <v>1164</v>
      </c>
      <c r="G177" s="33" t="s">
        <v>42</v>
      </c>
      <c r="H177" s="23" t="s">
        <v>1165</v>
      </c>
      <c r="I177" s="24" t="s">
        <v>55</v>
      </c>
      <c r="J177" s="1" t="str">
        <f t="shared" si="27"/>
        <v/>
      </c>
      <c r="K177" s="25">
        <v>4</v>
      </c>
      <c r="L177" s="1" t="str">
        <f t="shared" si="1"/>
        <v>2020 과기 서양</v>
      </c>
      <c r="M177" s="57">
        <v>76</v>
      </c>
      <c r="N177" s="61" t="s">
        <v>1166</v>
      </c>
      <c r="O177" s="68" t="s">
        <v>141</v>
      </c>
      <c r="P177" s="68" t="s">
        <v>1167</v>
      </c>
      <c r="Q177" s="68">
        <v>11</v>
      </c>
      <c r="R177" s="30" t="s">
        <v>803</v>
      </c>
      <c r="S177" s="1"/>
      <c r="T177" s="1"/>
    </row>
    <row r="178" spans="1:20" ht="26.25" customHeight="1">
      <c r="A178" s="17">
        <f t="shared" si="0"/>
        <v>175</v>
      </c>
      <c r="B178" s="18" t="s">
        <v>13</v>
      </c>
      <c r="C178" s="19" t="s">
        <v>1168</v>
      </c>
      <c r="D178" s="19" t="s">
        <v>1169</v>
      </c>
      <c r="E178" s="20" t="s">
        <v>1170</v>
      </c>
      <c r="F178" s="21" t="s">
        <v>1171</v>
      </c>
      <c r="G178" s="22" t="s">
        <v>53</v>
      </c>
      <c r="H178" s="23" t="s">
        <v>1172</v>
      </c>
      <c r="I178" s="24" t="s">
        <v>20</v>
      </c>
      <c r="J178" s="1" t="s">
        <v>21</v>
      </c>
      <c r="K178" s="25">
        <v>3</v>
      </c>
      <c r="L178" s="1" t="str">
        <f t="shared" si="1"/>
        <v/>
      </c>
      <c r="M178" s="57">
        <v>77</v>
      </c>
      <c r="N178" s="61" t="s">
        <v>1173</v>
      </c>
      <c r="O178" s="68" t="s">
        <v>1174</v>
      </c>
      <c r="P178" s="68" t="s">
        <v>1175</v>
      </c>
      <c r="Q178" s="68">
        <v>12</v>
      </c>
      <c r="R178" s="30" t="s">
        <v>803</v>
      </c>
      <c r="S178" s="1"/>
      <c r="T178" s="1"/>
    </row>
    <row r="179" spans="1:20" ht="26.25" customHeight="1">
      <c r="A179" s="17">
        <f t="shared" si="0"/>
        <v>176</v>
      </c>
      <c r="B179" s="18" t="s">
        <v>175</v>
      </c>
      <c r="C179" s="31" t="s">
        <v>1176</v>
      </c>
      <c r="D179" s="19" t="s">
        <v>124</v>
      </c>
      <c r="E179" s="20" t="s">
        <v>1177</v>
      </c>
      <c r="F179" s="32" t="s">
        <v>1178</v>
      </c>
      <c r="G179" s="33" t="s">
        <v>42</v>
      </c>
      <c r="H179" s="23" t="s">
        <v>1179</v>
      </c>
      <c r="I179" s="24" t="s">
        <v>55</v>
      </c>
      <c r="J179" s="1" t="str">
        <f t="shared" ref="J179:J180" si="28">IFERROR(VLOOKUP(E179,#REF!,8,FALSE),"")</f>
        <v/>
      </c>
      <c r="K179" s="1"/>
      <c r="L179" s="1" t="str">
        <f t="shared" si="1"/>
        <v/>
      </c>
      <c r="M179" s="57">
        <v>78</v>
      </c>
      <c r="N179" s="61" t="s">
        <v>1180</v>
      </c>
      <c r="O179" s="68" t="s">
        <v>1181</v>
      </c>
      <c r="P179" s="68" t="s">
        <v>1182</v>
      </c>
      <c r="Q179" s="68">
        <v>12</v>
      </c>
      <c r="R179" s="30" t="s">
        <v>803</v>
      </c>
      <c r="S179" s="1"/>
      <c r="T179" s="1"/>
    </row>
    <row r="180" spans="1:20" ht="26.25" customHeight="1">
      <c r="A180" s="17">
        <f t="shared" si="0"/>
        <v>177</v>
      </c>
      <c r="B180" s="18" t="s">
        <v>105</v>
      </c>
      <c r="C180" s="31" t="s">
        <v>1183</v>
      </c>
      <c r="D180" s="19" t="s">
        <v>1184</v>
      </c>
      <c r="E180" s="20" t="s">
        <v>1185</v>
      </c>
      <c r="F180" s="32" t="s">
        <v>1186</v>
      </c>
      <c r="G180" s="33" t="s">
        <v>42</v>
      </c>
      <c r="H180" s="23" t="s">
        <v>1187</v>
      </c>
      <c r="I180" s="24" t="s">
        <v>55</v>
      </c>
      <c r="J180" s="1" t="str">
        <f t="shared" si="28"/>
        <v/>
      </c>
      <c r="K180" s="1"/>
      <c r="L180" s="1" t="str">
        <f t="shared" si="1"/>
        <v/>
      </c>
      <c r="M180" s="57">
        <v>79</v>
      </c>
      <c r="N180" s="61" t="s">
        <v>1188</v>
      </c>
      <c r="O180" s="68" t="s">
        <v>1189</v>
      </c>
      <c r="P180" s="68" t="s">
        <v>1190</v>
      </c>
      <c r="Q180" s="68">
        <v>4</v>
      </c>
      <c r="R180" s="30" t="s">
        <v>803</v>
      </c>
      <c r="S180" s="1"/>
      <c r="T180" s="1"/>
    </row>
    <row r="181" spans="1:20" ht="26.25" customHeight="1">
      <c r="A181" s="17">
        <f t="shared" si="0"/>
        <v>178</v>
      </c>
      <c r="B181" s="64" t="s">
        <v>81</v>
      </c>
      <c r="C181" s="19" t="s">
        <v>1191</v>
      </c>
      <c r="D181" s="19" t="s">
        <v>124</v>
      </c>
      <c r="E181" s="20" t="s">
        <v>1192</v>
      </c>
      <c r="F181" s="21" t="s">
        <v>135</v>
      </c>
      <c r="G181" s="33" t="s">
        <v>42</v>
      </c>
      <c r="H181" s="23" t="s">
        <v>1193</v>
      </c>
      <c r="I181" s="24" t="s">
        <v>20</v>
      </c>
      <c r="J181" s="1" t="s">
        <v>21</v>
      </c>
      <c r="K181" s="25">
        <v>3</v>
      </c>
      <c r="L181" s="1" t="str">
        <f t="shared" si="1"/>
        <v/>
      </c>
      <c r="M181" s="57">
        <v>80</v>
      </c>
      <c r="N181" s="61" t="s">
        <v>1194</v>
      </c>
      <c r="O181" s="68" t="s">
        <v>1195</v>
      </c>
      <c r="P181" s="68" t="s">
        <v>1196</v>
      </c>
      <c r="Q181" s="68">
        <v>7</v>
      </c>
      <c r="R181" s="30" t="s">
        <v>803</v>
      </c>
      <c r="S181" s="1"/>
      <c r="T181" s="1"/>
    </row>
    <row r="182" spans="1:20" ht="26.25" customHeight="1">
      <c r="A182" s="17">
        <f t="shared" si="0"/>
        <v>179</v>
      </c>
      <c r="B182" s="18" t="s">
        <v>1197</v>
      </c>
      <c r="C182" s="71" t="s">
        <v>1198</v>
      </c>
      <c r="D182" s="19" t="s">
        <v>1199</v>
      </c>
      <c r="E182" s="20" t="s">
        <v>1200</v>
      </c>
      <c r="F182" s="32" t="s">
        <v>1201</v>
      </c>
      <c r="G182" s="33" t="s">
        <v>42</v>
      </c>
      <c r="H182" s="23" t="s">
        <v>1202</v>
      </c>
      <c r="I182" s="24" t="s">
        <v>55</v>
      </c>
      <c r="J182" s="1" t="str">
        <f t="shared" ref="J182:J185" si="29">IFERROR(VLOOKUP(E182,#REF!,8,FALSE),"")</f>
        <v/>
      </c>
      <c r="K182" s="1"/>
      <c r="L182" s="1" t="str">
        <f t="shared" si="1"/>
        <v/>
      </c>
      <c r="M182" s="57">
        <v>81</v>
      </c>
      <c r="N182" s="61" t="s">
        <v>1203</v>
      </c>
      <c r="O182" s="68" t="s">
        <v>1204</v>
      </c>
      <c r="P182" s="68" t="s">
        <v>1205</v>
      </c>
      <c r="Q182" s="68">
        <v>6</v>
      </c>
      <c r="R182" s="30" t="s">
        <v>803</v>
      </c>
      <c r="S182" s="1"/>
      <c r="T182" s="1"/>
    </row>
    <row r="183" spans="1:20" ht="26.25" customHeight="1">
      <c r="A183" s="17">
        <f t="shared" si="0"/>
        <v>180</v>
      </c>
      <c r="B183" s="18" t="s">
        <v>1197</v>
      </c>
      <c r="C183" s="71" t="s">
        <v>1206</v>
      </c>
      <c r="D183" s="19" t="s">
        <v>308</v>
      </c>
      <c r="E183" s="20" t="s">
        <v>1207</v>
      </c>
      <c r="F183" s="32" t="s">
        <v>1208</v>
      </c>
      <c r="G183" s="33" t="s">
        <v>42</v>
      </c>
      <c r="H183" s="23" t="s">
        <v>1209</v>
      </c>
      <c r="I183" s="24" t="s">
        <v>55</v>
      </c>
      <c r="J183" s="1" t="str">
        <f t="shared" si="29"/>
        <v/>
      </c>
      <c r="K183" s="1"/>
      <c r="L183" s="1" t="str">
        <f t="shared" si="1"/>
        <v/>
      </c>
      <c r="M183" s="57">
        <v>82</v>
      </c>
      <c r="N183" s="61" t="s">
        <v>1210</v>
      </c>
      <c r="O183" s="68" t="s">
        <v>45</v>
      </c>
      <c r="P183" s="68" t="s">
        <v>1211</v>
      </c>
      <c r="Q183" s="68">
        <v>4</v>
      </c>
      <c r="R183" s="30" t="s">
        <v>803</v>
      </c>
      <c r="S183" s="1"/>
      <c r="T183" s="1"/>
    </row>
    <row r="184" spans="1:20" ht="26.25" customHeight="1">
      <c r="A184" s="17">
        <f t="shared" si="0"/>
        <v>181</v>
      </c>
      <c r="B184" s="67" t="s">
        <v>105</v>
      </c>
      <c r="C184" s="31" t="s">
        <v>1212</v>
      </c>
      <c r="D184" s="19" t="s">
        <v>1213</v>
      </c>
      <c r="E184" s="20" t="s">
        <v>1214</v>
      </c>
      <c r="F184" s="32" t="s">
        <v>1215</v>
      </c>
      <c r="G184" s="33" t="s">
        <v>42</v>
      </c>
      <c r="H184" s="23" t="s">
        <v>1216</v>
      </c>
      <c r="I184" s="24" t="s">
        <v>55</v>
      </c>
      <c r="J184" s="1" t="str">
        <f t="shared" si="29"/>
        <v/>
      </c>
      <c r="K184" s="1"/>
      <c r="L184" s="1" t="str">
        <f t="shared" si="1"/>
        <v/>
      </c>
      <c r="M184" s="57">
        <v>83</v>
      </c>
      <c r="N184" s="61" t="s">
        <v>1217</v>
      </c>
      <c r="O184" s="68" t="s">
        <v>939</v>
      </c>
      <c r="P184" s="68" t="s">
        <v>1218</v>
      </c>
      <c r="Q184" s="68">
        <v>4</v>
      </c>
      <c r="R184" s="30" t="s">
        <v>803</v>
      </c>
      <c r="S184" s="1"/>
      <c r="T184" s="1"/>
    </row>
    <row r="185" spans="1:20" ht="26.25" customHeight="1">
      <c r="A185" s="17">
        <f t="shared" si="0"/>
        <v>182</v>
      </c>
      <c r="B185" s="18" t="s">
        <v>27</v>
      </c>
      <c r="C185" s="31" t="s">
        <v>1219</v>
      </c>
      <c r="D185" s="19" t="s">
        <v>246</v>
      </c>
      <c r="E185" s="20" t="s">
        <v>1220</v>
      </c>
      <c r="F185" s="32" t="s">
        <v>693</v>
      </c>
      <c r="G185" s="22" t="s">
        <v>53</v>
      </c>
      <c r="H185" s="23" t="s">
        <v>1221</v>
      </c>
      <c r="I185" s="24" t="s">
        <v>55</v>
      </c>
      <c r="J185" s="1" t="str">
        <f t="shared" si="29"/>
        <v/>
      </c>
      <c r="K185" s="1"/>
      <c r="L185" s="1" t="str">
        <f t="shared" si="1"/>
        <v/>
      </c>
      <c r="M185" s="57">
        <v>84</v>
      </c>
      <c r="N185" s="61" t="s">
        <v>1222</v>
      </c>
      <c r="O185" s="68" t="s">
        <v>255</v>
      </c>
      <c r="P185" s="68" t="s">
        <v>1223</v>
      </c>
      <c r="Q185" s="68">
        <v>4</v>
      </c>
      <c r="R185" s="30" t="s">
        <v>803</v>
      </c>
      <c r="S185" s="1"/>
      <c r="T185" s="1"/>
    </row>
    <row r="186" spans="1:20" ht="26.25" customHeight="1">
      <c r="A186" s="17">
        <f t="shared" si="0"/>
        <v>183</v>
      </c>
      <c r="B186" s="18" t="s">
        <v>13</v>
      </c>
      <c r="C186" s="19" t="s">
        <v>1224</v>
      </c>
      <c r="D186" s="19" t="s">
        <v>1225</v>
      </c>
      <c r="E186" s="20" t="s">
        <v>1226</v>
      </c>
      <c r="F186" s="21" t="s">
        <v>135</v>
      </c>
      <c r="G186" s="22" t="s">
        <v>53</v>
      </c>
      <c r="H186" s="23" t="s">
        <v>1227</v>
      </c>
      <c r="I186" s="24" t="s">
        <v>20</v>
      </c>
      <c r="J186" s="1" t="s">
        <v>21</v>
      </c>
      <c r="K186" s="25">
        <v>3</v>
      </c>
      <c r="L186" s="1" t="str">
        <f t="shared" si="1"/>
        <v/>
      </c>
      <c r="M186" s="57">
        <v>85</v>
      </c>
      <c r="N186" s="61" t="s">
        <v>1228</v>
      </c>
      <c r="O186" s="68" t="s">
        <v>1229</v>
      </c>
      <c r="P186" s="68" t="s">
        <v>1230</v>
      </c>
      <c r="Q186" s="68">
        <v>12</v>
      </c>
      <c r="R186" s="30" t="s">
        <v>803</v>
      </c>
      <c r="S186" s="1"/>
      <c r="T186" s="1"/>
    </row>
    <row r="187" spans="1:20" ht="26.25" customHeight="1">
      <c r="A187" s="17">
        <f t="shared" si="0"/>
        <v>184</v>
      </c>
      <c r="B187" s="18" t="s">
        <v>48</v>
      </c>
      <c r="C187" s="31" t="s">
        <v>1231</v>
      </c>
      <c r="D187" s="19" t="s">
        <v>124</v>
      </c>
      <c r="E187" s="20" t="s">
        <v>1232</v>
      </c>
      <c r="F187" s="32" t="s">
        <v>416</v>
      </c>
      <c r="G187" s="33" t="s">
        <v>42</v>
      </c>
      <c r="H187" s="23" t="s">
        <v>1233</v>
      </c>
      <c r="I187" s="24" t="s">
        <v>55</v>
      </c>
      <c r="J187" s="1" t="str">
        <f t="shared" ref="J187:J191" si="30">IFERROR(VLOOKUP(E187,#REF!,8,FALSE),"")</f>
        <v/>
      </c>
      <c r="K187" s="1"/>
      <c r="L187" s="1" t="str">
        <f t="shared" si="1"/>
        <v/>
      </c>
      <c r="M187" s="57">
        <v>86</v>
      </c>
      <c r="N187" s="61" t="s">
        <v>1234</v>
      </c>
      <c r="O187" s="68" t="s">
        <v>729</v>
      </c>
      <c r="P187" s="68" t="s">
        <v>1235</v>
      </c>
      <c r="Q187" s="68">
        <v>4</v>
      </c>
      <c r="R187" s="30" t="s">
        <v>803</v>
      </c>
      <c r="S187" s="1"/>
      <c r="T187" s="1"/>
    </row>
    <row r="188" spans="1:20" ht="26.25" customHeight="1">
      <c r="A188" s="17">
        <f t="shared" si="0"/>
        <v>185</v>
      </c>
      <c r="B188" s="18" t="s">
        <v>48</v>
      </c>
      <c r="C188" s="31" t="s">
        <v>1236</v>
      </c>
      <c r="D188" s="19" t="s">
        <v>1237</v>
      </c>
      <c r="E188" s="20" t="s">
        <v>1238</v>
      </c>
      <c r="F188" s="32" t="s">
        <v>1239</v>
      </c>
      <c r="G188" s="33" t="s">
        <v>53</v>
      </c>
      <c r="H188" s="23" t="s">
        <v>1240</v>
      </c>
      <c r="I188" s="24" t="s">
        <v>55</v>
      </c>
      <c r="J188" s="1" t="str">
        <f t="shared" si="30"/>
        <v/>
      </c>
      <c r="K188" s="1"/>
      <c r="L188" s="1" t="str">
        <f t="shared" si="1"/>
        <v/>
      </c>
      <c r="M188" s="57">
        <v>87</v>
      </c>
      <c r="N188" s="61" t="s">
        <v>1241</v>
      </c>
      <c r="O188" s="68" t="s">
        <v>945</v>
      </c>
      <c r="P188" s="68" t="s">
        <v>1242</v>
      </c>
      <c r="Q188" s="68">
        <v>10</v>
      </c>
      <c r="R188" s="30" t="s">
        <v>803</v>
      </c>
      <c r="S188" s="1"/>
      <c r="T188" s="1"/>
    </row>
    <row r="189" spans="1:20" ht="26.25" customHeight="1">
      <c r="A189" s="17">
        <f t="shared" si="0"/>
        <v>186</v>
      </c>
      <c r="B189" s="18" t="s">
        <v>27</v>
      </c>
      <c r="C189" s="31" t="s">
        <v>1243</v>
      </c>
      <c r="D189" s="19" t="s">
        <v>1244</v>
      </c>
      <c r="E189" s="20" t="s">
        <v>1245</v>
      </c>
      <c r="F189" s="32" t="s">
        <v>1246</v>
      </c>
      <c r="G189" s="22" t="s">
        <v>31</v>
      </c>
      <c r="H189" s="23" t="s">
        <v>1247</v>
      </c>
      <c r="I189" s="24" t="s">
        <v>55</v>
      </c>
      <c r="J189" s="1" t="str">
        <f t="shared" si="30"/>
        <v/>
      </c>
      <c r="K189" s="1"/>
      <c r="L189" s="1" t="str">
        <f t="shared" si="1"/>
        <v/>
      </c>
      <c r="M189" s="57">
        <v>88</v>
      </c>
      <c r="N189" s="56" t="s">
        <v>1248</v>
      </c>
      <c r="O189" s="52"/>
      <c r="P189" s="57" t="s">
        <v>1249</v>
      </c>
      <c r="Q189" s="29"/>
      <c r="R189" s="29" t="s">
        <v>1250</v>
      </c>
      <c r="S189" s="1"/>
      <c r="T189" s="1"/>
    </row>
    <row r="190" spans="1:20" ht="26.25" customHeight="1">
      <c r="A190" s="17">
        <f t="shared" si="0"/>
        <v>187</v>
      </c>
      <c r="B190" s="18" t="s">
        <v>1197</v>
      </c>
      <c r="C190" s="31" t="s">
        <v>1251</v>
      </c>
      <c r="D190" s="19" t="s">
        <v>1252</v>
      </c>
      <c r="E190" s="20" t="s">
        <v>1002</v>
      </c>
      <c r="F190" s="32" t="s">
        <v>1164</v>
      </c>
      <c r="G190" s="33" t="s">
        <v>53</v>
      </c>
      <c r="H190" s="23" t="s">
        <v>1253</v>
      </c>
      <c r="I190" s="24" t="s">
        <v>55</v>
      </c>
      <c r="J190" s="1" t="str">
        <f t="shared" si="30"/>
        <v/>
      </c>
      <c r="K190" s="25">
        <v>3</v>
      </c>
      <c r="L190" s="1" t="str">
        <f t="shared" si="1"/>
        <v>2020 FRIC 서양</v>
      </c>
      <c r="M190" s="57">
        <v>89</v>
      </c>
      <c r="N190" s="56" t="s">
        <v>1254</v>
      </c>
      <c r="O190" s="52"/>
      <c r="P190" s="57" t="s">
        <v>1255</v>
      </c>
      <c r="Q190" s="52"/>
      <c r="R190" s="29" t="s">
        <v>1250</v>
      </c>
      <c r="S190" s="1"/>
      <c r="T190" s="1"/>
    </row>
    <row r="191" spans="1:20" ht="26.25" customHeight="1">
      <c r="A191" s="17">
        <f t="shared" si="0"/>
        <v>188</v>
      </c>
      <c r="B191" s="18" t="s">
        <v>146</v>
      </c>
      <c r="C191" s="31" t="s">
        <v>1256</v>
      </c>
      <c r="D191" s="19" t="s">
        <v>227</v>
      </c>
      <c r="E191" s="20" t="s">
        <v>1257</v>
      </c>
      <c r="F191" s="32" t="s">
        <v>1258</v>
      </c>
      <c r="G191" s="33" t="s">
        <v>42</v>
      </c>
      <c r="H191" s="23" t="s">
        <v>1259</v>
      </c>
      <c r="I191" s="24" t="s">
        <v>55</v>
      </c>
      <c r="J191" s="1" t="str">
        <f t="shared" si="30"/>
        <v/>
      </c>
      <c r="K191" s="1"/>
      <c r="L191" s="1" t="str">
        <f t="shared" si="1"/>
        <v/>
      </c>
      <c r="M191" s="57">
        <v>90</v>
      </c>
      <c r="N191" s="56" t="s">
        <v>1260</v>
      </c>
      <c r="O191" s="52"/>
      <c r="P191" s="57" t="s">
        <v>1261</v>
      </c>
      <c r="Q191" s="52"/>
      <c r="R191" s="29" t="s">
        <v>1250</v>
      </c>
      <c r="S191" s="1"/>
      <c r="T191" s="1"/>
    </row>
    <row r="192" spans="1:20" ht="26.25" customHeight="1">
      <c r="A192" s="17">
        <f t="shared" si="0"/>
        <v>189</v>
      </c>
      <c r="B192" s="18" t="s">
        <v>132</v>
      </c>
      <c r="C192" s="19" t="s">
        <v>1262</v>
      </c>
      <c r="D192" s="19" t="s">
        <v>1263</v>
      </c>
      <c r="E192" s="20" t="s">
        <v>1264</v>
      </c>
      <c r="F192" s="21" t="s">
        <v>135</v>
      </c>
      <c r="G192" s="22" t="s">
        <v>53</v>
      </c>
      <c r="H192" s="23" t="s">
        <v>1265</v>
      </c>
      <c r="I192" s="24" t="s">
        <v>20</v>
      </c>
      <c r="J192" s="1" t="s">
        <v>21</v>
      </c>
      <c r="K192" s="25">
        <v>3</v>
      </c>
      <c r="L192" s="1" t="str">
        <f t="shared" si="1"/>
        <v/>
      </c>
      <c r="M192" s="57">
        <v>90</v>
      </c>
      <c r="N192" s="72" t="s">
        <v>1266</v>
      </c>
      <c r="O192" s="72" t="s">
        <v>1267</v>
      </c>
      <c r="P192" s="73" t="s">
        <v>1268</v>
      </c>
      <c r="Q192" s="52"/>
      <c r="R192" s="29" t="s">
        <v>1250</v>
      </c>
      <c r="S192" s="1"/>
      <c r="T192" s="1"/>
    </row>
    <row r="193" spans="1:20" ht="26.25" customHeight="1">
      <c r="A193" s="17">
        <f t="shared" si="0"/>
        <v>190</v>
      </c>
      <c r="B193" s="18" t="s">
        <v>132</v>
      </c>
      <c r="C193" s="31" t="s">
        <v>1269</v>
      </c>
      <c r="D193" s="19" t="s">
        <v>227</v>
      </c>
      <c r="E193" s="20" t="s">
        <v>1270</v>
      </c>
      <c r="F193" s="32" t="s">
        <v>1271</v>
      </c>
      <c r="G193" s="22" t="s">
        <v>42</v>
      </c>
      <c r="H193" s="23" t="s">
        <v>1272</v>
      </c>
      <c r="I193" s="24" t="s">
        <v>55</v>
      </c>
      <c r="J193" s="1" t="str">
        <f t="shared" ref="J193:J199" si="31">IFERROR(VLOOKUP(E193,#REF!,8,FALSE),"")</f>
        <v/>
      </c>
      <c r="K193" s="1"/>
      <c r="L193" s="1" t="str">
        <f t="shared" si="1"/>
        <v/>
      </c>
      <c r="M193" s="50">
        <v>1</v>
      </c>
      <c r="N193" s="74" t="s">
        <v>1273</v>
      </c>
      <c r="O193" s="286" t="s">
        <v>1274</v>
      </c>
      <c r="P193" s="74" t="s">
        <v>1275</v>
      </c>
      <c r="Q193" s="52"/>
      <c r="R193" s="29" t="s">
        <v>1276</v>
      </c>
      <c r="S193" s="1"/>
      <c r="T193" s="1"/>
    </row>
    <row r="194" spans="1:20" ht="26.25" customHeight="1">
      <c r="A194" s="17">
        <f t="shared" si="0"/>
        <v>191</v>
      </c>
      <c r="B194" s="18" t="s">
        <v>13</v>
      </c>
      <c r="C194" s="31" t="s">
        <v>1277</v>
      </c>
      <c r="D194" s="19" t="s">
        <v>1278</v>
      </c>
      <c r="E194" s="20" t="s">
        <v>1279</v>
      </c>
      <c r="F194" s="32" t="s">
        <v>1280</v>
      </c>
      <c r="G194" s="22" t="s">
        <v>42</v>
      </c>
      <c r="H194" s="23" t="s">
        <v>1281</v>
      </c>
      <c r="I194" s="24" t="s">
        <v>55</v>
      </c>
      <c r="J194" s="1" t="str">
        <f t="shared" si="31"/>
        <v/>
      </c>
      <c r="K194" s="1"/>
      <c r="L194" s="1" t="str">
        <f t="shared" si="1"/>
        <v/>
      </c>
      <c r="M194" s="50">
        <v>2</v>
      </c>
      <c r="N194" s="74" t="s">
        <v>1282</v>
      </c>
      <c r="O194" s="288"/>
      <c r="P194" s="74" t="s">
        <v>1283</v>
      </c>
      <c r="Q194" s="52"/>
      <c r="R194" s="29" t="s">
        <v>1276</v>
      </c>
      <c r="S194" s="1"/>
      <c r="T194" s="1"/>
    </row>
    <row r="195" spans="1:20" ht="26.25" customHeight="1">
      <c r="A195" s="17">
        <f t="shared" si="0"/>
        <v>192</v>
      </c>
      <c r="B195" s="18" t="s">
        <v>248</v>
      </c>
      <c r="C195" s="31" t="s">
        <v>378</v>
      </c>
      <c r="D195" s="19" t="s">
        <v>124</v>
      </c>
      <c r="E195" s="20" t="s">
        <v>379</v>
      </c>
      <c r="F195" s="32" t="s">
        <v>163</v>
      </c>
      <c r="G195" s="33" t="s">
        <v>42</v>
      </c>
      <c r="H195" s="23" t="s">
        <v>1284</v>
      </c>
      <c r="I195" s="24" t="s">
        <v>55</v>
      </c>
      <c r="J195" s="1" t="str">
        <f t="shared" si="31"/>
        <v/>
      </c>
      <c r="K195" s="25">
        <v>3</v>
      </c>
      <c r="L195" s="1" t="str">
        <f t="shared" si="1"/>
        <v>2018 FRIC 서양</v>
      </c>
      <c r="M195" s="50">
        <v>3</v>
      </c>
      <c r="N195" s="74" t="s">
        <v>1285</v>
      </c>
      <c r="O195" s="286" t="s">
        <v>1286</v>
      </c>
      <c r="P195" s="74" t="s">
        <v>1287</v>
      </c>
      <c r="Q195" s="52"/>
      <c r="R195" s="29" t="s">
        <v>1276</v>
      </c>
      <c r="S195" s="1"/>
      <c r="T195" s="1"/>
    </row>
    <row r="196" spans="1:20" ht="26.25" customHeight="1">
      <c r="A196" s="17">
        <f t="shared" si="0"/>
        <v>193</v>
      </c>
      <c r="B196" s="18" t="s">
        <v>248</v>
      </c>
      <c r="C196" s="19" t="s">
        <v>1288</v>
      </c>
      <c r="D196" s="19" t="s">
        <v>499</v>
      </c>
      <c r="E196" s="20" t="s">
        <v>1289</v>
      </c>
      <c r="F196" s="32" t="s">
        <v>52</v>
      </c>
      <c r="G196" s="33" t="s">
        <v>1290</v>
      </c>
      <c r="H196" s="23" t="s">
        <v>1291</v>
      </c>
      <c r="I196" s="34" t="s">
        <v>55</v>
      </c>
      <c r="J196" s="1" t="str">
        <f t="shared" si="31"/>
        <v/>
      </c>
      <c r="K196" s="25">
        <v>4</v>
      </c>
      <c r="L196" s="1" t="str">
        <f t="shared" si="1"/>
        <v>2021 과기 서양</v>
      </c>
      <c r="M196" s="47">
        <v>4</v>
      </c>
      <c r="N196" s="75" t="s">
        <v>1292</v>
      </c>
      <c r="O196" s="288"/>
      <c r="P196" s="75" t="s">
        <v>1293</v>
      </c>
      <c r="Q196" s="76"/>
      <c r="R196" s="35" t="s">
        <v>1276</v>
      </c>
      <c r="S196" s="25"/>
      <c r="T196" s="25"/>
    </row>
    <row r="197" spans="1:20" ht="26.25" customHeight="1">
      <c r="A197" s="17">
        <f t="shared" si="0"/>
        <v>194</v>
      </c>
      <c r="B197" s="18" t="s">
        <v>1197</v>
      </c>
      <c r="C197" s="31" t="s">
        <v>1294</v>
      </c>
      <c r="D197" s="19" t="s">
        <v>1295</v>
      </c>
      <c r="E197" s="20" t="s">
        <v>1296</v>
      </c>
      <c r="F197" s="32" t="s">
        <v>1297</v>
      </c>
      <c r="G197" s="33" t="s">
        <v>1290</v>
      </c>
      <c r="H197" s="23" t="s">
        <v>1298</v>
      </c>
      <c r="I197" s="24" t="s">
        <v>55</v>
      </c>
      <c r="J197" s="1" t="str">
        <f t="shared" si="31"/>
        <v/>
      </c>
      <c r="K197" s="1"/>
      <c r="L197" s="1" t="str">
        <f t="shared" si="1"/>
        <v/>
      </c>
      <c r="M197" s="50">
        <v>5</v>
      </c>
      <c r="N197" s="74" t="s">
        <v>1299</v>
      </c>
      <c r="O197" s="286" t="s">
        <v>1300</v>
      </c>
      <c r="P197" s="74" t="s">
        <v>1301</v>
      </c>
      <c r="Q197" s="52"/>
      <c r="R197" s="29" t="s">
        <v>1276</v>
      </c>
      <c r="S197" s="1"/>
      <c r="T197" s="1"/>
    </row>
    <row r="198" spans="1:20" ht="26.25" customHeight="1">
      <c r="A198" s="17">
        <f t="shared" si="0"/>
        <v>195</v>
      </c>
      <c r="B198" s="18" t="s">
        <v>1197</v>
      </c>
      <c r="C198" s="31" t="s">
        <v>1302</v>
      </c>
      <c r="D198" s="19" t="s">
        <v>665</v>
      </c>
      <c r="E198" s="20" t="s">
        <v>1303</v>
      </c>
      <c r="F198" s="32" t="s">
        <v>1304</v>
      </c>
      <c r="G198" s="33" t="s">
        <v>42</v>
      </c>
      <c r="H198" s="23" t="s">
        <v>1305</v>
      </c>
      <c r="I198" s="24" t="s">
        <v>55</v>
      </c>
      <c r="J198" s="1" t="str">
        <f t="shared" si="31"/>
        <v/>
      </c>
      <c r="K198" s="1"/>
      <c r="L198" s="1" t="str">
        <f t="shared" si="1"/>
        <v/>
      </c>
      <c r="M198" s="50">
        <v>6</v>
      </c>
      <c r="N198" s="74" t="s">
        <v>1306</v>
      </c>
      <c r="O198" s="287"/>
      <c r="P198" s="74" t="s">
        <v>1307</v>
      </c>
      <c r="Q198" s="52"/>
      <c r="R198" s="29" t="s">
        <v>1276</v>
      </c>
      <c r="S198" s="1"/>
      <c r="T198" s="1"/>
    </row>
    <row r="199" spans="1:20" ht="26.25" customHeight="1">
      <c r="A199" s="17">
        <f t="shared" si="0"/>
        <v>196</v>
      </c>
      <c r="B199" s="18" t="s">
        <v>105</v>
      </c>
      <c r="C199" s="31" t="s">
        <v>1308</v>
      </c>
      <c r="D199" s="19" t="s">
        <v>575</v>
      </c>
      <c r="E199" s="20" t="s">
        <v>1309</v>
      </c>
      <c r="F199" s="32" t="s">
        <v>416</v>
      </c>
      <c r="G199" s="33" t="s">
        <v>42</v>
      </c>
      <c r="H199" s="23" t="s">
        <v>1310</v>
      </c>
      <c r="I199" s="24" t="s">
        <v>55</v>
      </c>
      <c r="J199" s="1" t="str">
        <f t="shared" si="31"/>
        <v/>
      </c>
      <c r="K199" s="1"/>
      <c r="L199" s="1" t="str">
        <f t="shared" si="1"/>
        <v/>
      </c>
      <c r="M199" s="50">
        <v>7</v>
      </c>
      <c r="N199" s="74" t="s">
        <v>1311</v>
      </c>
      <c r="O199" s="288"/>
      <c r="P199" s="74" t="s">
        <v>1312</v>
      </c>
      <c r="Q199" s="52"/>
      <c r="R199" s="29" t="s">
        <v>1276</v>
      </c>
      <c r="S199" s="1"/>
      <c r="T199" s="1"/>
    </row>
    <row r="200" spans="1:20" ht="26.25" customHeight="1">
      <c r="A200" s="17">
        <f t="shared" si="0"/>
        <v>197</v>
      </c>
      <c r="B200" s="18" t="s">
        <v>81</v>
      </c>
      <c r="C200" s="19" t="s">
        <v>1313</v>
      </c>
      <c r="D200" s="19" t="s">
        <v>227</v>
      </c>
      <c r="E200" s="20" t="s">
        <v>1314</v>
      </c>
      <c r="F200" s="21" t="s">
        <v>135</v>
      </c>
      <c r="G200" s="33" t="s">
        <v>42</v>
      </c>
      <c r="H200" s="23" t="s">
        <v>1315</v>
      </c>
      <c r="I200" s="24" t="s">
        <v>20</v>
      </c>
      <c r="J200" s="1" t="s">
        <v>21</v>
      </c>
      <c r="K200" s="25">
        <v>3</v>
      </c>
      <c r="L200" s="1" t="str">
        <f t="shared" si="1"/>
        <v/>
      </c>
      <c r="M200" s="50">
        <v>8</v>
      </c>
      <c r="N200" s="74" t="s">
        <v>1316</v>
      </c>
      <c r="O200" s="286" t="s">
        <v>1317</v>
      </c>
      <c r="P200" s="74" t="s">
        <v>1318</v>
      </c>
      <c r="Q200" s="52"/>
      <c r="R200" s="29" t="s">
        <v>1276</v>
      </c>
      <c r="S200" s="1"/>
      <c r="T200" s="1"/>
    </row>
    <row r="201" spans="1:20" ht="26.25" customHeight="1">
      <c r="A201" s="17">
        <f t="shared" si="0"/>
        <v>198</v>
      </c>
      <c r="B201" s="18" t="s">
        <v>37</v>
      </c>
      <c r="C201" s="19" t="s">
        <v>1319</v>
      </c>
      <c r="D201" s="19" t="s">
        <v>1320</v>
      </c>
      <c r="E201" s="20" t="s">
        <v>1321</v>
      </c>
      <c r="F201" s="21" t="s">
        <v>135</v>
      </c>
      <c r="G201" s="22" t="s">
        <v>42</v>
      </c>
      <c r="H201" s="23" t="s">
        <v>1322</v>
      </c>
      <c r="I201" s="24" t="s">
        <v>20</v>
      </c>
      <c r="J201" s="1" t="s">
        <v>21</v>
      </c>
      <c r="K201" s="25">
        <v>3</v>
      </c>
      <c r="L201" s="1" t="str">
        <f t="shared" si="1"/>
        <v/>
      </c>
      <c r="M201" s="50">
        <v>9</v>
      </c>
      <c r="N201" s="74" t="s">
        <v>1323</v>
      </c>
      <c r="O201" s="287"/>
      <c r="P201" s="74" t="s">
        <v>1324</v>
      </c>
      <c r="Q201" s="52"/>
      <c r="R201" s="29" t="s">
        <v>1276</v>
      </c>
      <c r="S201" s="1"/>
      <c r="T201" s="1"/>
    </row>
    <row r="202" spans="1:20" ht="26.25" customHeight="1">
      <c r="A202" s="17">
        <f t="shared" si="0"/>
        <v>199</v>
      </c>
      <c r="B202" s="18" t="s">
        <v>37</v>
      </c>
      <c r="C202" s="19" t="s">
        <v>1325</v>
      </c>
      <c r="D202" s="19" t="s">
        <v>1320</v>
      </c>
      <c r="E202" s="20" t="s">
        <v>1326</v>
      </c>
      <c r="F202" s="21" t="s">
        <v>1327</v>
      </c>
      <c r="G202" s="22" t="s">
        <v>31</v>
      </c>
      <c r="H202" s="23" t="s">
        <v>1328</v>
      </c>
      <c r="I202" s="24" t="s">
        <v>20</v>
      </c>
      <c r="J202" s="1" t="s">
        <v>21</v>
      </c>
      <c r="K202" s="25">
        <v>3</v>
      </c>
      <c r="L202" s="1" t="str">
        <f t="shared" si="1"/>
        <v/>
      </c>
      <c r="M202" s="50">
        <v>10</v>
      </c>
      <c r="N202" s="74" t="s">
        <v>1329</v>
      </c>
      <c r="O202" s="288"/>
      <c r="P202" s="74" t="s">
        <v>1330</v>
      </c>
      <c r="Q202" s="52"/>
      <c r="R202" s="29" t="s">
        <v>1276</v>
      </c>
      <c r="S202" s="1"/>
      <c r="T202" s="1"/>
    </row>
    <row r="203" spans="1:20" ht="26.25" customHeight="1">
      <c r="A203" s="17">
        <f t="shared" si="0"/>
        <v>200</v>
      </c>
      <c r="B203" s="18" t="s">
        <v>27</v>
      </c>
      <c r="C203" s="19" t="s">
        <v>1331</v>
      </c>
      <c r="D203" s="19" t="s">
        <v>141</v>
      </c>
      <c r="E203" s="20" t="s">
        <v>1332</v>
      </c>
      <c r="F203" s="21" t="s">
        <v>135</v>
      </c>
      <c r="G203" s="22" t="s">
        <v>42</v>
      </c>
      <c r="H203" s="23" t="s">
        <v>1333</v>
      </c>
      <c r="I203" s="24" t="s">
        <v>20</v>
      </c>
      <c r="J203" s="1" t="s">
        <v>21</v>
      </c>
      <c r="K203" s="25">
        <v>3</v>
      </c>
      <c r="L203" s="1" t="str">
        <f t="shared" si="1"/>
        <v/>
      </c>
      <c r="M203" s="50">
        <v>11</v>
      </c>
      <c r="N203" s="74" t="s">
        <v>1334</v>
      </c>
      <c r="O203" s="286" t="s">
        <v>1335</v>
      </c>
      <c r="P203" s="74" t="s">
        <v>1336</v>
      </c>
      <c r="Q203" s="52"/>
      <c r="R203" s="29" t="s">
        <v>1276</v>
      </c>
      <c r="S203" s="1"/>
      <c r="T203" s="1"/>
    </row>
    <row r="204" spans="1:20" ht="26.25" customHeight="1">
      <c r="A204" s="17">
        <f t="shared" si="0"/>
        <v>201</v>
      </c>
      <c r="B204" s="18" t="s">
        <v>105</v>
      </c>
      <c r="C204" s="19" t="s">
        <v>1337</v>
      </c>
      <c r="D204" s="19" t="s">
        <v>1338</v>
      </c>
      <c r="E204" s="20" t="s">
        <v>1339</v>
      </c>
      <c r="F204" s="21" t="s">
        <v>1011</v>
      </c>
      <c r="G204" s="33" t="s">
        <v>42</v>
      </c>
      <c r="H204" s="23" t="s">
        <v>1340</v>
      </c>
      <c r="I204" s="24" t="s">
        <v>20</v>
      </c>
      <c r="J204" s="1" t="s">
        <v>21</v>
      </c>
      <c r="K204" s="25">
        <v>3</v>
      </c>
      <c r="L204" s="1" t="str">
        <f t="shared" si="1"/>
        <v/>
      </c>
      <c r="M204" s="50">
        <v>12</v>
      </c>
      <c r="N204" s="74" t="s">
        <v>1341</v>
      </c>
      <c r="O204" s="288"/>
      <c r="P204" s="74" t="s">
        <v>1342</v>
      </c>
      <c r="Q204" s="52"/>
      <c r="R204" s="29" t="s">
        <v>1276</v>
      </c>
      <c r="S204" s="1"/>
      <c r="T204" s="1"/>
    </row>
    <row r="205" spans="1:20" ht="26.25" customHeight="1">
      <c r="A205" s="17">
        <f t="shared" si="0"/>
        <v>202</v>
      </c>
      <c r="B205" s="18" t="s">
        <v>48</v>
      </c>
      <c r="C205" s="31" t="s">
        <v>1343</v>
      </c>
      <c r="D205" s="19" t="s">
        <v>1344</v>
      </c>
      <c r="E205" s="20" t="s">
        <v>1345</v>
      </c>
      <c r="F205" s="32" t="s">
        <v>416</v>
      </c>
      <c r="G205" s="33" t="s">
        <v>53</v>
      </c>
      <c r="H205" s="23" t="s">
        <v>1346</v>
      </c>
      <c r="I205" s="24" t="s">
        <v>55</v>
      </c>
      <c r="J205" s="1" t="str">
        <f>IFERROR(VLOOKUP(E205,#REF!,8,FALSE),"")</f>
        <v/>
      </c>
      <c r="K205" s="1"/>
      <c r="L205" s="1" t="str">
        <f t="shared" si="1"/>
        <v/>
      </c>
      <c r="M205" s="50">
        <v>13</v>
      </c>
      <c r="N205" s="74" t="s">
        <v>1347</v>
      </c>
      <c r="O205" s="286" t="s">
        <v>1348</v>
      </c>
      <c r="P205" s="74" t="s">
        <v>1349</v>
      </c>
      <c r="Q205" s="52"/>
      <c r="R205" s="29" t="s">
        <v>1276</v>
      </c>
      <c r="S205" s="1"/>
      <c r="T205" s="1"/>
    </row>
    <row r="206" spans="1:20" ht="26.25" customHeight="1">
      <c r="A206" s="17">
        <f t="shared" si="0"/>
        <v>203</v>
      </c>
      <c r="B206" s="18" t="s">
        <v>132</v>
      </c>
      <c r="C206" s="77" t="s">
        <v>1350</v>
      </c>
      <c r="D206" s="19" t="s">
        <v>277</v>
      </c>
      <c r="E206" s="20" t="s">
        <v>1351</v>
      </c>
      <c r="F206" s="21" t="s">
        <v>1075</v>
      </c>
      <c r="G206" s="22" t="s">
        <v>42</v>
      </c>
      <c r="H206" s="23" t="s">
        <v>1352</v>
      </c>
      <c r="I206" s="24" t="s">
        <v>20</v>
      </c>
      <c r="J206" s="1" t="s">
        <v>21</v>
      </c>
      <c r="K206" s="25">
        <v>3</v>
      </c>
      <c r="L206" s="1" t="str">
        <f t="shared" si="1"/>
        <v/>
      </c>
      <c r="M206" s="50">
        <v>14</v>
      </c>
      <c r="N206" s="74" t="s">
        <v>1353</v>
      </c>
      <c r="O206" s="287"/>
      <c r="P206" s="74" t="s">
        <v>1354</v>
      </c>
      <c r="Q206" s="52"/>
      <c r="R206" s="29" t="s">
        <v>1276</v>
      </c>
      <c r="S206" s="1"/>
      <c r="T206" s="1"/>
    </row>
    <row r="207" spans="1:20" ht="26.25" customHeight="1">
      <c r="A207" s="17">
        <f t="shared" si="0"/>
        <v>204</v>
      </c>
      <c r="B207" s="18" t="s">
        <v>132</v>
      </c>
      <c r="C207" s="31" t="s">
        <v>1355</v>
      </c>
      <c r="D207" s="19" t="s">
        <v>277</v>
      </c>
      <c r="E207" s="20" t="s">
        <v>1356</v>
      </c>
      <c r="F207" s="32" t="s">
        <v>1357</v>
      </c>
      <c r="G207" s="22" t="s">
        <v>42</v>
      </c>
      <c r="H207" s="23" t="s">
        <v>1358</v>
      </c>
      <c r="I207" s="24" t="s">
        <v>55</v>
      </c>
      <c r="J207" s="1" t="str">
        <f>IFERROR(VLOOKUP(E207,#REF!,8,FALSE),"")</f>
        <v/>
      </c>
      <c r="K207" s="1"/>
      <c r="L207" s="1" t="str">
        <f t="shared" si="1"/>
        <v/>
      </c>
      <c r="M207" s="50">
        <v>15</v>
      </c>
      <c r="N207" s="74" t="s">
        <v>1359</v>
      </c>
      <c r="O207" s="288"/>
      <c r="P207" s="74" t="s">
        <v>1360</v>
      </c>
      <c r="Q207" s="52"/>
      <c r="R207" s="29" t="s">
        <v>1276</v>
      </c>
      <c r="S207" s="1"/>
      <c r="T207" s="1"/>
    </row>
    <row r="208" spans="1:20" ht="26.25" customHeight="1">
      <c r="A208" s="17">
        <f t="shared" si="0"/>
        <v>205</v>
      </c>
      <c r="B208" s="18" t="s">
        <v>132</v>
      </c>
      <c r="C208" s="19" t="s">
        <v>1361</v>
      </c>
      <c r="D208" s="19" t="s">
        <v>196</v>
      </c>
      <c r="E208" s="20" t="s">
        <v>1362</v>
      </c>
      <c r="F208" s="21" t="s">
        <v>1363</v>
      </c>
      <c r="G208" s="22" t="s">
        <v>42</v>
      </c>
      <c r="H208" s="23" t="s">
        <v>1364</v>
      </c>
      <c r="I208" s="24" t="s">
        <v>20</v>
      </c>
      <c r="J208" s="1" t="s">
        <v>21</v>
      </c>
      <c r="K208" s="25">
        <v>3</v>
      </c>
      <c r="L208" s="1" t="str">
        <f t="shared" si="1"/>
        <v/>
      </c>
      <c r="M208" s="50">
        <v>16</v>
      </c>
      <c r="N208" s="74" t="s">
        <v>1365</v>
      </c>
      <c r="O208" s="286" t="s">
        <v>1366</v>
      </c>
      <c r="P208" s="74" t="s">
        <v>1367</v>
      </c>
      <c r="Q208" s="52"/>
      <c r="R208" s="29" t="s">
        <v>1276</v>
      </c>
      <c r="S208" s="1"/>
      <c r="T208" s="1"/>
    </row>
    <row r="209" spans="1:20" ht="26.25" customHeight="1">
      <c r="A209" s="17">
        <f t="shared" si="0"/>
        <v>206</v>
      </c>
      <c r="B209" s="18" t="s">
        <v>1368</v>
      </c>
      <c r="C209" s="31" t="s">
        <v>1369</v>
      </c>
      <c r="D209" s="19" t="s">
        <v>1370</v>
      </c>
      <c r="E209" s="20"/>
      <c r="F209" s="32" t="s">
        <v>1371</v>
      </c>
      <c r="G209" s="33" t="s">
        <v>53</v>
      </c>
      <c r="H209" s="23" t="s">
        <v>1372</v>
      </c>
      <c r="I209" s="24" t="s">
        <v>55</v>
      </c>
      <c r="J209" s="1" t="str">
        <f t="shared" ref="J209:J217" si="32">IFERROR(VLOOKUP(E209,#REF!,8,FALSE),"")</f>
        <v/>
      </c>
      <c r="K209" s="1"/>
      <c r="L209" s="1" t="str">
        <f t="shared" si="1"/>
        <v/>
      </c>
      <c r="M209" s="50">
        <v>17</v>
      </c>
      <c r="N209" s="74" t="s">
        <v>1373</v>
      </c>
      <c r="O209" s="287"/>
      <c r="P209" s="74" t="s">
        <v>1374</v>
      </c>
      <c r="Q209" s="52"/>
      <c r="R209" s="29" t="s">
        <v>1276</v>
      </c>
      <c r="S209" s="1"/>
      <c r="T209" s="1"/>
    </row>
    <row r="210" spans="1:20" ht="26.25" customHeight="1">
      <c r="A210" s="17">
        <f t="shared" si="0"/>
        <v>207</v>
      </c>
      <c r="B210" s="18" t="s">
        <v>1375</v>
      </c>
      <c r="C210" s="31" t="s">
        <v>1376</v>
      </c>
      <c r="D210" s="19" t="s">
        <v>1377</v>
      </c>
      <c r="E210" s="20" t="s">
        <v>1378</v>
      </c>
      <c r="F210" s="32" t="s">
        <v>416</v>
      </c>
      <c r="G210" s="22" t="s">
        <v>53</v>
      </c>
      <c r="H210" s="23" t="s">
        <v>1379</v>
      </c>
      <c r="I210" s="24" t="s">
        <v>55</v>
      </c>
      <c r="J210" s="1" t="str">
        <f t="shared" si="32"/>
        <v/>
      </c>
      <c r="K210" s="1"/>
      <c r="L210" s="1" t="str">
        <f t="shared" si="1"/>
        <v/>
      </c>
      <c r="M210" s="50">
        <v>18</v>
      </c>
      <c r="N210" s="74" t="s">
        <v>1380</v>
      </c>
      <c r="O210" s="288"/>
      <c r="P210" s="74" t="s">
        <v>1381</v>
      </c>
      <c r="Q210" s="52"/>
      <c r="R210" s="29" t="s">
        <v>1276</v>
      </c>
      <c r="S210" s="1"/>
      <c r="T210" s="1"/>
    </row>
    <row r="211" spans="1:20" ht="26.25" customHeight="1">
      <c r="A211" s="17">
        <f t="shared" si="0"/>
        <v>208</v>
      </c>
      <c r="B211" s="18" t="s">
        <v>132</v>
      </c>
      <c r="C211" s="31" t="s">
        <v>1007</v>
      </c>
      <c r="D211" s="19" t="s">
        <v>277</v>
      </c>
      <c r="E211" s="20" t="s">
        <v>1008</v>
      </c>
      <c r="F211" s="32" t="s">
        <v>1382</v>
      </c>
      <c r="G211" s="22" t="s">
        <v>42</v>
      </c>
      <c r="H211" s="23" t="s">
        <v>1383</v>
      </c>
      <c r="I211" s="24" t="s">
        <v>55</v>
      </c>
      <c r="J211" s="1" t="str">
        <f t="shared" si="32"/>
        <v/>
      </c>
      <c r="K211" s="25">
        <v>3</v>
      </c>
      <c r="L211" s="1" t="str">
        <f t="shared" si="1"/>
        <v>2020 FRIC 서양</v>
      </c>
      <c r="M211" s="50">
        <v>19</v>
      </c>
      <c r="N211" s="74" t="s">
        <v>1384</v>
      </c>
      <c r="O211" s="286" t="s">
        <v>1385</v>
      </c>
      <c r="P211" s="78" t="s">
        <v>1386</v>
      </c>
      <c r="Q211" s="52"/>
      <c r="R211" s="29" t="s">
        <v>1276</v>
      </c>
      <c r="S211" s="1"/>
      <c r="T211" s="1"/>
    </row>
    <row r="212" spans="1:20" ht="26.25" customHeight="1">
      <c r="A212" s="17">
        <f t="shared" si="0"/>
        <v>209</v>
      </c>
      <c r="B212" s="18" t="s">
        <v>132</v>
      </c>
      <c r="C212" s="31" t="s">
        <v>572</v>
      </c>
      <c r="D212" s="19" t="s">
        <v>1338</v>
      </c>
      <c r="E212" s="20" t="s">
        <v>573</v>
      </c>
      <c r="F212" s="32" t="s">
        <v>496</v>
      </c>
      <c r="G212" s="22" t="s">
        <v>42</v>
      </c>
      <c r="H212" s="23" t="s">
        <v>1387</v>
      </c>
      <c r="I212" s="24" t="s">
        <v>55</v>
      </c>
      <c r="J212" s="1" t="str">
        <f t="shared" si="32"/>
        <v/>
      </c>
      <c r="K212" s="25">
        <v>3</v>
      </c>
      <c r="L212" s="1" t="str">
        <f t="shared" si="1"/>
        <v>2019 FRIC 서양</v>
      </c>
      <c r="M212" s="50">
        <v>20</v>
      </c>
      <c r="N212" s="74" t="s">
        <v>1388</v>
      </c>
      <c r="O212" s="288"/>
      <c r="P212" s="74" t="s">
        <v>1389</v>
      </c>
      <c r="Q212" s="52"/>
      <c r="R212" s="29" t="s">
        <v>1276</v>
      </c>
      <c r="S212" s="1"/>
      <c r="T212" s="1"/>
    </row>
    <row r="213" spans="1:20" ht="26.25" customHeight="1">
      <c r="A213" s="17">
        <f t="shared" si="0"/>
        <v>210</v>
      </c>
      <c r="B213" s="18" t="s">
        <v>175</v>
      </c>
      <c r="C213" s="31" t="s">
        <v>1390</v>
      </c>
      <c r="D213" s="19" t="s">
        <v>1391</v>
      </c>
      <c r="E213" s="20" t="s">
        <v>1392</v>
      </c>
      <c r="F213" s="32" t="s">
        <v>1393</v>
      </c>
      <c r="G213" s="33" t="s">
        <v>63</v>
      </c>
      <c r="H213" s="23" t="s">
        <v>1394</v>
      </c>
      <c r="I213" s="24" t="s">
        <v>55</v>
      </c>
      <c r="J213" s="1" t="str">
        <f t="shared" si="32"/>
        <v/>
      </c>
      <c r="K213" s="1"/>
      <c r="L213" s="1" t="str">
        <f t="shared" si="1"/>
        <v/>
      </c>
      <c r="M213" s="50">
        <v>21</v>
      </c>
      <c r="N213" s="74" t="s">
        <v>1395</v>
      </c>
      <c r="O213" s="28" t="s">
        <v>1396</v>
      </c>
      <c r="P213" s="74" t="s">
        <v>1397</v>
      </c>
      <c r="Q213" s="52"/>
      <c r="R213" s="29" t="s">
        <v>1276</v>
      </c>
      <c r="S213" s="1"/>
      <c r="T213" s="1"/>
    </row>
    <row r="214" spans="1:20" ht="26.25" customHeight="1">
      <c r="A214" s="17">
        <f t="shared" si="0"/>
        <v>211</v>
      </c>
      <c r="B214" s="18" t="s">
        <v>867</v>
      </c>
      <c r="C214" s="31" t="s">
        <v>1398</v>
      </c>
      <c r="D214" s="19" t="s">
        <v>1399</v>
      </c>
      <c r="E214" s="20" t="s">
        <v>1400</v>
      </c>
      <c r="F214" s="32" t="s">
        <v>1401</v>
      </c>
      <c r="G214" s="33" t="s">
        <v>31</v>
      </c>
      <c r="H214" s="23" t="s">
        <v>1402</v>
      </c>
      <c r="I214" s="24" t="s">
        <v>55</v>
      </c>
      <c r="J214" s="1" t="str">
        <f t="shared" si="32"/>
        <v/>
      </c>
      <c r="K214" s="1"/>
      <c r="L214" s="1" t="str">
        <f t="shared" si="1"/>
        <v/>
      </c>
      <c r="M214" s="50">
        <v>22</v>
      </c>
      <c r="N214" s="29" t="s">
        <v>1403</v>
      </c>
      <c r="O214" s="51" t="s">
        <v>1404</v>
      </c>
      <c r="P214" s="27" t="s">
        <v>1405</v>
      </c>
      <c r="Q214" s="52"/>
      <c r="R214" s="29" t="s">
        <v>1406</v>
      </c>
      <c r="S214" s="1"/>
      <c r="T214" s="1"/>
    </row>
    <row r="215" spans="1:20" ht="26.25" customHeight="1">
      <c r="A215" s="17">
        <f t="shared" si="0"/>
        <v>212</v>
      </c>
      <c r="B215" s="18" t="s">
        <v>105</v>
      </c>
      <c r="C215" s="31" t="s">
        <v>1407</v>
      </c>
      <c r="D215" s="19" t="s">
        <v>1408</v>
      </c>
      <c r="E215" s="20" t="s">
        <v>1409</v>
      </c>
      <c r="F215" s="32">
        <v>2011</v>
      </c>
      <c r="G215" s="33" t="s">
        <v>31</v>
      </c>
      <c r="H215" s="23" t="s">
        <v>1410</v>
      </c>
      <c r="I215" s="24" t="s">
        <v>55</v>
      </c>
      <c r="J215" s="1" t="str">
        <f t="shared" si="32"/>
        <v/>
      </c>
      <c r="K215" s="1"/>
      <c r="L215" s="1" t="str">
        <f t="shared" si="1"/>
        <v/>
      </c>
      <c r="M215" s="50">
        <v>23</v>
      </c>
      <c r="N215" s="29" t="s">
        <v>1411</v>
      </c>
      <c r="O215" s="51" t="s">
        <v>1412</v>
      </c>
      <c r="P215" s="29" t="s">
        <v>1413</v>
      </c>
      <c r="Q215" s="52"/>
      <c r="R215" s="29" t="s">
        <v>1406</v>
      </c>
      <c r="S215" s="1"/>
      <c r="T215" s="1"/>
    </row>
    <row r="216" spans="1:20" ht="26.25" customHeight="1">
      <c r="A216" s="17">
        <f t="shared" si="0"/>
        <v>213</v>
      </c>
      <c r="B216" s="18" t="s">
        <v>105</v>
      </c>
      <c r="C216" s="31" t="s">
        <v>1414</v>
      </c>
      <c r="D216" s="19" t="s">
        <v>277</v>
      </c>
      <c r="E216" s="20" t="s">
        <v>1415</v>
      </c>
      <c r="F216" s="32" t="s">
        <v>252</v>
      </c>
      <c r="G216" s="33" t="s">
        <v>42</v>
      </c>
      <c r="H216" s="23" t="s">
        <v>1416</v>
      </c>
      <c r="I216" s="24" t="s">
        <v>55</v>
      </c>
      <c r="J216" s="1" t="str">
        <f t="shared" si="32"/>
        <v/>
      </c>
      <c r="K216" s="1"/>
      <c r="L216" s="1" t="str">
        <f t="shared" si="1"/>
        <v/>
      </c>
      <c r="M216" s="50">
        <v>24</v>
      </c>
      <c r="N216" s="29" t="s">
        <v>1417</v>
      </c>
      <c r="O216" s="51" t="s">
        <v>1418</v>
      </c>
      <c r="P216" s="29" t="s">
        <v>1419</v>
      </c>
      <c r="Q216" s="52"/>
      <c r="R216" s="29" t="s">
        <v>1406</v>
      </c>
      <c r="S216" s="1"/>
      <c r="T216" s="1"/>
    </row>
    <row r="217" spans="1:20" ht="26.25" customHeight="1">
      <c r="A217" s="17">
        <f t="shared" si="0"/>
        <v>214</v>
      </c>
      <c r="B217" s="18" t="s">
        <v>27</v>
      </c>
      <c r="C217" s="31" t="s">
        <v>1420</v>
      </c>
      <c r="D217" s="19" t="s">
        <v>124</v>
      </c>
      <c r="E217" s="20" t="s">
        <v>386</v>
      </c>
      <c r="F217" s="32" t="s">
        <v>1421</v>
      </c>
      <c r="G217" s="22" t="s">
        <v>42</v>
      </c>
      <c r="H217" s="23" t="s">
        <v>1422</v>
      </c>
      <c r="I217" s="24" t="s">
        <v>55</v>
      </c>
      <c r="J217" s="1" t="str">
        <f t="shared" si="32"/>
        <v/>
      </c>
      <c r="K217" s="25">
        <v>3</v>
      </c>
      <c r="L217" s="1" t="str">
        <f t="shared" si="1"/>
        <v>2018 FRIC 서양</v>
      </c>
      <c r="M217" s="50">
        <v>25</v>
      </c>
      <c r="N217" s="29" t="s">
        <v>1423</v>
      </c>
      <c r="O217" s="29" t="s">
        <v>1424</v>
      </c>
      <c r="P217" s="29" t="s">
        <v>1425</v>
      </c>
      <c r="Q217" s="29">
        <v>1</v>
      </c>
      <c r="R217" s="29" t="s">
        <v>1406</v>
      </c>
      <c r="S217" s="1"/>
      <c r="T217" s="1"/>
    </row>
    <row r="218" spans="1:20" ht="26.25" customHeight="1">
      <c r="A218" s="17">
        <f t="shared" si="0"/>
        <v>215</v>
      </c>
      <c r="B218" s="18" t="s">
        <v>13</v>
      </c>
      <c r="C218" s="19" t="s">
        <v>1426</v>
      </c>
      <c r="D218" s="19" t="s">
        <v>1427</v>
      </c>
      <c r="E218" s="20" t="s">
        <v>1428</v>
      </c>
      <c r="F218" s="21" t="s">
        <v>135</v>
      </c>
      <c r="G218" s="22" t="s">
        <v>53</v>
      </c>
      <c r="H218" s="23" t="s">
        <v>1429</v>
      </c>
      <c r="I218" s="24" t="s">
        <v>20</v>
      </c>
      <c r="J218" s="1" t="s">
        <v>21</v>
      </c>
      <c r="K218" s="25">
        <v>3</v>
      </c>
      <c r="L218" s="1" t="str">
        <f t="shared" si="1"/>
        <v/>
      </c>
      <c r="M218" s="50">
        <v>26</v>
      </c>
      <c r="N218" s="29" t="s">
        <v>1430</v>
      </c>
      <c r="O218" s="29" t="s">
        <v>1431</v>
      </c>
      <c r="P218" s="29" t="s">
        <v>1432</v>
      </c>
      <c r="Q218" s="29">
        <v>1</v>
      </c>
      <c r="R218" s="29" t="s">
        <v>1406</v>
      </c>
      <c r="S218" s="1"/>
      <c r="T218" s="1"/>
    </row>
    <row r="219" spans="1:20" ht="26.25" customHeight="1">
      <c r="A219" s="17">
        <f t="shared" si="0"/>
        <v>216</v>
      </c>
      <c r="B219" s="18" t="s">
        <v>132</v>
      </c>
      <c r="C219" s="31" t="s">
        <v>1013</v>
      </c>
      <c r="D219" s="19" t="s">
        <v>1433</v>
      </c>
      <c r="E219" s="20" t="s">
        <v>1015</v>
      </c>
      <c r="F219" s="32" t="s">
        <v>170</v>
      </c>
      <c r="G219" s="22" t="s">
        <v>53</v>
      </c>
      <c r="H219" s="23" t="s">
        <v>1434</v>
      </c>
      <c r="I219" s="24" t="s">
        <v>55</v>
      </c>
      <c r="J219" s="1" t="str">
        <f>IFERROR(VLOOKUP(E219,#REF!,8,FALSE),"")</f>
        <v/>
      </c>
      <c r="K219" s="25">
        <v>3</v>
      </c>
      <c r="L219" s="1" t="str">
        <f t="shared" si="1"/>
        <v>2020 FRIC 서양</v>
      </c>
      <c r="M219" s="50">
        <v>27</v>
      </c>
      <c r="N219" s="29" t="s">
        <v>1435</v>
      </c>
      <c r="O219" s="29" t="s">
        <v>840</v>
      </c>
      <c r="P219" s="29" t="s">
        <v>177</v>
      </c>
      <c r="Q219" s="29">
        <v>12</v>
      </c>
      <c r="R219" s="29" t="s">
        <v>1436</v>
      </c>
      <c r="S219" s="1"/>
      <c r="T219" s="1"/>
    </row>
    <row r="220" spans="1:20" ht="26.25" customHeight="1">
      <c r="A220" s="17">
        <f t="shared" si="0"/>
        <v>217</v>
      </c>
      <c r="B220" s="18" t="s">
        <v>1197</v>
      </c>
      <c r="C220" s="19" t="s">
        <v>1437</v>
      </c>
      <c r="D220" s="19" t="s">
        <v>790</v>
      </c>
      <c r="E220" s="20" t="s">
        <v>1438</v>
      </c>
      <c r="F220" s="21" t="s">
        <v>135</v>
      </c>
      <c r="G220" s="33" t="s">
        <v>31</v>
      </c>
      <c r="H220" s="23" t="s">
        <v>1439</v>
      </c>
      <c r="I220" s="24" t="s">
        <v>20</v>
      </c>
      <c r="J220" s="1" t="s">
        <v>87</v>
      </c>
      <c r="K220" s="25">
        <v>4</v>
      </c>
      <c r="L220" s="1" t="str">
        <f t="shared" si="1"/>
        <v/>
      </c>
      <c r="M220" s="50">
        <v>28</v>
      </c>
      <c r="N220" s="29" t="s">
        <v>1440</v>
      </c>
      <c r="O220" s="29" t="s">
        <v>1441</v>
      </c>
      <c r="P220" s="29" t="s">
        <v>1442</v>
      </c>
      <c r="Q220" s="29">
        <v>6</v>
      </c>
      <c r="R220" s="29" t="s">
        <v>1436</v>
      </c>
      <c r="S220" s="1"/>
      <c r="T220" s="1"/>
    </row>
    <row r="221" spans="1:20" ht="26.25" customHeight="1">
      <c r="A221" s="17">
        <f t="shared" si="0"/>
        <v>218</v>
      </c>
      <c r="B221" s="18" t="s">
        <v>175</v>
      </c>
      <c r="C221" s="31" t="s">
        <v>1443</v>
      </c>
      <c r="D221" s="19" t="s">
        <v>1444</v>
      </c>
      <c r="E221" s="20" t="s">
        <v>1445</v>
      </c>
      <c r="F221" s="32" t="s">
        <v>1446</v>
      </c>
      <c r="G221" s="33" t="s">
        <v>53</v>
      </c>
      <c r="H221" s="23" t="s">
        <v>1447</v>
      </c>
      <c r="I221" s="24" t="s">
        <v>55</v>
      </c>
      <c r="J221" s="1" t="str">
        <f t="shared" ref="J221:J223" si="33">IFERROR(VLOOKUP(E221,#REF!,8,FALSE),"")</f>
        <v/>
      </c>
      <c r="K221" s="1"/>
      <c r="L221" s="1" t="str">
        <f t="shared" si="1"/>
        <v/>
      </c>
      <c r="M221" s="50">
        <v>29</v>
      </c>
      <c r="N221" s="29" t="s">
        <v>1448</v>
      </c>
      <c r="O221" s="29" t="s">
        <v>1449</v>
      </c>
      <c r="P221" s="29" t="s">
        <v>1450</v>
      </c>
      <c r="Q221" s="29">
        <v>18</v>
      </c>
      <c r="R221" s="29" t="s">
        <v>1436</v>
      </c>
      <c r="S221" s="1"/>
      <c r="T221" s="1"/>
    </row>
    <row r="222" spans="1:20" ht="26.25" customHeight="1">
      <c r="A222" s="17">
        <f t="shared" si="0"/>
        <v>219</v>
      </c>
      <c r="B222" s="18" t="s">
        <v>175</v>
      </c>
      <c r="C222" s="31" t="s">
        <v>1451</v>
      </c>
      <c r="D222" s="19" t="s">
        <v>45</v>
      </c>
      <c r="E222" s="20" t="s">
        <v>1452</v>
      </c>
      <c r="F222" s="32" t="s">
        <v>1453</v>
      </c>
      <c r="G222" s="33" t="s">
        <v>42</v>
      </c>
      <c r="H222" s="23" t="s">
        <v>1454</v>
      </c>
      <c r="I222" s="24" t="s">
        <v>55</v>
      </c>
      <c r="J222" s="1" t="str">
        <f t="shared" si="33"/>
        <v/>
      </c>
      <c r="K222" s="1"/>
      <c r="L222" s="1" t="str">
        <f t="shared" si="1"/>
        <v/>
      </c>
      <c r="M222" s="50">
        <v>30</v>
      </c>
      <c r="N222" s="29" t="s">
        <v>1455</v>
      </c>
      <c r="O222" s="29" t="s">
        <v>1456</v>
      </c>
      <c r="P222" s="29" t="s">
        <v>1457</v>
      </c>
      <c r="Q222" s="29">
        <v>10</v>
      </c>
      <c r="R222" s="29" t="s">
        <v>1436</v>
      </c>
      <c r="S222" s="1"/>
      <c r="T222" s="1"/>
    </row>
    <row r="223" spans="1:20" ht="26.25" customHeight="1">
      <c r="A223" s="17">
        <f t="shared" si="0"/>
        <v>220</v>
      </c>
      <c r="B223" s="18" t="s">
        <v>175</v>
      </c>
      <c r="C223" s="31" t="s">
        <v>1458</v>
      </c>
      <c r="D223" s="19" t="s">
        <v>1459</v>
      </c>
      <c r="E223" s="20" t="s">
        <v>1460</v>
      </c>
      <c r="F223" s="32" t="s">
        <v>1461</v>
      </c>
      <c r="G223" s="33" t="s">
        <v>42</v>
      </c>
      <c r="H223" s="23" t="s">
        <v>1462</v>
      </c>
      <c r="I223" s="24" t="s">
        <v>55</v>
      </c>
      <c r="J223" s="1" t="str">
        <f t="shared" si="33"/>
        <v/>
      </c>
      <c r="K223" s="1"/>
      <c r="L223" s="1" t="str">
        <f t="shared" si="1"/>
        <v/>
      </c>
      <c r="M223" s="50">
        <v>31</v>
      </c>
      <c r="N223" s="29" t="s">
        <v>1463</v>
      </c>
      <c r="O223" s="29" t="s">
        <v>361</v>
      </c>
      <c r="P223" s="29" t="s">
        <v>1464</v>
      </c>
      <c r="Q223" s="29">
        <v>4</v>
      </c>
      <c r="R223" s="29" t="s">
        <v>1436</v>
      </c>
      <c r="S223" s="1"/>
      <c r="T223" s="1"/>
    </row>
    <row r="224" spans="1:20" ht="26.25" customHeight="1">
      <c r="A224" s="17">
        <f t="shared" si="0"/>
        <v>221</v>
      </c>
      <c r="B224" s="18" t="s">
        <v>175</v>
      </c>
      <c r="C224" s="31" t="s">
        <v>1465</v>
      </c>
      <c r="D224" s="19" t="s">
        <v>1466</v>
      </c>
      <c r="E224" s="20" t="s">
        <v>1467</v>
      </c>
      <c r="F224" s="21" t="s">
        <v>1468</v>
      </c>
      <c r="G224" s="33" t="s">
        <v>42</v>
      </c>
      <c r="H224" s="23" t="s">
        <v>1469</v>
      </c>
      <c r="I224" s="34" t="s">
        <v>20</v>
      </c>
      <c r="J224" s="1" t="s">
        <v>87</v>
      </c>
      <c r="K224" s="25">
        <v>4</v>
      </c>
      <c r="L224" s="1" t="str">
        <f t="shared" si="1"/>
        <v/>
      </c>
      <c r="M224" s="47">
        <v>32</v>
      </c>
      <c r="N224" s="35" t="s">
        <v>1470</v>
      </c>
      <c r="O224" s="35" t="s">
        <v>196</v>
      </c>
      <c r="P224" s="35" t="s">
        <v>1471</v>
      </c>
      <c r="Q224" s="35">
        <v>12</v>
      </c>
      <c r="R224" s="35" t="s">
        <v>1436</v>
      </c>
      <c r="S224" s="25"/>
      <c r="T224" s="25"/>
    </row>
    <row r="225" spans="1:20" ht="26.25" customHeight="1">
      <c r="A225" s="17">
        <f t="shared" si="0"/>
        <v>222</v>
      </c>
      <c r="B225" s="18" t="s">
        <v>105</v>
      </c>
      <c r="C225" s="19" t="s">
        <v>1472</v>
      </c>
      <c r="D225" s="19" t="s">
        <v>124</v>
      </c>
      <c r="E225" s="20" t="s">
        <v>1473</v>
      </c>
      <c r="F225" s="21" t="s">
        <v>135</v>
      </c>
      <c r="G225" s="33" t="s">
        <v>42</v>
      </c>
      <c r="H225" s="23" t="s">
        <v>1474</v>
      </c>
      <c r="I225" s="24" t="s">
        <v>20</v>
      </c>
      <c r="J225" s="1" t="s">
        <v>21</v>
      </c>
      <c r="K225" s="25">
        <v>3</v>
      </c>
      <c r="L225" s="1" t="str">
        <f t="shared" si="1"/>
        <v/>
      </c>
      <c r="M225" s="50">
        <v>33</v>
      </c>
      <c r="N225" s="29" t="s">
        <v>1475</v>
      </c>
      <c r="O225" s="29" t="s">
        <v>1476</v>
      </c>
      <c r="P225" s="29" t="s">
        <v>1477</v>
      </c>
      <c r="Q225" s="29">
        <v>12</v>
      </c>
      <c r="R225" s="29" t="s">
        <v>1436</v>
      </c>
      <c r="S225" s="1"/>
      <c r="T225" s="1"/>
    </row>
    <row r="226" spans="1:20" ht="26.25" customHeight="1">
      <c r="A226" s="17">
        <f t="shared" si="0"/>
        <v>223</v>
      </c>
      <c r="B226" s="18" t="s">
        <v>105</v>
      </c>
      <c r="C226" s="31" t="s">
        <v>1478</v>
      </c>
      <c r="D226" s="19" t="s">
        <v>1479</v>
      </c>
      <c r="E226" s="20" t="s">
        <v>1480</v>
      </c>
      <c r="F226" s="32" t="s">
        <v>1481</v>
      </c>
      <c r="G226" s="33" t="s">
        <v>42</v>
      </c>
      <c r="H226" s="23" t="s">
        <v>1482</v>
      </c>
      <c r="I226" s="24" t="s">
        <v>55</v>
      </c>
      <c r="J226" s="1" t="str">
        <f>IFERROR(VLOOKUP(E226,#REF!,8,FALSE),"")</f>
        <v/>
      </c>
      <c r="K226" s="1"/>
      <c r="L226" s="1" t="str">
        <f t="shared" si="1"/>
        <v/>
      </c>
      <c r="M226" s="50">
        <v>34</v>
      </c>
      <c r="N226" s="29" t="s">
        <v>1483</v>
      </c>
      <c r="O226" s="29" t="s">
        <v>514</v>
      </c>
      <c r="P226" s="29" t="s">
        <v>1484</v>
      </c>
      <c r="Q226" s="29" t="s">
        <v>114</v>
      </c>
      <c r="R226" s="29" t="s">
        <v>1436</v>
      </c>
      <c r="S226" s="1"/>
      <c r="T226" s="1"/>
    </row>
    <row r="227" spans="1:20" ht="26.25" customHeight="1">
      <c r="A227" s="17">
        <f t="shared" si="0"/>
        <v>224</v>
      </c>
      <c r="B227" s="18" t="s">
        <v>105</v>
      </c>
      <c r="C227" s="19" t="s">
        <v>1485</v>
      </c>
      <c r="D227" s="19" t="s">
        <v>1486</v>
      </c>
      <c r="E227" s="20" t="s">
        <v>1487</v>
      </c>
      <c r="F227" s="21" t="s">
        <v>135</v>
      </c>
      <c r="G227" s="33" t="s">
        <v>42</v>
      </c>
      <c r="H227" s="23" t="s">
        <v>1488</v>
      </c>
      <c r="I227" s="24" t="s">
        <v>20</v>
      </c>
      <c r="J227" s="1" t="s">
        <v>21</v>
      </c>
      <c r="K227" s="25">
        <v>3</v>
      </c>
      <c r="L227" s="1" t="str">
        <f t="shared" si="1"/>
        <v/>
      </c>
      <c r="M227" s="50">
        <v>35</v>
      </c>
      <c r="N227" s="29" t="s">
        <v>49</v>
      </c>
      <c r="O227" s="29" t="s">
        <v>1489</v>
      </c>
      <c r="P227" s="29" t="s">
        <v>51</v>
      </c>
      <c r="Q227" s="29">
        <v>6</v>
      </c>
      <c r="R227" s="29" t="s">
        <v>1436</v>
      </c>
      <c r="S227" s="1"/>
      <c r="T227" s="1"/>
    </row>
    <row r="228" spans="1:20" ht="26.25" customHeight="1">
      <c r="A228" s="17">
        <f t="shared" si="0"/>
        <v>225</v>
      </c>
      <c r="B228" s="18" t="s">
        <v>37</v>
      </c>
      <c r="C228" s="19" t="s">
        <v>1490</v>
      </c>
      <c r="D228" s="19" t="s">
        <v>1491</v>
      </c>
      <c r="E228" s="20" t="s">
        <v>1492</v>
      </c>
      <c r="F228" s="21" t="s">
        <v>1493</v>
      </c>
      <c r="G228" s="22" t="s">
        <v>53</v>
      </c>
      <c r="H228" s="23" t="s">
        <v>1494</v>
      </c>
      <c r="I228" s="24" t="s">
        <v>20</v>
      </c>
      <c r="J228" s="1" t="s">
        <v>21</v>
      </c>
      <c r="K228" s="25">
        <v>3</v>
      </c>
      <c r="L228" s="1" t="str">
        <f t="shared" si="1"/>
        <v/>
      </c>
      <c r="M228" s="50">
        <v>36</v>
      </c>
      <c r="N228" s="29" t="s">
        <v>183</v>
      </c>
      <c r="O228" s="29" t="s">
        <v>1495</v>
      </c>
      <c r="P228" s="29" t="s">
        <v>185</v>
      </c>
      <c r="Q228" s="29" t="s">
        <v>114</v>
      </c>
      <c r="R228" s="29" t="s">
        <v>1436</v>
      </c>
      <c r="S228" s="1"/>
      <c r="T228" s="1"/>
    </row>
    <row r="229" spans="1:20" ht="26.25" customHeight="1">
      <c r="A229" s="17">
        <f t="shared" si="0"/>
        <v>226</v>
      </c>
      <c r="B229" s="18" t="s">
        <v>105</v>
      </c>
      <c r="C229" s="31" t="s">
        <v>628</v>
      </c>
      <c r="D229" s="19" t="s">
        <v>1496</v>
      </c>
      <c r="E229" s="20" t="s">
        <v>630</v>
      </c>
      <c r="F229" s="32" t="s">
        <v>496</v>
      </c>
      <c r="G229" s="33" t="s">
        <v>1086</v>
      </c>
      <c r="H229" s="23" t="s">
        <v>1497</v>
      </c>
      <c r="I229" s="24" t="s">
        <v>55</v>
      </c>
      <c r="J229" s="1" t="str">
        <f t="shared" ref="J229:J230" si="34">IFERROR(VLOOKUP(E229,#REF!,8,FALSE),"")</f>
        <v/>
      </c>
      <c r="K229" s="25">
        <v>3</v>
      </c>
      <c r="L229" s="1" t="str">
        <f t="shared" si="1"/>
        <v>2019 FRIC 서양</v>
      </c>
      <c r="M229" s="50">
        <v>37</v>
      </c>
      <c r="N229" s="29" t="s">
        <v>331</v>
      </c>
      <c r="O229" s="29" t="s">
        <v>1498</v>
      </c>
      <c r="P229" s="29" t="s">
        <v>333</v>
      </c>
      <c r="Q229" s="29">
        <v>6</v>
      </c>
      <c r="R229" s="29" t="s">
        <v>1436</v>
      </c>
      <c r="S229" s="1"/>
      <c r="T229" s="1"/>
    </row>
    <row r="230" spans="1:20" ht="26.25" customHeight="1">
      <c r="A230" s="17">
        <f t="shared" si="0"/>
        <v>227</v>
      </c>
      <c r="B230" s="18" t="s">
        <v>13</v>
      </c>
      <c r="C230" s="31" t="s">
        <v>578</v>
      </c>
      <c r="D230" s="19" t="s">
        <v>1499</v>
      </c>
      <c r="E230" s="20" t="s">
        <v>580</v>
      </c>
      <c r="F230" s="32" t="s">
        <v>1500</v>
      </c>
      <c r="G230" s="22" t="s">
        <v>42</v>
      </c>
      <c r="H230" s="23" t="s">
        <v>1501</v>
      </c>
      <c r="I230" s="24" t="s">
        <v>55</v>
      </c>
      <c r="J230" s="1" t="str">
        <f t="shared" si="34"/>
        <v/>
      </c>
      <c r="K230" s="25">
        <v>3</v>
      </c>
      <c r="L230" s="1" t="str">
        <f t="shared" si="1"/>
        <v>2019 FRIC 서양</v>
      </c>
      <c r="M230" s="50">
        <v>38</v>
      </c>
      <c r="N230" s="29" t="s">
        <v>834</v>
      </c>
      <c r="O230" s="29" t="s">
        <v>1502</v>
      </c>
      <c r="P230" s="29" t="s">
        <v>836</v>
      </c>
      <c r="Q230" s="29">
        <v>12</v>
      </c>
      <c r="R230" s="29" t="s">
        <v>1436</v>
      </c>
      <c r="S230" s="1"/>
      <c r="T230" s="1"/>
    </row>
    <row r="231" spans="1:20" ht="26.25" customHeight="1">
      <c r="A231" s="17">
        <f t="shared" si="0"/>
        <v>228</v>
      </c>
      <c r="B231" s="18" t="s">
        <v>13</v>
      </c>
      <c r="C231" s="19" t="s">
        <v>1503</v>
      </c>
      <c r="D231" s="19" t="s">
        <v>199</v>
      </c>
      <c r="E231" s="20" t="s">
        <v>1504</v>
      </c>
      <c r="F231" s="21" t="s">
        <v>1505</v>
      </c>
      <c r="G231" s="22" t="s">
        <v>42</v>
      </c>
      <c r="H231" s="23" t="s">
        <v>1506</v>
      </c>
      <c r="I231" s="24" t="s">
        <v>20</v>
      </c>
      <c r="J231" s="1" t="s">
        <v>21</v>
      </c>
      <c r="K231" s="25">
        <v>3</v>
      </c>
      <c r="L231" s="1" t="str">
        <f t="shared" si="1"/>
        <v/>
      </c>
      <c r="M231" s="50">
        <v>39</v>
      </c>
      <c r="N231" s="29" t="s">
        <v>1288</v>
      </c>
      <c r="O231" s="29" t="s">
        <v>255</v>
      </c>
      <c r="P231" s="29" t="s">
        <v>1289</v>
      </c>
      <c r="Q231" s="29">
        <v>3</v>
      </c>
      <c r="R231" s="29" t="s">
        <v>1436</v>
      </c>
      <c r="S231" s="1"/>
      <c r="T231" s="1"/>
    </row>
    <row r="232" spans="1:20" ht="26.25" customHeight="1">
      <c r="A232" s="17">
        <f t="shared" si="0"/>
        <v>229</v>
      </c>
      <c r="B232" s="18" t="s">
        <v>37</v>
      </c>
      <c r="C232" s="31" t="s">
        <v>1507</v>
      </c>
      <c r="D232" s="19" t="s">
        <v>1320</v>
      </c>
      <c r="E232" s="20" t="s">
        <v>1508</v>
      </c>
      <c r="F232" s="32" t="s">
        <v>1509</v>
      </c>
      <c r="G232" s="22" t="s">
        <v>53</v>
      </c>
      <c r="H232" s="23" t="s">
        <v>1510</v>
      </c>
      <c r="I232" s="24" t="s">
        <v>55</v>
      </c>
      <c r="J232" s="1" t="str">
        <f t="shared" ref="J232:J233" si="35">IFERROR(VLOOKUP(E232,#REF!,8,FALSE),"")</f>
        <v/>
      </c>
      <c r="K232" s="1"/>
      <c r="L232" s="1" t="str">
        <f t="shared" si="1"/>
        <v/>
      </c>
      <c r="M232" s="50">
        <v>40</v>
      </c>
      <c r="N232" s="29" t="s">
        <v>1511</v>
      </c>
      <c r="O232" s="29" t="s">
        <v>1512</v>
      </c>
      <c r="P232" s="29" t="s">
        <v>1513</v>
      </c>
      <c r="Q232" s="29">
        <v>6</v>
      </c>
      <c r="R232" s="29" t="s">
        <v>1436</v>
      </c>
      <c r="S232" s="1"/>
      <c r="T232" s="1"/>
    </row>
    <row r="233" spans="1:20" ht="26.25" customHeight="1">
      <c r="A233" s="17">
        <f t="shared" si="0"/>
        <v>230</v>
      </c>
      <c r="B233" s="18" t="s">
        <v>13</v>
      </c>
      <c r="C233" s="31" t="s">
        <v>1020</v>
      </c>
      <c r="D233" s="19" t="s">
        <v>1514</v>
      </c>
      <c r="E233" s="20" t="s">
        <v>1022</v>
      </c>
      <c r="F233" s="32" t="s">
        <v>170</v>
      </c>
      <c r="G233" s="22" t="s">
        <v>53</v>
      </c>
      <c r="H233" s="23" t="s">
        <v>1515</v>
      </c>
      <c r="I233" s="24" t="s">
        <v>55</v>
      </c>
      <c r="J233" s="1" t="str">
        <f t="shared" si="35"/>
        <v/>
      </c>
      <c r="K233" s="25">
        <v>3</v>
      </c>
      <c r="L233" s="1" t="str">
        <f t="shared" si="1"/>
        <v>2020 FRIC 서양</v>
      </c>
      <c r="M233" s="50">
        <v>41</v>
      </c>
      <c r="N233" s="29" t="s">
        <v>1516</v>
      </c>
      <c r="O233" s="29" t="s">
        <v>558</v>
      </c>
      <c r="P233" s="29" t="s">
        <v>1517</v>
      </c>
      <c r="Q233" s="29">
        <v>8</v>
      </c>
      <c r="R233" s="29" t="s">
        <v>1436</v>
      </c>
      <c r="S233" s="1"/>
      <c r="T233" s="1"/>
    </row>
    <row r="234" spans="1:20" ht="26.25" customHeight="1">
      <c r="A234" s="17">
        <f t="shared" si="0"/>
        <v>231</v>
      </c>
      <c r="B234" s="18" t="s">
        <v>27</v>
      </c>
      <c r="C234" s="19" t="s">
        <v>1518</v>
      </c>
      <c r="D234" s="19" t="s">
        <v>124</v>
      </c>
      <c r="E234" s="20" t="s">
        <v>1519</v>
      </c>
      <c r="F234" s="21" t="s">
        <v>135</v>
      </c>
      <c r="G234" s="22" t="s">
        <v>42</v>
      </c>
      <c r="H234" s="23" t="s">
        <v>1520</v>
      </c>
      <c r="I234" s="24" t="s">
        <v>20</v>
      </c>
      <c r="J234" s="1" t="s">
        <v>21</v>
      </c>
      <c r="K234" s="25">
        <v>3</v>
      </c>
      <c r="L234" s="1" t="str">
        <f t="shared" si="1"/>
        <v/>
      </c>
      <c r="M234" s="50">
        <v>42</v>
      </c>
      <c r="N234" s="29" t="s">
        <v>1521</v>
      </c>
      <c r="O234" s="29" t="s">
        <v>743</v>
      </c>
      <c r="P234" s="29" t="s">
        <v>744</v>
      </c>
      <c r="Q234" s="29">
        <v>12</v>
      </c>
      <c r="R234" s="29" t="s">
        <v>1436</v>
      </c>
      <c r="S234" s="1"/>
      <c r="T234" s="1"/>
    </row>
    <row r="235" spans="1:20" ht="26.25" customHeight="1">
      <c r="A235" s="17">
        <f t="shared" si="0"/>
        <v>232</v>
      </c>
      <c r="B235" s="18" t="s">
        <v>132</v>
      </c>
      <c r="C235" s="19" t="s">
        <v>1522</v>
      </c>
      <c r="D235" s="19" t="s">
        <v>588</v>
      </c>
      <c r="E235" s="20" t="s">
        <v>1523</v>
      </c>
      <c r="F235" s="21" t="s">
        <v>135</v>
      </c>
      <c r="G235" s="22" t="s">
        <v>42</v>
      </c>
      <c r="H235" s="23" t="s">
        <v>1524</v>
      </c>
      <c r="I235" s="24" t="s">
        <v>20</v>
      </c>
      <c r="J235" s="1" t="s">
        <v>21</v>
      </c>
      <c r="K235" s="25">
        <v>3</v>
      </c>
      <c r="L235" s="1" t="str">
        <f t="shared" si="1"/>
        <v/>
      </c>
      <c r="M235" s="50">
        <v>43</v>
      </c>
      <c r="N235" s="29" t="s">
        <v>1525</v>
      </c>
      <c r="O235" s="29" t="s">
        <v>361</v>
      </c>
      <c r="P235" s="29" t="s">
        <v>1526</v>
      </c>
      <c r="Q235" s="29">
        <v>12</v>
      </c>
      <c r="R235" s="29" t="s">
        <v>1436</v>
      </c>
      <c r="S235" s="1"/>
      <c r="T235" s="1"/>
    </row>
    <row r="236" spans="1:20" ht="26.25" customHeight="1">
      <c r="A236" s="17">
        <f t="shared" si="0"/>
        <v>233</v>
      </c>
      <c r="B236" s="18" t="s">
        <v>27</v>
      </c>
      <c r="C236" s="19" t="s">
        <v>1527</v>
      </c>
      <c r="D236" s="19" t="s">
        <v>141</v>
      </c>
      <c r="E236" s="20" t="s">
        <v>1528</v>
      </c>
      <c r="F236" s="21" t="s">
        <v>905</v>
      </c>
      <c r="G236" s="22" t="s">
        <v>42</v>
      </c>
      <c r="H236" s="23" t="s">
        <v>1529</v>
      </c>
      <c r="I236" s="24" t="s">
        <v>20</v>
      </c>
      <c r="J236" s="1" t="s">
        <v>21</v>
      </c>
      <c r="K236" s="25">
        <v>3</v>
      </c>
      <c r="L236" s="1" t="str">
        <f t="shared" si="1"/>
        <v/>
      </c>
      <c r="M236" s="50">
        <v>44</v>
      </c>
      <c r="N236" s="29" t="s">
        <v>1530</v>
      </c>
      <c r="O236" s="29" t="s">
        <v>1531</v>
      </c>
      <c r="P236" s="29" t="s">
        <v>1532</v>
      </c>
      <c r="Q236" s="29">
        <v>4</v>
      </c>
      <c r="R236" s="29" t="s">
        <v>1436</v>
      </c>
      <c r="S236" s="1"/>
      <c r="T236" s="1"/>
    </row>
    <row r="237" spans="1:20" ht="26.25" customHeight="1">
      <c r="A237" s="17">
        <f t="shared" si="0"/>
        <v>234</v>
      </c>
      <c r="B237" s="18" t="s">
        <v>27</v>
      </c>
      <c r="C237" s="31" t="s">
        <v>71</v>
      </c>
      <c r="D237" s="19" t="s">
        <v>588</v>
      </c>
      <c r="E237" s="20" t="s">
        <v>73</v>
      </c>
      <c r="F237" s="32" t="s">
        <v>962</v>
      </c>
      <c r="G237" s="22" t="s">
        <v>1086</v>
      </c>
      <c r="H237" s="23" t="s">
        <v>1533</v>
      </c>
      <c r="I237" s="24" t="s">
        <v>55</v>
      </c>
      <c r="J237" s="1" t="str">
        <f t="shared" ref="J237:J238" si="36">IFERROR(VLOOKUP(E237,#REF!,8,FALSE),"")</f>
        <v/>
      </c>
      <c r="K237" s="25">
        <v>3</v>
      </c>
      <c r="L237" s="1" t="str">
        <f t="shared" si="1"/>
        <v>2016 FRIC 서양</v>
      </c>
      <c r="M237" s="50">
        <v>45</v>
      </c>
      <c r="N237" s="29" t="s">
        <v>1534</v>
      </c>
      <c r="O237" s="29" t="s">
        <v>1535</v>
      </c>
      <c r="P237" s="29" t="s">
        <v>1536</v>
      </c>
      <c r="Q237" s="29">
        <v>12</v>
      </c>
      <c r="R237" s="29" t="s">
        <v>1436</v>
      </c>
      <c r="S237" s="1"/>
      <c r="T237" s="1"/>
    </row>
    <row r="238" spans="1:20" ht="26.25" customHeight="1">
      <c r="A238" s="17">
        <f t="shared" si="0"/>
        <v>235</v>
      </c>
      <c r="B238" s="18" t="s">
        <v>132</v>
      </c>
      <c r="C238" s="31" t="s">
        <v>831</v>
      </c>
      <c r="D238" s="19" t="s">
        <v>112</v>
      </c>
      <c r="E238" s="20" t="s">
        <v>833</v>
      </c>
      <c r="F238" s="32" t="s">
        <v>170</v>
      </c>
      <c r="G238" s="22" t="s">
        <v>42</v>
      </c>
      <c r="H238" s="23" t="s">
        <v>1537</v>
      </c>
      <c r="I238" s="24" t="s">
        <v>55</v>
      </c>
      <c r="J238" s="1" t="str">
        <f t="shared" si="36"/>
        <v/>
      </c>
      <c r="K238" s="25">
        <v>3</v>
      </c>
      <c r="L238" s="1" t="str">
        <f t="shared" si="1"/>
        <v>2020 FRIC 서양</v>
      </c>
      <c r="M238" s="50">
        <v>46</v>
      </c>
      <c r="N238" s="29" t="s">
        <v>1538</v>
      </c>
      <c r="O238" s="29" t="s">
        <v>1539</v>
      </c>
      <c r="P238" s="29" t="s">
        <v>1540</v>
      </c>
      <c r="Q238" s="29">
        <v>12</v>
      </c>
      <c r="R238" s="29" t="s">
        <v>1436</v>
      </c>
      <c r="S238" s="1"/>
      <c r="T238" s="1"/>
    </row>
    <row r="239" spans="1:20" ht="26.25" customHeight="1">
      <c r="A239" s="17">
        <f t="shared" si="0"/>
        <v>236</v>
      </c>
      <c r="B239" s="18" t="s">
        <v>105</v>
      </c>
      <c r="C239" s="31" t="s">
        <v>1541</v>
      </c>
      <c r="D239" s="19" t="s">
        <v>1542</v>
      </c>
      <c r="E239" s="20" t="s">
        <v>1543</v>
      </c>
      <c r="F239" s="21" t="s">
        <v>17</v>
      </c>
      <c r="G239" s="33" t="s">
        <v>31</v>
      </c>
      <c r="H239" s="23" t="s">
        <v>1544</v>
      </c>
      <c r="I239" s="34" t="s">
        <v>20</v>
      </c>
      <c r="J239" s="1" t="s">
        <v>87</v>
      </c>
      <c r="K239" s="25">
        <v>4</v>
      </c>
      <c r="L239" s="1" t="str">
        <f t="shared" si="1"/>
        <v/>
      </c>
      <c r="M239" s="47">
        <v>47</v>
      </c>
      <c r="N239" s="35" t="s">
        <v>1545</v>
      </c>
      <c r="O239" s="35" t="s">
        <v>1546</v>
      </c>
      <c r="P239" s="35" t="s">
        <v>1547</v>
      </c>
      <c r="Q239" s="35">
        <v>4</v>
      </c>
      <c r="R239" s="35" t="s">
        <v>1436</v>
      </c>
      <c r="S239" s="25"/>
      <c r="T239" s="25"/>
    </row>
    <row r="240" spans="1:20" ht="26.25" customHeight="1">
      <c r="A240" s="17">
        <f t="shared" si="0"/>
        <v>237</v>
      </c>
      <c r="B240" s="18" t="s">
        <v>175</v>
      </c>
      <c r="C240" s="31" t="s">
        <v>1548</v>
      </c>
      <c r="D240" s="19" t="s">
        <v>277</v>
      </c>
      <c r="E240" s="20" t="s">
        <v>1549</v>
      </c>
      <c r="F240" s="32" t="s">
        <v>738</v>
      </c>
      <c r="G240" s="33" t="s">
        <v>350</v>
      </c>
      <c r="H240" s="23" t="s">
        <v>1550</v>
      </c>
      <c r="I240" s="24" t="s">
        <v>55</v>
      </c>
      <c r="J240" s="1" t="str">
        <f t="shared" ref="J240:J246" si="37">IFERROR(VLOOKUP(E240,#REF!,8,FALSE),"")</f>
        <v/>
      </c>
      <c r="K240" s="1"/>
      <c r="L240" s="1" t="str">
        <f t="shared" si="1"/>
        <v/>
      </c>
      <c r="M240" s="50">
        <v>48</v>
      </c>
      <c r="N240" s="29" t="s">
        <v>1551</v>
      </c>
      <c r="O240" s="29" t="s">
        <v>1552</v>
      </c>
      <c r="P240" s="29" t="s">
        <v>1553</v>
      </c>
      <c r="Q240" s="29">
        <v>12</v>
      </c>
      <c r="R240" s="29" t="s">
        <v>1436</v>
      </c>
      <c r="S240" s="1"/>
      <c r="T240" s="1"/>
    </row>
    <row r="241" spans="1:20" ht="26.25" customHeight="1">
      <c r="A241" s="17">
        <f t="shared" si="0"/>
        <v>238</v>
      </c>
      <c r="B241" s="18" t="s">
        <v>175</v>
      </c>
      <c r="C241" s="31" t="s">
        <v>1554</v>
      </c>
      <c r="D241" s="19" t="s">
        <v>1555</v>
      </c>
      <c r="E241" s="20" t="s">
        <v>1556</v>
      </c>
      <c r="F241" s="32" t="s">
        <v>1557</v>
      </c>
      <c r="G241" s="33" t="s">
        <v>42</v>
      </c>
      <c r="H241" s="23" t="s">
        <v>1558</v>
      </c>
      <c r="I241" s="24" t="s">
        <v>55</v>
      </c>
      <c r="J241" s="1" t="str">
        <f t="shared" si="37"/>
        <v/>
      </c>
      <c r="K241" s="1"/>
      <c r="L241" s="1" t="str">
        <f t="shared" si="1"/>
        <v/>
      </c>
      <c r="M241" s="50">
        <v>49</v>
      </c>
      <c r="N241" s="29" t="s">
        <v>1559</v>
      </c>
      <c r="O241" s="29" t="s">
        <v>1560</v>
      </c>
      <c r="P241" s="29" t="s">
        <v>1561</v>
      </c>
      <c r="Q241" s="28" t="s">
        <v>36</v>
      </c>
      <c r="R241" s="29" t="s">
        <v>1562</v>
      </c>
      <c r="S241" s="1"/>
      <c r="T241" s="1"/>
    </row>
    <row r="242" spans="1:20" ht="26.25" customHeight="1">
      <c r="A242" s="17">
        <f t="shared" si="0"/>
        <v>239</v>
      </c>
      <c r="B242" s="18" t="s">
        <v>248</v>
      </c>
      <c r="C242" s="31" t="s">
        <v>1027</v>
      </c>
      <c r="D242" s="19" t="s">
        <v>370</v>
      </c>
      <c r="E242" s="20" t="s">
        <v>1029</v>
      </c>
      <c r="F242" s="32" t="s">
        <v>170</v>
      </c>
      <c r="G242" s="33" t="s">
        <v>53</v>
      </c>
      <c r="H242" s="23" t="s">
        <v>1563</v>
      </c>
      <c r="I242" s="24" t="s">
        <v>55</v>
      </c>
      <c r="J242" s="1" t="str">
        <f t="shared" si="37"/>
        <v/>
      </c>
      <c r="K242" s="25">
        <v>3</v>
      </c>
      <c r="L242" s="1" t="str">
        <f t="shared" si="1"/>
        <v>2020 FRIC 서양</v>
      </c>
      <c r="M242" s="50">
        <v>50</v>
      </c>
      <c r="N242" s="29" t="s">
        <v>1564</v>
      </c>
      <c r="O242" s="29" t="s">
        <v>1565</v>
      </c>
      <c r="P242" s="52"/>
      <c r="Q242" s="28" t="s">
        <v>36</v>
      </c>
      <c r="R242" s="29" t="s">
        <v>1562</v>
      </c>
      <c r="S242" s="1"/>
      <c r="T242" s="1"/>
    </row>
    <row r="243" spans="1:20" ht="26.25" customHeight="1">
      <c r="A243" s="17">
        <f t="shared" si="0"/>
        <v>240</v>
      </c>
      <c r="B243" s="18" t="s">
        <v>27</v>
      </c>
      <c r="C243" s="31" t="s">
        <v>78</v>
      </c>
      <c r="D243" s="19" t="s">
        <v>1566</v>
      </c>
      <c r="E243" s="20" t="s">
        <v>80</v>
      </c>
      <c r="F243" s="32" t="s">
        <v>142</v>
      </c>
      <c r="G243" s="22" t="s">
        <v>53</v>
      </c>
      <c r="H243" s="23" t="s">
        <v>1567</v>
      </c>
      <c r="I243" s="24" t="s">
        <v>55</v>
      </c>
      <c r="J243" s="1" t="str">
        <f t="shared" si="37"/>
        <v/>
      </c>
      <c r="K243" s="25">
        <v>3</v>
      </c>
      <c r="L243" s="1" t="str">
        <f t="shared" si="1"/>
        <v>2016 FRIC 서양</v>
      </c>
      <c r="M243" s="50">
        <v>51</v>
      </c>
      <c r="N243" s="29" t="s">
        <v>1568</v>
      </c>
      <c r="O243" s="29" t="s">
        <v>1569</v>
      </c>
      <c r="P243" s="52"/>
      <c r="Q243" s="28" t="s">
        <v>47</v>
      </c>
      <c r="R243" s="29" t="s">
        <v>1562</v>
      </c>
      <c r="S243" s="1"/>
      <c r="T243" s="1"/>
    </row>
    <row r="244" spans="1:20" ht="26.25" customHeight="1">
      <c r="A244" s="17">
        <f t="shared" si="0"/>
        <v>241</v>
      </c>
      <c r="B244" s="18" t="s">
        <v>81</v>
      </c>
      <c r="C244" s="31" t="s">
        <v>1570</v>
      </c>
      <c r="D244" s="19" t="s">
        <v>1571</v>
      </c>
      <c r="E244" s="20" t="s">
        <v>1572</v>
      </c>
      <c r="F244" s="32">
        <v>2004</v>
      </c>
      <c r="G244" s="33" t="s">
        <v>53</v>
      </c>
      <c r="H244" s="23" t="s">
        <v>1573</v>
      </c>
      <c r="I244" s="24" t="s">
        <v>55</v>
      </c>
      <c r="J244" s="1" t="str">
        <f t="shared" si="37"/>
        <v/>
      </c>
      <c r="K244" s="1"/>
      <c r="L244" s="1" t="str">
        <f t="shared" si="1"/>
        <v/>
      </c>
      <c r="M244" s="50">
        <v>52</v>
      </c>
      <c r="N244" s="27" t="s">
        <v>1574</v>
      </c>
      <c r="O244" s="28" t="s">
        <v>1575</v>
      </c>
      <c r="P244" s="27" t="s">
        <v>1576</v>
      </c>
      <c r="Q244" s="27" t="s">
        <v>47</v>
      </c>
      <c r="R244" s="29" t="s">
        <v>1562</v>
      </c>
      <c r="S244" s="1"/>
      <c r="T244" s="1"/>
    </row>
    <row r="245" spans="1:20" ht="26.25" customHeight="1">
      <c r="A245" s="17">
        <f t="shared" si="0"/>
        <v>242</v>
      </c>
      <c r="B245" s="18" t="s">
        <v>48</v>
      </c>
      <c r="C245" s="31" t="s">
        <v>1577</v>
      </c>
      <c r="D245" s="19" t="s">
        <v>1571</v>
      </c>
      <c r="E245" s="20" t="s">
        <v>1578</v>
      </c>
      <c r="F245" s="32" t="s">
        <v>1579</v>
      </c>
      <c r="G245" s="33" t="s">
        <v>42</v>
      </c>
      <c r="H245" s="23" t="s">
        <v>1580</v>
      </c>
      <c r="I245" s="24" t="s">
        <v>55</v>
      </c>
      <c r="J245" s="1" t="str">
        <f t="shared" si="37"/>
        <v/>
      </c>
      <c r="K245" s="1"/>
      <c r="L245" s="1" t="str">
        <f t="shared" si="1"/>
        <v/>
      </c>
      <c r="M245" s="50">
        <v>53</v>
      </c>
      <c r="N245" s="27" t="s">
        <v>1581</v>
      </c>
      <c r="O245" s="28" t="s">
        <v>1582</v>
      </c>
      <c r="P245" s="27" t="s">
        <v>1583</v>
      </c>
      <c r="Q245" s="27" t="s">
        <v>36</v>
      </c>
      <c r="R245" s="29" t="s">
        <v>1562</v>
      </c>
      <c r="S245" s="1"/>
      <c r="T245" s="1"/>
    </row>
    <row r="246" spans="1:20" ht="26.25" customHeight="1">
      <c r="A246" s="17">
        <f t="shared" si="0"/>
        <v>243</v>
      </c>
      <c r="B246" s="18" t="s">
        <v>81</v>
      </c>
      <c r="C246" s="31" t="s">
        <v>1584</v>
      </c>
      <c r="D246" s="19" t="s">
        <v>1571</v>
      </c>
      <c r="E246" s="20" t="s">
        <v>1585</v>
      </c>
      <c r="F246" s="32" t="s">
        <v>1586</v>
      </c>
      <c r="G246" s="33" t="s">
        <v>42</v>
      </c>
      <c r="H246" s="23" t="s">
        <v>1587</v>
      </c>
      <c r="I246" s="24" t="s">
        <v>55</v>
      </c>
      <c r="J246" s="1" t="str">
        <f t="shared" si="37"/>
        <v/>
      </c>
      <c r="K246" s="1"/>
      <c r="L246" s="1" t="str">
        <f t="shared" si="1"/>
        <v/>
      </c>
      <c r="M246" s="50">
        <v>54</v>
      </c>
      <c r="N246" s="27" t="s">
        <v>1588</v>
      </c>
      <c r="O246" s="28" t="s">
        <v>1589</v>
      </c>
      <c r="P246" s="27" t="s">
        <v>1590</v>
      </c>
      <c r="Q246" s="27" t="s">
        <v>140</v>
      </c>
      <c r="R246" s="29" t="s">
        <v>1562</v>
      </c>
      <c r="S246" s="1"/>
      <c r="T246" s="1"/>
    </row>
    <row r="247" spans="1:20" ht="26.25" customHeight="1">
      <c r="A247" s="17">
        <f t="shared" si="0"/>
        <v>244</v>
      </c>
      <c r="B247" s="18" t="s">
        <v>48</v>
      </c>
      <c r="C247" s="19" t="s">
        <v>1591</v>
      </c>
      <c r="D247" s="19" t="s">
        <v>1592</v>
      </c>
      <c r="E247" s="20" t="s">
        <v>1593</v>
      </c>
      <c r="F247" s="21" t="s">
        <v>905</v>
      </c>
      <c r="G247" s="33" t="s">
        <v>42</v>
      </c>
      <c r="H247" s="23" t="s">
        <v>1594</v>
      </c>
      <c r="I247" s="24" t="s">
        <v>20</v>
      </c>
      <c r="J247" s="1" t="s">
        <v>21</v>
      </c>
      <c r="K247" s="25">
        <v>3</v>
      </c>
      <c r="L247" s="1" t="str">
        <f t="shared" si="1"/>
        <v/>
      </c>
      <c r="M247" s="50">
        <v>55</v>
      </c>
      <c r="N247" s="27" t="s">
        <v>1595</v>
      </c>
      <c r="O247" s="28" t="s">
        <v>1596</v>
      </c>
      <c r="P247" s="27" t="s">
        <v>1597</v>
      </c>
      <c r="Q247" s="27" t="s">
        <v>47</v>
      </c>
      <c r="R247" s="29" t="s">
        <v>1562</v>
      </c>
      <c r="S247" s="1"/>
      <c r="T247" s="1"/>
    </row>
    <row r="248" spans="1:20" ht="26.25" customHeight="1">
      <c r="A248" s="17">
        <f t="shared" si="0"/>
        <v>245</v>
      </c>
      <c r="B248" s="18" t="s">
        <v>1598</v>
      </c>
      <c r="C248" s="31" t="s">
        <v>1599</v>
      </c>
      <c r="D248" s="19" t="s">
        <v>1600</v>
      </c>
      <c r="E248" s="20" t="s">
        <v>1601</v>
      </c>
      <c r="F248" s="32" t="s">
        <v>222</v>
      </c>
      <c r="G248" s="33" t="s">
        <v>53</v>
      </c>
      <c r="H248" s="23" t="s">
        <v>1602</v>
      </c>
      <c r="I248" s="24" t="s">
        <v>55</v>
      </c>
      <c r="J248" s="1" t="str">
        <f>IFERROR(VLOOKUP(E248,#REF!,8,FALSE),"")</f>
        <v/>
      </c>
      <c r="K248" s="1"/>
      <c r="L248" s="1" t="str">
        <f t="shared" si="1"/>
        <v/>
      </c>
      <c r="M248" s="50">
        <v>56</v>
      </c>
      <c r="N248" s="27" t="s">
        <v>1603</v>
      </c>
      <c r="O248" s="28" t="s">
        <v>1604</v>
      </c>
      <c r="P248" s="27" t="s">
        <v>1605</v>
      </c>
      <c r="Q248" s="27" t="s">
        <v>36</v>
      </c>
      <c r="R248" s="29" t="s">
        <v>1562</v>
      </c>
      <c r="S248" s="1"/>
      <c r="T248" s="1"/>
    </row>
    <row r="249" spans="1:20" ht="26.25" customHeight="1">
      <c r="A249" s="17">
        <f t="shared" si="0"/>
        <v>246</v>
      </c>
      <c r="B249" s="18" t="s">
        <v>248</v>
      </c>
      <c r="C249" s="19" t="s">
        <v>1606</v>
      </c>
      <c r="D249" s="19" t="s">
        <v>1607</v>
      </c>
      <c r="E249" s="79" t="s">
        <v>1608</v>
      </c>
      <c r="F249" s="21" t="s">
        <v>1609</v>
      </c>
      <c r="G249" s="33" t="s">
        <v>31</v>
      </c>
      <c r="H249" s="23" t="s">
        <v>1610</v>
      </c>
      <c r="I249" s="24" t="s">
        <v>20</v>
      </c>
      <c r="J249" s="1" t="s">
        <v>21</v>
      </c>
      <c r="K249" s="25">
        <v>3</v>
      </c>
      <c r="L249" s="1" t="str">
        <f t="shared" si="1"/>
        <v/>
      </c>
      <c r="M249" s="50">
        <v>57</v>
      </c>
      <c r="N249" s="27" t="s">
        <v>1611</v>
      </c>
      <c r="O249" s="28" t="s">
        <v>1612</v>
      </c>
      <c r="P249" s="27" t="s">
        <v>1613</v>
      </c>
      <c r="Q249" s="27" t="s">
        <v>1614</v>
      </c>
      <c r="R249" s="29" t="s">
        <v>1562</v>
      </c>
      <c r="S249" s="1"/>
      <c r="T249" s="1"/>
    </row>
    <row r="250" spans="1:20" ht="26.25" customHeight="1">
      <c r="A250" s="17">
        <f t="shared" si="0"/>
        <v>247</v>
      </c>
      <c r="B250" s="18" t="s">
        <v>105</v>
      </c>
      <c r="C250" s="31" t="s">
        <v>1615</v>
      </c>
      <c r="D250" s="19" t="s">
        <v>1184</v>
      </c>
      <c r="E250" s="20" t="s">
        <v>1616</v>
      </c>
      <c r="F250" s="32" t="s">
        <v>738</v>
      </c>
      <c r="G250" s="33" t="s">
        <v>63</v>
      </c>
      <c r="H250" s="23" t="s">
        <v>1617</v>
      </c>
      <c r="I250" s="24" t="s">
        <v>55</v>
      </c>
      <c r="J250" s="1" t="str">
        <f t="shared" ref="J250:J254" si="38">IFERROR(VLOOKUP(E250,#REF!,8,FALSE),"")</f>
        <v/>
      </c>
      <c r="K250" s="1"/>
      <c r="L250" s="1" t="str">
        <f t="shared" si="1"/>
        <v/>
      </c>
      <c r="M250" s="50">
        <v>58</v>
      </c>
      <c r="N250" s="27" t="s">
        <v>1618</v>
      </c>
      <c r="O250" s="28" t="s">
        <v>437</v>
      </c>
      <c r="P250" s="27" t="s">
        <v>1619</v>
      </c>
      <c r="Q250" s="27" t="s">
        <v>36</v>
      </c>
      <c r="R250" s="29" t="s">
        <v>1562</v>
      </c>
      <c r="S250" s="1"/>
      <c r="T250" s="1"/>
    </row>
    <row r="251" spans="1:20" ht="26.25" customHeight="1">
      <c r="A251" s="17">
        <f t="shared" si="0"/>
        <v>248</v>
      </c>
      <c r="B251" s="18" t="s">
        <v>105</v>
      </c>
      <c r="C251" s="31" t="s">
        <v>1620</v>
      </c>
      <c r="D251" s="19" t="s">
        <v>374</v>
      </c>
      <c r="E251" s="20" t="s">
        <v>1621</v>
      </c>
      <c r="F251" s="32" t="s">
        <v>416</v>
      </c>
      <c r="G251" s="33" t="s">
        <v>42</v>
      </c>
      <c r="H251" s="23" t="s">
        <v>1622</v>
      </c>
      <c r="I251" s="24" t="s">
        <v>55</v>
      </c>
      <c r="J251" s="1" t="str">
        <f t="shared" si="38"/>
        <v/>
      </c>
      <c r="K251" s="1"/>
      <c r="L251" s="1" t="str">
        <f t="shared" si="1"/>
        <v/>
      </c>
      <c r="M251" s="50">
        <v>59</v>
      </c>
      <c r="N251" s="27" t="s">
        <v>1623</v>
      </c>
      <c r="O251" s="28" t="s">
        <v>282</v>
      </c>
      <c r="P251" s="27" t="s">
        <v>1624</v>
      </c>
      <c r="Q251" s="27" t="s">
        <v>36</v>
      </c>
      <c r="R251" s="29" t="s">
        <v>1562</v>
      </c>
      <c r="S251" s="1"/>
      <c r="T251" s="1"/>
    </row>
    <row r="252" spans="1:20" ht="26.25" customHeight="1">
      <c r="A252" s="17">
        <f t="shared" si="0"/>
        <v>249</v>
      </c>
      <c r="B252" s="18" t="s">
        <v>248</v>
      </c>
      <c r="C252" s="31" t="s">
        <v>1625</v>
      </c>
      <c r="D252" s="19" t="s">
        <v>1626</v>
      </c>
      <c r="E252" s="20" t="s">
        <v>1627</v>
      </c>
      <c r="F252" s="32" t="s">
        <v>416</v>
      </c>
      <c r="G252" s="33" t="s">
        <v>42</v>
      </c>
      <c r="H252" s="23" t="s">
        <v>1628</v>
      </c>
      <c r="I252" s="24" t="s">
        <v>55</v>
      </c>
      <c r="J252" s="1" t="str">
        <f t="shared" si="38"/>
        <v/>
      </c>
      <c r="K252" s="1"/>
      <c r="L252" s="1" t="str">
        <f t="shared" si="1"/>
        <v/>
      </c>
      <c r="M252" s="50">
        <v>60</v>
      </c>
      <c r="N252" s="27" t="s">
        <v>198</v>
      </c>
      <c r="O252" s="27" t="s">
        <v>199</v>
      </c>
      <c r="P252" s="80" t="s">
        <v>200</v>
      </c>
      <c r="Q252" s="81">
        <v>12</v>
      </c>
      <c r="R252" s="30" t="s">
        <v>1629</v>
      </c>
      <c r="S252" s="1"/>
      <c r="T252" s="1"/>
    </row>
    <row r="253" spans="1:20" ht="26.25" customHeight="1">
      <c r="A253" s="17">
        <f t="shared" si="0"/>
        <v>250</v>
      </c>
      <c r="B253" s="18" t="s">
        <v>37</v>
      </c>
      <c r="C253" s="31" t="s">
        <v>1630</v>
      </c>
      <c r="D253" s="19" t="s">
        <v>1626</v>
      </c>
      <c r="E253" s="20" t="s">
        <v>1631</v>
      </c>
      <c r="F253" s="32" t="s">
        <v>693</v>
      </c>
      <c r="G253" s="22" t="s">
        <v>42</v>
      </c>
      <c r="H253" s="23" t="s">
        <v>1632</v>
      </c>
      <c r="I253" s="24" t="s">
        <v>55</v>
      </c>
      <c r="J253" s="1" t="str">
        <f t="shared" si="38"/>
        <v/>
      </c>
      <c r="K253" s="1"/>
      <c r="L253" s="1" t="str">
        <f t="shared" si="1"/>
        <v/>
      </c>
      <c r="M253" s="50">
        <v>61</v>
      </c>
      <c r="N253" s="27" t="s">
        <v>1633</v>
      </c>
      <c r="O253" s="27" t="s">
        <v>199</v>
      </c>
      <c r="P253" s="27" t="s">
        <v>1634</v>
      </c>
      <c r="Q253" s="27">
        <v>6</v>
      </c>
      <c r="R253" s="30" t="s">
        <v>1629</v>
      </c>
      <c r="S253" s="1"/>
      <c r="T253" s="1"/>
    </row>
    <row r="254" spans="1:20" ht="26.25" customHeight="1">
      <c r="A254" s="17">
        <f t="shared" si="0"/>
        <v>251</v>
      </c>
      <c r="B254" s="18" t="s">
        <v>105</v>
      </c>
      <c r="C254" s="31" t="s">
        <v>1511</v>
      </c>
      <c r="D254" s="19" t="s">
        <v>1635</v>
      </c>
      <c r="E254" s="20" t="s">
        <v>1513</v>
      </c>
      <c r="F254" s="21" t="s">
        <v>1636</v>
      </c>
      <c r="G254" s="33" t="s">
        <v>42</v>
      </c>
      <c r="H254" s="23" t="s">
        <v>1637</v>
      </c>
      <c r="I254" s="34" t="s">
        <v>55</v>
      </c>
      <c r="J254" s="1" t="str">
        <f t="shared" si="38"/>
        <v/>
      </c>
      <c r="K254" s="25">
        <v>4</v>
      </c>
      <c r="L254" s="1" t="str">
        <f t="shared" si="1"/>
        <v>2021 과기 서양</v>
      </c>
      <c r="M254" s="47">
        <v>62</v>
      </c>
      <c r="N254" s="36" t="s">
        <v>1638</v>
      </c>
      <c r="O254" s="36" t="s">
        <v>199</v>
      </c>
      <c r="P254" s="36" t="s">
        <v>1639</v>
      </c>
      <c r="Q254" s="82">
        <v>4</v>
      </c>
      <c r="R254" s="38" t="s">
        <v>1629</v>
      </c>
      <c r="S254" s="25"/>
      <c r="T254" s="25"/>
    </row>
    <row r="255" spans="1:20" ht="26.25" customHeight="1">
      <c r="A255" s="17">
        <f t="shared" si="0"/>
        <v>252</v>
      </c>
      <c r="B255" s="18" t="s">
        <v>27</v>
      </c>
      <c r="C255" s="19" t="s">
        <v>1640</v>
      </c>
      <c r="D255" s="19" t="s">
        <v>665</v>
      </c>
      <c r="E255" s="20" t="s">
        <v>1641</v>
      </c>
      <c r="F255" s="21" t="s">
        <v>1642</v>
      </c>
      <c r="G255" s="22" t="s">
        <v>42</v>
      </c>
      <c r="H255" s="23" t="s">
        <v>1643</v>
      </c>
      <c r="I255" s="24" t="s">
        <v>20</v>
      </c>
      <c r="J255" s="1" t="s">
        <v>21</v>
      </c>
      <c r="K255" s="25">
        <v>3</v>
      </c>
      <c r="L255" s="1" t="str">
        <f t="shared" si="1"/>
        <v/>
      </c>
      <c r="M255" s="50">
        <v>63</v>
      </c>
      <c r="N255" s="27" t="s">
        <v>1644</v>
      </c>
      <c r="O255" s="27" t="s">
        <v>199</v>
      </c>
      <c r="P255" s="27" t="s">
        <v>1645</v>
      </c>
      <c r="Q255" s="27">
        <v>12</v>
      </c>
      <c r="R255" s="30" t="s">
        <v>1629</v>
      </c>
      <c r="S255" s="1"/>
      <c r="T255" s="1"/>
    </row>
    <row r="256" spans="1:20" ht="26.25" customHeight="1">
      <c r="A256" s="17">
        <f t="shared" si="0"/>
        <v>253</v>
      </c>
      <c r="B256" s="18" t="s">
        <v>37</v>
      </c>
      <c r="C256" s="31" t="s">
        <v>1646</v>
      </c>
      <c r="D256" s="19" t="s">
        <v>1647</v>
      </c>
      <c r="E256" s="20" t="s">
        <v>1648</v>
      </c>
      <c r="F256" s="32" t="s">
        <v>416</v>
      </c>
      <c r="G256" s="22" t="s">
        <v>53</v>
      </c>
      <c r="H256" s="23" t="s">
        <v>1649</v>
      </c>
      <c r="I256" s="24" t="s">
        <v>55</v>
      </c>
      <c r="J256" s="1" t="str">
        <f t="shared" ref="J256:J259" si="39">IFERROR(VLOOKUP(E256,#REF!,8,FALSE),"")</f>
        <v/>
      </c>
      <c r="K256" s="1"/>
      <c r="L256" s="1" t="str">
        <f t="shared" si="1"/>
        <v/>
      </c>
      <c r="M256" s="50">
        <v>64</v>
      </c>
      <c r="N256" s="27" t="s">
        <v>1650</v>
      </c>
      <c r="O256" s="27" t="s">
        <v>199</v>
      </c>
      <c r="P256" s="27" t="s">
        <v>1651</v>
      </c>
      <c r="Q256" s="27">
        <v>6</v>
      </c>
      <c r="R256" s="30" t="s">
        <v>1629</v>
      </c>
      <c r="S256" s="1"/>
      <c r="T256" s="1"/>
    </row>
    <row r="257" spans="1:20" ht="26.25" customHeight="1">
      <c r="A257" s="17">
        <f t="shared" si="0"/>
        <v>254</v>
      </c>
      <c r="B257" s="18" t="s">
        <v>132</v>
      </c>
      <c r="C257" s="31" t="s">
        <v>1652</v>
      </c>
      <c r="D257" s="19" t="s">
        <v>271</v>
      </c>
      <c r="E257" s="20" t="s">
        <v>1653</v>
      </c>
      <c r="F257" s="32">
        <v>2010</v>
      </c>
      <c r="G257" s="22" t="s">
        <v>42</v>
      </c>
      <c r="H257" s="23" t="s">
        <v>1654</v>
      </c>
      <c r="I257" s="24" t="s">
        <v>55</v>
      </c>
      <c r="J257" s="1" t="str">
        <f t="shared" si="39"/>
        <v/>
      </c>
      <c r="K257" s="1"/>
      <c r="L257" s="1" t="str">
        <f t="shared" si="1"/>
        <v/>
      </c>
      <c r="M257" s="50">
        <v>65</v>
      </c>
      <c r="N257" s="27" t="s">
        <v>1655</v>
      </c>
      <c r="O257" s="27" t="s">
        <v>199</v>
      </c>
      <c r="P257" s="27" t="s">
        <v>1656</v>
      </c>
      <c r="Q257" s="81">
        <v>6</v>
      </c>
      <c r="R257" s="30" t="s">
        <v>1629</v>
      </c>
      <c r="S257" s="1"/>
      <c r="T257" s="1"/>
    </row>
    <row r="258" spans="1:20" ht="26.25" customHeight="1">
      <c r="A258" s="17">
        <f t="shared" si="0"/>
        <v>255</v>
      </c>
      <c r="B258" s="18" t="s">
        <v>48</v>
      </c>
      <c r="C258" s="31" t="s">
        <v>1657</v>
      </c>
      <c r="D258" s="19" t="s">
        <v>1658</v>
      </c>
      <c r="E258" s="20" t="s">
        <v>1037</v>
      </c>
      <c r="F258" s="32" t="s">
        <v>170</v>
      </c>
      <c r="G258" s="33" t="s">
        <v>31</v>
      </c>
      <c r="H258" s="23" t="s">
        <v>1659</v>
      </c>
      <c r="I258" s="24" t="s">
        <v>55</v>
      </c>
      <c r="J258" s="1" t="str">
        <f t="shared" si="39"/>
        <v/>
      </c>
      <c r="K258" s="25">
        <v>3</v>
      </c>
      <c r="L258" s="1" t="str">
        <f t="shared" si="1"/>
        <v>2020 FRIC 서양</v>
      </c>
      <c r="M258" s="50">
        <v>66</v>
      </c>
      <c r="N258" s="27" t="s">
        <v>1660</v>
      </c>
      <c r="O258" s="27" t="s">
        <v>1661</v>
      </c>
      <c r="P258" s="27" t="s">
        <v>1662</v>
      </c>
      <c r="Q258" s="81">
        <v>12</v>
      </c>
      <c r="R258" s="30" t="s">
        <v>1629</v>
      </c>
      <c r="S258" s="1"/>
      <c r="T258" s="1"/>
    </row>
    <row r="259" spans="1:20" ht="26.25" customHeight="1">
      <c r="A259" s="17">
        <f t="shared" si="0"/>
        <v>256</v>
      </c>
      <c r="B259" s="18" t="s">
        <v>105</v>
      </c>
      <c r="C259" s="31" t="s">
        <v>1663</v>
      </c>
      <c r="D259" s="19" t="s">
        <v>1664</v>
      </c>
      <c r="E259" s="20" t="s">
        <v>1665</v>
      </c>
      <c r="F259" s="32" t="s">
        <v>416</v>
      </c>
      <c r="G259" s="33" t="s">
        <v>53</v>
      </c>
      <c r="H259" s="23" t="s">
        <v>1666</v>
      </c>
      <c r="I259" s="24" t="s">
        <v>55</v>
      </c>
      <c r="J259" s="1" t="str">
        <f t="shared" si="39"/>
        <v/>
      </c>
      <c r="K259" s="1"/>
      <c r="L259" s="1" t="str">
        <f t="shared" si="1"/>
        <v/>
      </c>
      <c r="M259" s="50">
        <v>67</v>
      </c>
      <c r="N259" s="27" t="s">
        <v>1667</v>
      </c>
      <c r="O259" s="27" t="s">
        <v>1668</v>
      </c>
      <c r="P259" s="27" t="s">
        <v>1669</v>
      </c>
      <c r="Q259" s="81">
        <v>12</v>
      </c>
      <c r="R259" s="30" t="s">
        <v>1629</v>
      </c>
      <c r="S259" s="1"/>
      <c r="T259" s="1"/>
    </row>
    <row r="260" spans="1:20" ht="26.25" customHeight="1">
      <c r="A260" s="17">
        <f t="shared" si="0"/>
        <v>257</v>
      </c>
      <c r="B260" s="18" t="s">
        <v>132</v>
      </c>
      <c r="C260" s="19" t="s">
        <v>1670</v>
      </c>
      <c r="D260" s="19" t="s">
        <v>1671</v>
      </c>
      <c r="E260" s="20" t="s">
        <v>1672</v>
      </c>
      <c r="F260" s="21" t="s">
        <v>135</v>
      </c>
      <c r="G260" s="22" t="s">
        <v>42</v>
      </c>
      <c r="H260" s="23" t="s">
        <v>1673</v>
      </c>
      <c r="I260" s="24" t="s">
        <v>20</v>
      </c>
      <c r="J260" s="1" t="s">
        <v>21</v>
      </c>
      <c r="K260" s="25">
        <v>3</v>
      </c>
      <c r="L260" s="1" t="str">
        <f t="shared" si="1"/>
        <v/>
      </c>
      <c r="M260" s="50">
        <v>68</v>
      </c>
      <c r="N260" s="27" t="s">
        <v>1674</v>
      </c>
      <c r="O260" s="27" t="s">
        <v>939</v>
      </c>
      <c r="P260" s="27" t="s">
        <v>1675</v>
      </c>
      <c r="Q260" s="27">
        <v>6</v>
      </c>
      <c r="R260" s="30" t="s">
        <v>1629</v>
      </c>
      <c r="S260" s="1"/>
      <c r="T260" s="1"/>
    </row>
    <row r="261" spans="1:20" ht="26.25" customHeight="1">
      <c r="A261" s="17">
        <f t="shared" si="0"/>
        <v>258</v>
      </c>
      <c r="B261" s="18" t="s">
        <v>105</v>
      </c>
      <c r="C261" s="31" t="s">
        <v>1676</v>
      </c>
      <c r="D261" s="19" t="s">
        <v>1664</v>
      </c>
      <c r="E261" s="20" t="s">
        <v>1677</v>
      </c>
      <c r="F261" s="32" t="s">
        <v>1678</v>
      </c>
      <c r="G261" s="33" t="s">
        <v>42</v>
      </c>
      <c r="H261" s="23" t="s">
        <v>1679</v>
      </c>
      <c r="I261" s="24" t="s">
        <v>55</v>
      </c>
      <c r="J261" s="1" t="str">
        <f>IFERROR(VLOOKUP(E261,#REF!,8,FALSE),"")</f>
        <v/>
      </c>
      <c r="K261" s="1"/>
      <c r="L261" s="1" t="str">
        <f t="shared" si="1"/>
        <v/>
      </c>
      <c r="M261" s="50">
        <v>69</v>
      </c>
      <c r="N261" s="27" t="s">
        <v>1680</v>
      </c>
      <c r="O261" s="27" t="s">
        <v>558</v>
      </c>
      <c r="P261" s="27" t="s">
        <v>1681</v>
      </c>
      <c r="Q261" s="27">
        <v>8</v>
      </c>
      <c r="R261" s="30" t="s">
        <v>1629</v>
      </c>
      <c r="S261" s="1"/>
      <c r="T261" s="1"/>
    </row>
    <row r="262" spans="1:20" ht="26.25" customHeight="1">
      <c r="A262" s="17">
        <f t="shared" si="0"/>
        <v>259</v>
      </c>
      <c r="B262" s="18" t="s">
        <v>27</v>
      </c>
      <c r="C262" s="19" t="s">
        <v>1682</v>
      </c>
      <c r="D262" s="19" t="s">
        <v>1683</v>
      </c>
      <c r="E262" s="20" t="s">
        <v>1684</v>
      </c>
      <c r="F262" s="21" t="s">
        <v>135</v>
      </c>
      <c r="G262" s="22" t="s">
        <v>42</v>
      </c>
      <c r="H262" s="23" t="s">
        <v>1685</v>
      </c>
      <c r="I262" s="24" t="s">
        <v>20</v>
      </c>
      <c r="J262" s="1" t="s">
        <v>21</v>
      </c>
      <c r="K262" s="25">
        <v>3</v>
      </c>
      <c r="L262" s="1" t="str">
        <f t="shared" si="1"/>
        <v/>
      </c>
      <c r="M262" s="50">
        <v>70</v>
      </c>
      <c r="N262" s="27" t="s">
        <v>1686</v>
      </c>
      <c r="O262" s="27" t="s">
        <v>1078</v>
      </c>
      <c r="P262" s="27" t="s">
        <v>1687</v>
      </c>
      <c r="Q262" s="27">
        <v>12</v>
      </c>
      <c r="R262" s="30" t="s">
        <v>1629</v>
      </c>
      <c r="S262" s="1"/>
      <c r="T262" s="1"/>
    </row>
    <row r="263" spans="1:20" ht="26.25" customHeight="1">
      <c r="A263" s="17">
        <f t="shared" si="0"/>
        <v>260</v>
      </c>
      <c r="B263" s="18" t="s">
        <v>81</v>
      </c>
      <c r="C263" s="31" t="s">
        <v>1688</v>
      </c>
      <c r="D263" s="19" t="s">
        <v>181</v>
      </c>
      <c r="E263" s="20" t="s">
        <v>930</v>
      </c>
      <c r="F263" s="32" t="s">
        <v>170</v>
      </c>
      <c r="G263" s="33" t="s">
        <v>42</v>
      </c>
      <c r="H263" s="23" t="s">
        <v>1689</v>
      </c>
      <c r="I263" s="24" t="s">
        <v>55</v>
      </c>
      <c r="J263" s="1" t="str">
        <f t="shared" ref="J263:J266" si="40">IFERROR(VLOOKUP(E263,#REF!,8,FALSE),"")</f>
        <v/>
      </c>
      <c r="K263" s="25">
        <v>3</v>
      </c>
      <c r="L263" s="1" t="str">
        <f t="shared" si="1"/>
        <v>2020 FRIC 서양</v>
      </c>
      <c r="M263" s="50">
        <v>71</v>
      </c>
      <c r="N263" s="27" t="s">
        <v>1690</v>
      </c>
      <c r="O263" s="27" t="s">
        <v>196</v>
      </c>
      <c r="P263" s="27" t="s">
        <v>1691</v>
      </c>
      <c r="Q263" s="81">
        <v>4</v>
      </c>
      <c r="R263" s="30" t="s">
        <v>1629</v>
      </c>
      <c r="S263" s="1"/>
      <c r="T263" s="1"/>
    </row>
    <row r="264" spans="1:20" ht="26.25" customHeight="1">
      <c r="A264" s="17">
        <f t="shared" si="0"/>
        <v>261</v>
      </c>
      <c r="B264" s="18" t="s">
        <v>81</v>
      </c>
      <c r="C264" s="31" t="s">
        <v>1692</v>
      </c>
      <c r="D264" s="19" t="s">
        <v>1693</v>
      </c>
      <c r="E264" s="20" t="s">
        <v>1694</v>
      </c>
      <c r="F264" s="32" t="s">
        <v>1695</v>
      </c>
      <c r="G264" s="33" t="s">
        <v>1290</v>
      </c>
      <c r="H264" s="23" t="s">
        <v>1696</v>
      </c>
      <c r="I264" s="24" t="s">
        <v>55</v>
      </c>
      <c r="J264" s="1" t="str">
        <f t="shared" si="40"/>
        <v/>
      </c>
      <c r="K264" s="1"/>
      <c r="L264" s="1" t="str">
        <f t="shared" si="1"/>
        <v/>
      </c>
      <c r="M264" s="50">
        <v>72</v>
      </c>
      <c r="N264" s="27" t="s">
        <v>1697</v>
      </c>
      <c r="O264" s="27" t="s">
        <v>255</v>
      </c>
      <c r="P264" s="27" t="s">
        <v>1698</v>
      </c>
      <c r="Q264" s="27">
        <v>4</v>
      </c>
      <c r="R264" s="30" t="s">
        <v>1629</v>
      </c>
      <c r="S264" s="1"/>
      <c r="T264" s="1"/>
    </row>
    <row r="265" spans="1:20" ht="26.25" customHeight="1">
      <c r="A265" s="17">
        <f t="shared" si="0"/>
        <v>262</v>
      </c>
      <c r="B265" s="18" t="s">
        <v>27</v>
      </c>
      <c r="C265" s="31" t="s">
        <v>1699</v>
      </c>
      <c r="D265" s="19" t="s">
        <v>1700</v>
      </c>
      <c r="E265" s="20" t="s">
        <v>1701</v>
      </c>
      <c r="F265" s="32" t="s">
        <v>1702</v>
      </c>
      <c r="G265" s="22" t="s">
        <v>42</v>
      </c>
      <c r="H265" s="23" t="s">
        <v>1703</v>
      </c>
      <c r="I265" s="24" t="s">
        <v>55</v>
      </c>
      <c r="J265" s="1" t="str">
        <f t="shared" si="40"/>
        <v/>
      </c>
      <c r="K265" s="1"/>
      <c r="L265" s="1" t="str">
        <f t="shared" si="1"/>
        <v/>
      </c>
      <c r="M265" s="50">
        <v>73</v>
      </c>
      <c r="N265" s="27" t="s">
        <v>1704</v>
      </c>
      <c r="O265" s="27" t="s">
        <v>1705</v>
      </c>
      <c r="P265" s="27" t="s">
        <v>1706</v>
      </c>
      <c r="Q265" s="27">
        <v>4</v>
      </c>
      <c r="R265" s="30" t="s">
        <v>1629</v>
      </c>
      <c r="S265" s="1"/>
      <c r="T265" s="1"/>
    </row>
    <row r="266" spans="1:20" ht="26.25" customHeight="1">
      <c r="A266" s="17">
        <f t="shared" si="0"/>
        <v>263</v>
      </c>
      <c r="B266" s="18" t="s">
        <v>37</v>
      </c>
      <c r="C266" s="31" t="s">
        <v>1707</v>
      </c>
      <c r="D266" s="19" t="s">
        <v>271</v>
      </c>
      <c r="E266" s="20" t="s">
        <v>1708</v>
      </c>
      <c r="F266" s="32">
        <v>2010</v>
      </c>
      <c r="G266" s="22" t="s">
        <v>42</v>
      </c>
      <c r="H266" s="23" t="s">
        <v>1709</v>
      </c>
      <c r="I266" s="24" t="s">
        <v>55</v>
      </c>
      <c r="J266" s="1" t="str">
        <f t="shared" si="40"/>
        <v/>
      </c>
      <c r="K266" s="1"/>
      <c r="L266" s="1" t="str">
        <f t="shared" si="1"/>
        <v/>
      </c>
      <c r="M266" s="50">
        <v>74</v>
      </c>
      <c r="N266" s="27" t="s">
        <v>1710</v>
      </c>
      <c r="O266" s="27" t="s">
        <v>255</v>
      </c>
      <c r="P266" s="27" t="s">
        <v>1711</v>
      </c>
      <c r="Q266" s="27">
        <v>12</v>
      </c>
      <c r="R266" s="30" t="s">
        <v>1629</v>
      </c>
      <c r="S266" s="1"/>
      <c r="T266" s="1"/>
    </row>
    <row r="267" spans="1:20" ht="26.25" customHeight="1">
      <c r="A267" s="17">
        <f t="shared" si="0"/>
        <v>264</v>
      </c>
      <c r="B267" s="18" t="s">
        <v>132</v>
      </c>
      <c r="C267" s="19" t="s">
        <v>1712</v>
      </c>
      <c r="D267" s="19" t="s">
        <v>124</v>
      </c>
      <c r="E267" s="20" t="s">
        <v>1713</v>
      </c>
      <c r="F267" s="21" t="s">
        <v>135</v>
      </c>
      <c r="G267" s="22" t="s">
        <v>42</v>
      </c>
      <c r="H267" s="23" t="s">
        <v>1714</v>
      </c>
      <c r="I267" s="24" t="s">
        <v>20</v>
      </c>
      <c r="J267" s="1" t="s">
        <v>21</v>
      </c>
      <c r="K267" s="25">
        <v>3</v>
      </c>
      <c r="L267" s="1" t="str">
        <f t="shared" si="1"/>
        <v/>
      </c>
      <c r="M267" s="50">
        <v>75</v>
      </c>
      <c r="N267" s="27" t="s">
        <v>1715</v>
      </c>
      <c r="O267" s="27" t="s">
        <v>1716</v>
      </c>
      <c r="P267" s="27" t="s">
        <v>1717</v>
      </c>
      <c r="Q267" s="27">
        <v>6</v>
      </c>
      <c r="R267" s="30" t="s">
        <v>1629</v>
      </c>
      <c r="S267" s="1"/>
      <c r="T267" s="1"/>
    </row>
    <row r="268" spans="1:20" ht="26.25" customHeight="1">
      <c r="A268" s="17">
        <f t="shared" si="0"/>
        <v>265</v>
      </c>
      <c r="B268" s="18" t="s">
        <v>81</v>
      </c>
      <c r="C268" s="31" t="s">
        <v>1718</v>
      </c>
      <c r="D268" s="19" t="s">
        <v>124</v>
      </c>
      <c r="E268" s="20" t="s">
        <v>1719</v>
      </c>
      <c r="F268" s="32" t="s">
        <v>1720</v>
      </c>
      <c r="G268" s="33" t="s">
        <v>42</v>
      </c>
      <c r="H268" s="23" t="s">
        <v>1721</v>
      </c>
      <c r="I268" s="24" t="s">
        <v>55</v>
      </c>
      <c r="J268" s="1" t="str">
        <f t="shared" ref="J268:J269" si="41">IFERROR(VLOOKUP(E268,#REF!,8,FALSE),"")</f>
        <v/>
      </c>
      <c r="K268" s="1"/>
      <c r="L268" s="1" t="str">
        <f t="shared" si="1"/>
        <v/>
      </c>
      <c r="M268" s="50">
        <v>76</v>
      </c>
      <c r="N268" s="27" t="s">
        <v>1722</v>
      </c>
      <c r="O268" s="27" t="s">
        <v>1716</v>
      </c>
      <c r="P268" s="27" t="s">
        <v>1723</v>
      </c>
      <c r="Q268" s="27">
        <v>6</v>
      </c>
      <c r="R268" s="30" t="s">
        <v>1629</v>
      </c>
      <c r="S268" s="1"/>
      <c r="T268" s="1"/>
    </row>
    <row r="269" spans="1:20" ht="26.25" customHeight="1">
      <c r="A269" s="17">
        <f t="shared" si="0"/>
        <v>266</v>
      </c>
      <c r="B269" s="18" t="s">
        <v>81</v>
      </c>
      <c r="C269" s="31" t="s">
        <v>1724</v>
      </c>
      <c r="D269" s="19" t="s">
        <v>277</v>
      </c>
      <c r="E269" s="20" t="s">
        <v>1725</v>
      </c>
      <c r="F269" s="32" t="s">
        <v>1726</v>
      </c>
      <c r="G269" s="33" t="s">
        <v>42</v>
      </c>
      <c r="H269" s="23" t="s">
        <v>1727</v>
      </c>
      <c r="I269" s="24" t="s">
        <v>55</v>
      </c>
      <c r="J269" s="1" t="str">
        <f t="shared" si="41"/>
        <v/>
      </c>
      <c r="K269" s="1"/>
      <c r="L269" s="1" t="str">
        <f t="shared" si="1"/>
        <v/>
      </c>
      <c r="M269" s="50">
        <v>77</v>
      </c>
      <c r="N269" s="27" t="s">
        <v>1728</v>
      </c>
      <c r="O269" s="27" t="s">
        <v>255</v>
      </c>
      <c r="P269" s="27" t="s">
        <v>1729</v>
      </c>
      <c r="Q269" s="27">
        <v>6</v>
      </c>
      <c r="R269" s="30" t="s">
        <v>1629</v>
      </c>
      <c r="S269" s="1"/>
      <c r="T269" s="1"/>
    </row>
    <row r="270" spans="1:20" ht="26.25" customHeight="1">
      <c r="A270" s="17">
        <f t="shared" si="0"/>
        <v>267</v>
      </c>
      <c r="B270" s="18" t="s">
        <v>248</v>
      </c>
      <c r="C270" s="19" t="s">
        <v>1730</v>
      </c>
      <c r="D270" s="19" t="s">
        <v>124</v>
      </c>
      <c r="E270" s="20" t="s">
        <v>1731</v>
      </c>
      <c r="F270" s="21" t="s">
        <v>1732</v>
      </c>
      <c r="G270" s="33" t="s">
        <v>42</v>
      </c>
      <c r="H270" s="23" t="s">
        <v>1733</v>
      </c>
      <c r="I270" s="24" t="s">
        <v>20</v>
      </c>
      <c r="J270" s="1" t="s">
        <v>21</v>
      </c>
      <c r="K270" s="25">
        <v>3</v>
      </c>
      <c r="L270" s="1" t="str">
        <f t="shared" si="1"/>
        <v/>
      </c>
      <c r="M270" s="50">
        <v>78</v>
      </c>
      <c r="N270" s="27" t="s">
        <v>1734</v>
      </c>
      <c r="O270" s="27" t="s">
        <v>840</v>
      </c>
      <c r="P270" s="27" t="s">
        <v>1735</v>
      </c>
      <c r="Q270" s="27">
        <v>12</v>
      </c>
      <c r="R270" s="30" t="s">
        <v>1629</v>
      </c>
      <c r="S270" s="1"/>
      <c r="T270" s="1"/>
    </row>
    <row r="271" spans="1:20" ht="26.25" customHeight="1">
      <c r="A271" s="17">
        <f t="shared" si="0"/>
        <v>268</v>
      </c>
      <c r="B271" s="18" t="s">
        <v>248</v>
      </c>
      <c r="C271" s="19" t="s">
        <v>1736</v>
      </c>
      <c r="D271" s="19" t="s">
        <v>124</v>
      </c>
      <c r="E271" s="20" t="s">
        <v>1737</v>
      </c>
      <c r="F271" s="21" t="s">
        <v>135</v>
      </c>
      <c r="G271" s="33" t="s">
        <v>42</v>
      </c>
      <c r="H271" s="23" t="s">
        <v>1738</v>
      </c>
      <c r="I271" s="24" t="s">
        <v>20</v>
      </c>
      <c r="J271" s="1" t="s">
        <v>21</v>
      </c>
      <c r="K271" s="25">
        <v>3</v>
      </c>
      <c r="L271" s="1" t="str">
        <f t="shared" si="1"/>
        <v/>
      </c>
      <c r="M271" s="50">
        <v>79</v>
      </c>
      <c r="N271" s="27" t="s">
        <v>1739</v>
      </c>
      <c r="O271" s="27" t="s">
        <v>1740</v>
      </c>
      <c r="P271" s="80" t="s">
        <v>1741</v>
      </c>
      <c r="Q271" s="81">
        <v>12</v>
      </c>
      <c r="R271" s="50" t="s">
        <v>1742</v>
      </c>
      <c r="S271" s="1"/>
      <c r="T271" s="1"/>
    </row>
    <row r="272" spans="1:20" ht="26.25" customHeight="1">
      <c r="A272" s="17">
        <f t="shared" si="0"/>
        <v>269</v>
      </c>
      <c r="B272" s="18" t="s">
        <v>132</v>
      </c>
      <c r="C272" s="19" t="s">
        <v>1743</v>
      </c>
      <c r="D272" s="19" t="s">
        <v>141</v>
      </c>
      <c r="E272" s="20" t="s">
        <v>1744</v>
      </c>
      <c r="F272" s="21" t="s">
        <v>135</v>
      </c>
      <c r="G272" s="22" t="s">
        <v>42</v>
      </c>
      <c r="H272" s="23" t="s">
        <v>1745</v>
      </c>
      <c r="I272" s="24" t="s">
        <v>20</v>
      </c>
      <c r="J272" s="1" t="s">
        <v>21</v>
      </c>
      <c r="K272" s="25">
        <v>3</v>
      </c>
      <c r="L272" s="1" t="str">
        <f t="shared" si="1"/>
        <v/>
      </c>
      <c r="M272" s="50">
        <v>80</v>
      </c>
      <c r="N272" s="27" t="s">
        <v>1746</v>
      </c>
      <c r="O272" s="27" t="s">
        <v>1740</v>
      </c>
      <c r="P272" s="27" t="s">
        <v>1747</v>
      </c>
      <c r="Q272" s="27">
        <v>12</v>
      </c>
      <c r="R272" s="50" t="s">
        <v>1742</v>
      </c>
      <c r="S272" s="1"/>
      <c r="T272" s="1"/>
    </row>
    <row r="273" spans="1:20" ht="26.25" customHeight="1">
      <c r="A273" s="17">
        <f t="shared" si="0"/>
        <v>270</v>
      </c>
      <c r="B273" s="18" t="s">
        <v>132</v>
      </c>
      <c r="C273" s="19" t="s">
        <v>1748</v>
      </c>
      <c r="D273" s="19" t="s">
        <v>141</v>
      </c>
      <c r="E273" s="20" t="s">
        <v>1749</v>
      </c>
      <c r="F273" s="21" t="s">
        <v>905</v>
      </c>
      <c r="G273" s="22" t="s">
        <v>42</v>
      </c>
      <c r="H273" s="23" t="s">
        <v>1750</v>
      </c>
      <c r="I273" s="24" t="s">
        <v>20</v>
      </c>
      <c r="J273" s="1" t="s">
        <v>21</v>
      </c>
      <c r="K273" s="25">
        <v>3</v>
      </c>
      <c r="L273" s="1" t="str">
        <f t="shared" si="1"/>
        <v/>
      </c>
      <c r="M273" s="50">
        <v>81</v>
      </c>
      <c r="N273" s="27" t="s">
        <v>1751</v>
      </c>
      <c r="O273" s="27" t="s">
        <v>1740</v>
      </c>
      <c r="P273" s="27" t="s">
        <v>1752</v>
      </c>
      <c r="Q273" s="27">
        <v>12</v>
      </c>
      <c r="R273" s="50" t="s">
        <v>1742</v>
      </c>
      <c r="S273" s="1"/>
      <c r="T273" s="1"/>
    </row>
    <row r="274" spans="1:20" ht="26.25" customHeight="1">
      <c r="A274" s="17">
        <f t="shared" si="0"/>
        <v>271</v>
      </c>
      <c r="B274" s="18" t="s">
        <v>132</v>
      </c>
      <c r="C274" s="31" t="s">
        <v>1753</v>
      </c>
      <c r="D274" s="19" t="s">
        <v>1754</v>
      </c>
      <c r="E274" s="20" t="s">
        <v>1755</v>
      </c>
      <c r="F274" s="32" t="s">
        <v>1756</v>
      </c>
      <c r="G274" s="22" t="s">
        <v>53</v>
      </c>
      <c r="H274" s="23" t="s">
        <v>1757</v>
      </c>
      <c r="I274" s="24" t="s">
        <v>55</v>
      </c>
      <c r="J274" s="1" t="str">
        <f t="shared" ref="J274:J275" si="42">IFERROR(VLOOKUP(E274,#REF!,8,FALSE),"")</f>
        <v/>
      </c>
      <c r="K274" s="1"/>
      <c r="L274" s="1" t="str">
        <f t="shared" si="1"/>
        <v/>
      </c>
      <c r="M274" s="50">
        <v>82</v>
      </c>
      <c r="N274" s="27" t="s">
        <v>1758</v>
      </c>
      <c r="O274" s="27" t="s">
        <v>1759</v>
      </c>
      <c r="P274" s="27" t="s">
        <v>1760</v>
      </c>
      <c r="Q274" s="81">
        <v>12</v>
      </c>
      <c r="R274" s="50" t="s">
        <v>1742</v>
      </c>
      <c r="S274" s="1"/>
      <c r="T274" s="1"/>
    </row>
    <row r="275" spans="1:20" ht="26.25" customHeight="1">
      <c r="A275" s="17">
        <f t="shared" si="0"/>
        <v>272</v>
      </c>
      <c r="B275" s="18" t="s">
        <v>132</v>
      </c>
      <c r="C275" s="31" t="s">
        <v>391</v>
      </c>
      <c r="D275" s="19" t="s">
        <v>722</v>
      </c>
      <c r="E275" s="20" t="s">
        <v>392</v>
      </c>
      <c r="F275" s="32" t="s">
        <v>1761</v>
      </c>
      <c r="G275" s="22" t="s">
        <v>42</v>
      </c>
      <c r="H275" s="23" t="s">
        <v>1762</v>
      </c>
      <c r="I275" s="24" t="s">
        <v>55</v>
      </c>
      <c r="J275" s="1" t="str">
        <f t="shared" si="42"/>
        <v/>
      </c>
      <c r="K275" s="25">
        <v>3</v>
      </c>
      <c r="L275" s="1" t="str">
        <f t="shared" si="1"/>
        <v>2018 FRIC 서양</v>
      </c>
      <c r="M275" s="50">
        <v>83</v>
      </c>
      <c r="N275" s="27" t="s">
        <v>1763</v>
      </c>
      <c r="O275" s="27" t="s">
        <v>1759</v>
      </c>
      <c r="P275" s="27" t="s">
        <v>1764</v>
      </c>
      <c r="Q275" s="27">
        <v>4</v>
      </c>
      <c r="R275" s="50" t="s">
        <v>1742</v>
      </c>
      <c r="S275" s="1"/>
      <c r="T275" s="1"/>
    </row>
    <row r="276" spans="1:20" ht="26.25" customHeight="1">
      <c r="A276" s="17">
        <f t="shared" si="0"/>
        <v>273</v>
      </c>
      <c r="B276" s="18" t="s">
        <v>105</v>
      </c>
      <c r="C276" s="19" t="s">
        <v>1765</v>
      </c>
      <c r="D276" s="19" t="s">
        <v>124</v>
      </c>
      <c r="E276" s="20" t="s">
        <v>1766</v>
      </c>
      <c r="F276" s="21" t="s">
        <v>1011</v>
      </c>
      <c r="G276" s="33" t="s">
        <v>1290</v>
      </c>
      <c r="H276" s="23" t="s">
        <v>1767</v>
      </c>
      <c r="I276" s="24" t="s">
        <v>20</v>
      </c>
      <c r="J276" s="1" t="s">
        <v>21</v>
      </c>
      <c r="K276" s="25">
        <v>3</v>
      </c>
      <c r="L276" s="1" t="str">
        <f t="shared" si="1"/>
        <v/>
      </c>
      <c r="M276" s="50">
        <v>84</v>
      </c>
      <c r="N276" s="27" t="s">
        <v>1768</v>
      </c>
      <c r="O276" s="27" t="s">
        <v>1769</v>
      </c>
      <c r="P276" s="80" t="s">
        <v>1770</v>
      </c>
      <c r="Q276" s="81">
        <v>12</v>
      </c>
      <c r="R276" s="50" t="s">
        <v>1742</v>
      </c>
      <c r="S276" s="1"/>
      <c r="T276" s="1"/>
    </row>
    <row r="277" spans="1:20" ht="26.25" customHeight="1">
      <c r="A277" s="17">
        <f t="shared" si="0"/>
        <v>274</v>
      </c>
      <c r="B277" s="18" t="s">
        <v>132</v>
      </c>
      <c r="C277" s="31" t="s">
        <v>1041</v>
      </c>
      <c r="D277" s="19" t="s">
        <v>1042</v>
      </c>
      <c r="E277" s="20" t="s">
        <v>1043</v>
      </c>
      <c r="F277" s="32" t="s">
        <v>170</v>
      </c>
      <c r="G277" s="22" t="s">
        <v>31</v>
      </c>
      <c r="H277" s="23" t="s">
        <v>1771</v>
      </c>
      <c r="I277" s="24" t="s">
        <v>55</v>
      </c>
      <c r="J277" s="1" t="str">
        <f t="shared" ref="J277:J278" si="43">IFERROR(VLOOKUP(E277,#REF!,8,FALSE),"")</f>
        <v/>
      </c>
      <c r="K277" s="25">
        <v>3</v>
      </c>
      <c r="L277" s="1" t="str">
        <f t="shared" si="1"/>
        <v>2020 FRIC 서양</v>
      </c>
      <c r="M277" s="50">
        <v>85</v>
      </c>
      <c r="N277" s="27" t="s">
        <v>1772</v>
      </c>
      <c r="O277" s="27" t="s">
        <v>1773</v>
      </c>
      <c r="P277" s="27" t="s">
        <v>1774</v>
      </c>
      <c r="Q277" s="27">
        <v>4</v>
      </c>
      <c r="R277" s="50" t="s">
        <v>1742</v>
      </c>
      <c r="S277" s="1"/>
      <c r="T277" s="1"/>
    </row>
    <row r="278" spans="1:20" ht="26.25" customHeight="1">
      <c r="A278" s="17">
        <f t="shared" si="0"/>
        <v>275</v>
      </c>
      <c r="B278" s="18" t="s">
        <v>81</v>
      </c>
      <c r="C278" s="31" t="s">
        <v>1775</v>
      </c>
      <c r="D278" s="19" t="s">
        <v>1776</v>
      </c>
      <c r="E278" s="20" t="s">
        <v>1777</v>
      </c>
      <c r="F278" s="32" t="s">
        <v>222</v>
      </c>
      <c r="G278" s="33" t="s">
        <v>42</v>
      </c>
      <c r="H278" s="23" t="s">
        <v>1778</v>
      </c>
      <c r="I278" s="24" t="s">
        <v>55</v>
      </c>
      <c r="J278" s="1" t="str">
        <f t="shared" si="43"/>
        <v/>
      </c>
      <c r="K278" s="1"/>
      <c r="L278" s="1" t="str">
        <f t="shared" si="1"/>
        <v/>
      </c>
      <c r="M278" s="50">
        <v>86</v>
      </c>
      <c r="N278" s="27" t="s">
        <v>1779</v>
      </c>
      <c r="O278" s="27" t="s">
        <v>1780</v>
      </c>
      <c r="P278" s="27" t="s">
        <v>1781</v>
      </c>
      <c r="Q278" s="27">
        <v>12</v>
      </c>
      <c r="R278" s="50" t="s">
        <v>1742</v>
      </c>
      <c r="S278" s="1"/>
      <c r="T278" s="1"/>
    </row>
    <row r="279" spans="1:20" ht="26.25" customHeight="1">
      <c r="A279" s="17">
        <f t="shared" si="0"/>
        <v>276</v>
      </c>
      <c r="B279" s="18" t="s">
        <v>81</v>
      </c>
      <c r="C279" s="31" t="s">
        <v>1782</v>
      </c>
      <c r="D279" s="19" t="s">
        <v>1783</v>
      </c>
      <c r="E279" s="20" t="s">
        <v>1784</v>
      </c>
      <c r="F279" s="21" t="s">
        <v>293</v>
      </c>
      <c r="G279" s="33" t="s">
        <v>1086</v>
      </c>
      <c r="H279" s="23" t="s">
        <v>1785</v>
      </c>
      <c r="I279" s="34" t="s">
        <v>20</v>
      </c>
      <c r="J279" s="1" t="s">
        <v>87</v>
      </c>
      <c r="K279" s="25">
        <v>4</v>
      </c>
      <c r="L279" s="1" t="str">
        <f t="shared" si="1"/>
        <v/>
      </c>
      <c r="M279" s="47">
        <v>87</v>
      </c>
      <c r="N279" s="36" t="s">
        <v>1786</v>
      </c>
      <c r="O279" s="36" t="s">
        <v>1780</v>
      </c>
      <c r="P279" s="36" t="s">
        <v>1787</v>
      </c>
      <c r="Q279" s="36">
        <v>12</v>
      </c>
      <c r="R279" s="47" t="s">
        <v>1742</v>
      </c>
      <c r="S279" s="25"/>
      <c r="T279" s="25"/>
    </row>
    <row r="280" spans="1:20" ht="26.25" customHeight="1">
      <c r="A280" s="17">
        <f t="shared" si="0"/>
        <v>277</v>
      </c>
      <c r="B280" s="18" t="s">
        <v>132</v>
      </c>
      <c r="C280" s="19" t="s">
        <v>1788</v>
      </c>
      <c r="D280" s="19" t="s">
        <v>1789</v>
      </c>
      <c r="E280" s="20" t="s">
        <v>1790</v>
      </c>
      <c r="F280" s="21" t="s">
        <v>135</v>
      </c>
      <c r="G280" s="22" t="s">
        <v>31</v>
      </c>
      <c r="H280" s="23" t="s">
        <v>1791</v>
      </c>
      <c r="I280" s="24" t="s">
        <v>20</v>
      </c>
      <c r="J280" s="1" t="s">
        <v>21</v>
      </c>
      <c r="K280" s="25">
        <v>3</v>
      </c>
      <c r="L280" s="1" t="str">
        <f t="shared" si="1"/>
        <v/>
      </c>
      <c r="M280" s="50">
        <v>88</v>
      </c>
      <c r="N280" s="27" t="s">
        <v>1792</v>
      </c>
      <c r="O280" s="27" t="s">
        <v>1793</v>
      </c>
      <c r="P280" s="27" t="s">
        <v>1794</v>
      </c>
      <c r="Q280" s="81">
        <v>12</v>
      </c>
      <c r="R280" s="50" t="s">
        <v>1742</v>
      </c>
      <c r="S280" s="1"/>
      <c r="T280" s="1"/>
    </row>
    <row r="281" spans="1:20" ht="26.25" customHeight="1">
      <c r="A281" s="17">
        <f t="shared" si="0"/>
        <v>278</v>
      </c>
      <c r="B281" s="18" t="s">
        <v>248</v>
      </c>
      <c r="C281" s="31" t="s">
        <v>1047</v>
      </c>
      <c r="D281" s="19" t="s">
        <v>1789</v>
      </c>
      <c r="E281" s="20" t="s">
        <v>1048</v>
      </c>
      <c r="F281" s="32" t="s">
        <v>962</v>
      </c>
      <c r="G281" s="33" t="s">
        <v>53</v>
      </c>
      <c r="H281" s="23" t="s">
        <v>1795</v>
      </c>
      <c r="I281" s="24" t="s">
        <v>55</v>
      </c>
      <c r="J281" s="1" t="str">
        <f t="shared" ref="J281:J282" si="44">IFERROR(VLOOKUP(E281,#REF!,8,FALSE),"")</f>
        <v/>
      </c>
      <c r="K281" s="25">
        <v>3</v>
      </c>
      <c r="L281" s="1" t="str">
        <f t="shared" si="1"/>
        <v>2020 FRIC 서양</v>
      </c>
      <c r="M281" s="50">
        <v>89</v>
      </c>
      <c r="N281" s="27" t="s">
        <v>1796</v>
      </c>
      <c r="O281" s="27" t="s">
        <v>1797</v>
      </c>
      <c r="P281" s="27" t="s">
        <v>1798</v>
      </c>
      <c r="Q281" s="27">
        <v>12</v>
      </c>
      <c r="R281" s="50" t="s">
        <v>1742</v>
      </c>
      <c r="S281" s="1"/>
      <c r="T281" s="1"/>
    </row>
    <row r="282" spans="1:20" ht="26.25" customHeight="1">
      <c r="A282" s="17">
        <f t="shared" si="0"/>
        <v>279</v>
      </c>
      <c r="B282" s="18" t="s">
        <v>37</v>
      </c>
      <c r="C282" s="33" t="s">
        <v>1054</v>
      </c>
      <c r="D282" s="83" t="s">
        <v>1055</v>
      </c>
      <c r="E282" s="84" t="s">
        <v>1056</v>
      </c>
      <c r="F282" s="44">
        <v>2019</v>
      </c>
      <c r="G282" s="22" t="s">
        <v>42</v>
      </c>
      <c r="H282" s="59" t="s">
        <v>1799</v>
      </c>
      <c r="I282" s="24" t="s">
        <v>55</v>
      </c>
      <c r="J282" s="1" t="str">
        <f t="shared" si="44"/>
        <v/>
      </c>
      <c r="K282" s="25">
        <v>3</v>
      </c>
      <c r="L282" s="1" t="str">
        <f t="shared" si="1"/>
        <v>2020 FRIC 서양</v>
      </c>
      <c r="M282" s="50">
        <v>90</v>
      </c>
      <c r="N282" s="27" t="s">
        <v>1800</v>
      </c>
      <c r="O282" s="27" t="s">
        <v>1801</v>
      </c>
      <c r="P282" s="27" t="s">
        <v>1802</v>
      </c>
      <c r="Q282" s="27">
        <v>12</v>
      </c>
      <c r="R282" s="50" t="s">
        <v>1742</v>
      </c>
      <c r="S282" s="1"/>
      <c r="T282" s="1"/>
    </row>
    <row r="283" spans="1:20" ht="26.25" customHeight="1">
      <c r="A283" s="17">
        <f t="shared" si="0"/>
        <v>280</v>
      </c>
      <c r="B283" s="18" t="s">
        <v>37</v>
      </c>
      <c r="C283" s="19" t="s">
        <v>1803</v>
      </c>
      <c r="D283" s="19" t="s">
        <v>1804</v>
      </c>
      <c r="E283" s="20" t="s">
        <v>1805</v>
      </c>
      <c r="F283" s="21" t="s">
        <v>905</v>
      </c>
      <c r="G283" s="22" t="s">
        <v>42</v>
      </c>
      <c r="H283" s="23" t="s">
        <v>1806</v>
      </c>
      <c r="I283" s="24" t="s">
        <v>20</v>
      </c>
      <c r="J283" s="1" t="s">
        <v>21</v>
      </c>
      <c r="K283" s="25">
        <v>3</v>
      </c>
      <c r="L283" s="1" t="str">
        <f t="shared" si="1"/>
        <v/>
      </c>
      <c r="M283" s="50">
        <v>91</v>
      </c>
      <c r="N283" s="27" t="s">
        <v>1807</v>
      </c>
      <c r="O283" s="27" t="s">
        <v>1808</v>
      </c>
      <c r="P283" s="27" t="s">
        <v>1809</v>
      </c>
      <c r="Q283" s="27">
        <v>12</v>
      </c>
      <c r="R283" s="50" t="s">
        <v>1742</v>
      </c>
      <c r="S283" s="1"/>
      <c r="T283" s="1"/>
    </row>
    <row r="284" spans="1:20" ht="26.25" customHeight="1">
      <c r="A284" s="17">
        <f t="shared" si="0"/>
        <v>281</v>
      </c>
      <c r="B284" s="18" t="s">
        <v>132</v>
      </c>
      <c r="C284" s="31" t="s">
        <v>1061</v>
      </c>
      <c r="D284" s="19" t="s">
        <v>1789</v>
      </c>
      <c r="E284" s="20" t="s">
        <v>1062</v>
      </c>
      <c r="F284" s="32" t="s">
        <v>62</v>
      </c>
      <c r="G284" s="22" t="s">
        <v>53</v>
      </c>
      <c r="H284" s="23" t="s">
        <v>1810</v>
      </c>
      <c r="I284" s="24" t="s">
        <v>55</v>
      </c>
      <c r="J284" s="1" t="str">
        <f>IFERROR(VLOOKUP(E284,#REF!,8,FALSE),"")</f>
        <v/>
      </c>
      <c r="K284" s="25">
        <v>3</v>
      </c>
      <c r="L284" s="1" t="str">
        <f t="shared" si="1"/>
        <v>2020 FRIC 서양</v>
      </c>
      <c r="M284" s="50">
        <v>92</v>
      </c>
      <c r="N284" s="27" t="s">
        <v>1811</v>
      </c>
      <c r="O284" s="27" t="s">
        <v>1812</v>
      </c>
      <c r="P284" s="27" t="s">
        <v>1813</v>
      </c>
      <c r="Q284" s="81">
        <v>6</v>
      </c>
      <c r="R284" s="50" t="s">
        <v>1742</v>
      </c>
      <c r="S284" s="1"/>
      <c r="T284" s="1"/>
    </row>
    <row r="285" spans="1:20" ht="26.25" customHeight="1">
      <c r="A285" s="17">
        <f t="shared" si="0"/>
        <v>282</v>
      </c>
      <c r="B285" s="18" t="s">
        <v>37</v>
      </c>
      <c r="C285" s="19" t="s">
        <v>1814</v>
      </c>
      <c r="D285" s="19" t="s">
        <v>1789</v>
      </c>
      <c r="E285" s="20" t="s">
        <v>1815</v>
      </c>
      <c r="F285" s="21" t="s">
        <v>905</v>
      </c>
      <c r="G285" s="22" t="s">
        <v>31</v>
      </c>
      <c r="H285" s="23" t="s">
        <v>1816</v>
      </c>
      <c r="I285" s="24" t="s">
        <v>20</v>
      </c>
      <c r="J285" s="1" t="s">
        <v>21</v>
      </c>
      <c r="K285" s="25">
        <v>3</v>
      </c>
      <c r="L285" s="1" t="str">
        <f t="shared" si="1"/>
        <v/>
      </c>
      <c r="M285" s="50">
        <v>93</v>
      </c>
      <c r="N285" s="27" t="s">
        <v>1817</v>
      </c>
      <c r="O285" s="27" t="s">
        <v>1818</v>
      </c>
      <c r="P285" s="27" t="s">
        <v>1819</v>
      </c>
      <c r="Q285" s="27">
        <v>4</v>
      </c>
      <c r="R285" s="50" t="s">
        <v>1742</v>
      </c>
      <c r="S285" s="1"/>
      <c r="T285" s="1"/>
    </row>
    <row r="286" spans="1:20" ht="26.25" customHeight="1">
      <c r="A286" s="17">
        <f t="shared" si="0"/>
        <v>283</v>
      </c>
      <c r="B286" s="18" t="s">
        <v>146</v>
      </c>
      <c r="C286" s="19" t="s">
        <v>1820</v>
      </c>
      <c r="D286" s="19" t="s">
        <v>1821</v>
      </c>
      <c r="E286" s="20" t="s">
        <v>1822</v>
      </c>
      <c r="F286" s="21" t="s">
        <v>905</v>
      </c>
      <c r="G286" s="33" t="s">
        <v>42</v>
      </c>
      <c r="H286" s="23" t="s">
        <v>1823</v>
      </c>
      <c r="I286" s="24" t="s">
        <v>20</v>
      </c>
      <c r="J286" s="1" t="s">
        <v>21</v>
      </c>
      <c r="K286" s="25">
        <v>3</v>
      </c>
      <c r="L286" s="1" t="str">
        <f t="shared" si="1"/>
        <v/>
      </c>
      <c r="M286" s="50">
        <v>94</v>
      </c>
      <c r="N286" s="27" t="s">
        <v>1824</v>
      </c>
      <c r="O286" s="27" t="s">
        <v>1825</v>
      </c>
      <c r="P286" s="27" t="s">
        <v>1826</v>
      </c>
      <c r="Q286" s="81">
        <v>12</v>
      </c>
      <c r="R286" s="50" t="s">
        <v>1742</v>
      </c>
      <c r="S286" s="1"/>
      <c r="T286" s="1"/>
    </row>
    <row r="287" spans="1:20" ht="26.25" customHeight="1">
      <c r="A287" s="17">
        <f t="shared" si="0"/>
        <v>284</v>
      </c>
      <c r="B287" s="18" t="s">
        <v>132</v>
      </c>
      <c r="C287" s="31" t="s">
        <v>254</v>
      </c>
      <c r="D287" s="19" t="s">
        <v>124</v>
      </c>
      <c r="E287" s="20" t="s">
        <v>256</v>
      </c>
      <c r="F287" s="32" t="s">
        <v>62</v>
      </c>
      <c r="G287" s="22" t="s">
        <v>42</v>
      </c>
      <c r="H287" s="23" t="s">
        <v>1827</v>
      </c>
      <c r="I287" s="24" t="s">
        <v>55</v>
      </c>
      <c r="J287" s="1" t="str">
        <f>IFERROR(VLOOKUP(E287,#REF!,8,FALSE),"")</f>
        <v/>
      </c>
      <c r="K287" s="25">
        <v>3</v>
      </c>
      <c r="L287" s="1" t="str">
        <f t="shared" si="1"/>
        <v>2017 FRIC 서양</v>
      </c>
      <c r="M287" s="50">
        <v>95</v>
      </c>
      <c r="N287" s="27" t="s">
        <v>1828</v>
      </c>
      <c r="O287" s="27" t="s">
        <v>1829</v>
      </c>
      <c r="P287" s="27" t="s">
        <v>1830</v>
      </c>
      <c r="Q287" s="27">
        <v>12</v>
      </c>
      <c r="R287" s="50" t="s">
        <v>1742</v>
      </c>
      <c r="S287" s="1"/>
      <c r="T287" s="1"/>
    </row>
    <row r="288" spans="1:20" ht="26.25" customHeight="1">
      <c r="A288" s="17">
        <f t="shared" si="0"/>
        <v>285</v>
      </c>
      <c r="B288" s="18" t="s">
        <v>27</v>
      </c>
      <c r="C288" s="19" t="s">
        <v>1831</v>
      </c>
      <c r="D288" s="19" t="s">
        <v>124</v>
      </c>
      <c r="E288" s="20" t="s">
        <v>1832</v>
      </c>
      <c r="F288" s="21" t="s">
        <v>905</v>
      </c>
      <c r="G288" s="22" t="s">
        <v>42</v>
      </c>
      <c r="H288" s="23" t="s">
        <v>1833</v>
      </c>
      <c r="I288" s="24" t="s">
        <v>20</v>
      </c>
      <c r="J288" s="1" t="s">
        <v>21</v>
      </c>
      <c r="K288" s="25">
        <v>3</v>
      </c>
      <c r="L288" s="1" t="str">
        <f t="shared" si="1"/>
        <v/>
      </c>
      <c r="M288" s="50">
        <v>96</v>
      </c>
      <c r="N288" s="27" t="s">
        <v>1834</v>
      </c>
      <c r="O288" s="27" t="s">
        <v>1835</v>
      </c>
      <c r="P288" s="27" t="s">
        <v>1836</v>
      </c>
      <c r="Q288" s="27">
        <v>12</v>
      </c>
      <c r="R288" s="50" t="s">
        <v>1742</v>
      </c>
      <c r="S288" s="1"/>
      <c r="T288" s="1"/>
    </row>
    <row r="289" spans="1:20" ht="26.25" customHeight="1">
      <c r="A289" s="17">
        <f t="shared" si="0"/>
        <v>286</v>
      </c>
      <c r="B289" s="18" t="s">
        <v>37</v>
      </c>
      <c r="C289" s="19" t="s">
        <v>1837</v>
      </c>
      <c r="D289" s="19" t="s">
        <v>1838</v>
      </c>
      <c r="E289" s="20" t="s">
        <v>1839</v>
      </c>
      <c r="F289" s="21" t="s">
        <v>905</v>
      </c>
      <c r="G289" s="22" t="s">
        <v>31</v>
      </c>
      <c r="H289" s="23" t="s">
        <v>1840</v>
      </c>
      <c r="I289" s="24" t="s">
        <v>20</v>
      </c>
      <c r="J289" s="1" t="s">
        <v>21</v>
      </c>
      <c r="K289" s="25">
        <v>3</v>
      </c>
      <c r="L289" s="1" t="str">
        <f t="shared" si="1"/>
        <v/>
      </c>
      <c r="M289" s="50">
        <v>97</v>
      </c>
      <c r="N289" s="27" t="s">
        <v>1841</v>
      </c>
      <c r="O289" s="27" t="s">
        <v>1842</v>
      </c>
      <c r="P289" s="27" t="s">
        <v>1843</v>
      </c>
      <c r="Q289" s="27">
        <v>12</v>
      </c>
      <c r="R289" s="50" t="s">
        <v>1742</v>
      </c>
      <c r="S289" s="1"/>
      <c r="T289" s="1"/>
    </row>
    <row r="290" spans="1:20" ht="26.25" customHeight="1">
      <c r="A290" s="17">
        <f t="shared" si="0"/>
        <v>287</v>
      </c>
      <c r="B290" s="18" t="s">
        <v>48</v>
      </c>
      <c r="C290" s="31" t="s">
        <v>1844</v>
      </c>
      <c r="D290" s="19" t="s">
        <v>1068</v>
      </c>
      <c r="E290" s="20" t="s">
        <v>1069</v>
      </c>
      <c r="F290" s="32" t="s">
        <v>1845</v>
      </c>
      <c r="G290" s="33" t="s">
        <v>1846</v>
      </c>
      <c r="H290" s="23" t="s">
        <v>1847</v>
      </c>
      <c r="I290" s="24" t="s">
        <v>55</v>
      </c>
      <c r="J290" s="1" t="str">
        <f t="shared" ref="J290:J297" si="45">IFERROR(VLOOKUP(E290,#REF!,8,FALSE),"")</f>
        <v/>
      </c>
      <c r="K290" s="25">
        <v>3</v>
      </c>
      <c r="L290" s="1" t="str">
        <f t="shared" si="1"/>
        <v>2020 FRIC 서양</v>
      </c>
      <c r="M290" s="50">
        <v>98</v>
      </c>
      <c r="N290" s="27" t="s">
        <v>1848</v>
      </c>
      <c r="O290" s="27" t="s">
        <v>1849</v>
      </c>
      <c r="P290" s="27" t="s">
        <v>1850</v>
      </c>
      <c r="Q290" s="27">
        <v>12</v>
      </c>
      <c r="R290" s="50" t="s">
        <v>1742</v>
      </c>
      <c r="S290" s="1"/>
      <c r="T290" s="1"/>
    </row>
    <row r="291" spans="1:20" ht="26.25" customHeight="1">
      <c r="A291" s="17">
        <f t="shared" si="0"/>
        <v>288</v>
      </c>
      <c r="B291" s="18" t="s">
        <v>13</v>
      </c>
      <c r="C291" s="31" t="s">
        <v>1851</v>
      </c>
      <c r="D291" s="19" t="s">
        <v>227</v>
      </c>
      <c r="E291" s="20" t="s">
        <v>1852</v>
      </c>
      <c r="F291" s="32" t="s">
        <v>1853</v>
      </c>
      <c r="G291" s="22" t="s">
        <v>42</v>
      </c>
      <c r="H291" s="23" t="s">
        <v>1854</v>
      </c>
      <c r="I291" s="24" t="s">
        <v>55</v>
      </c>
      <c r="J291" s="1" t="str">
        <f t="shared" si="45"/>
        <v/>
      </c>
      <c r="K291" s="1"/>
      <c r="L291" s="1" t="str">
        <f t="shared" si="1"/>
        <v/>
      </c>
      <c r="M291" s="50">
        <v>99</v>
      </c>
      <c r="N291" s="27" t="s">
        <v>1855</v>
      </c>
      <c r="O291" s="27" t="s">
        <v>1856</v>
      </c>
      <c r="P291" s="27" t="s">
        <v>1857</v>
      </c>
      <c r="Q291" s="27">
        <v>4</v>
      </c>
      <c r="R291" s="50" t="s">
        <v>1742</v>
      </c>
      <c r="S291" s="1"/>
      <c r="T291" s="1"/>
    </row>
    <row r="292" spans="1:20" ht="26.25" customHeight="1">
      <c r="A292" s="17">
        <f t="shared" si="0"/>
        <v>289</v>
      </c>
      <c r="B292" s="18" t="s">
        <v>81</v>
      </c>
      <c r="C292" s="31" t="s">
        <v>1858</v>
      </c>
      <c r="D292" s="19" t="s">
        <v>1859</v>
      </c>
      <c r="E292" s="20" t="s">
        <v>1860</v>
      </c>
      <c r="F292" s="32" t="s">
        <v>416</v>
      </c>
      <c r="G292" s="33" t="s">
        <v>42</v>
      </c>
      <c r="H292" s="23" t="s">
        <v>1861</v>
      </c>
      <c r="I292" s="24" t="s">
        <v>55</v>
      </c>
      <c r="J292" s="1" t="str">
        <f t="shared" si="45"/>
        <v/>
      </c>
      <c r="K292" s="1"/>
      <c r="L292" s="1" t="str">
        <f t="shared" si="1"/>
        <v/>
      </c>
      <c r="M292" s="50">
        <v>100</v>
      </c>
      <c r="N292" s="27" t="s">
        <v>1862</v>
      </c>
      <c r="O292" s="27" t="s">
        <v>1863</v>
      </c>
      <c r="P292" s="27" t="s">
        <v>1864</v>
      </c>
      <c r="Q292" s="27">
        <v>6</v>
      </c>
      <c r="R292" s="50" t="s">
        <v>1742</v>
      </c>
      <c r="S292" s="1"/>
      <c r="T292" s="1"/>
    </row>
    <row r="293" spans="1:20" ht="26.25" customHeight="1">
      <c r="A293" s="17">
        <f t="shared" si="0"/>
        <v>290</v>
      </c>
      <c r="B293" s="18" t="s">
        <v>81</v>
      </c>
      <c r="C293" s="31" t="s">
        <v>557</v>
      </c>
      <c r="D293" s="19" t="s">
        <v>141</v>
      </c>
      <c r="E293" s="20" t="s">
        <v>559</v>
      </c>
      <c r="F293" s="32" t="s">
        <v>1865</v>
      </c>
      <c r="G293" s="33" t="s">
        <v>42</v>
      </c>
      <c r="H293" s="23" t="s">
        <v>1866</v>
      </c>
      <c r="I293" s="24" t="s">
        <v>55</v>
      </c>
      <c r="J293" s="1" t="str">
        <f t="shared" si="45"/>
        <v/>
      </c>
      <c r="K293" s="25">
        <v>3</v>
      </c>
      <c r="L293" s="1" t="str">
        <f t="shared" si="1"/>
        <v>2019 FRIC 서양</v>
      </c>
      <c r="M293" s="50">
        <v>101</v>
      </c>
      <c r="N293" s="27" t="s">
        <v>1867</v>
      </c>
      <c r="O293" s="27" t="s">
        <v>1868</v>
      </c>
      <c r="P293" s="27" t="s">
        <v>1869</v>
      </c>
      <c r="Q293" s="27">
        <v>3</v>
      </c>
      <c r="R293" s="50" t="s">
        <v>1742</v>
      </c>
      <c r="S293" s="1"/>
      <c r="T293" s="1"/>
    </row>
    <row r="294" spans="1:20" ht="26.25" customHeight="1">
      <c r="A294" s="17">
        <f t="shared" si="0"/>
        <v>291</v>
      </c>
      <c r="B294" s="18" t="s">
        <v>105</v>
      </c>
      <c r="C294" s="31" t="s">
        <v>1870</v>
      </c>
      <c r="D294" s="19" t="s">
        <v>124</v>
      </c>
      <c r="E294" s="20" t="s">
        <v>500</v>
      </c>
      <c r="F294" s="32" t="s">
        <v>1871</v>
      </c>
      <c r="G294" s="33" t="s">
        <v>350</v>
      </c>
      <c r="H294" s="23" t="s">
        <v>1872</v>
      </c>
      <c r="I294" s="24" t="s">
        <v>55</v>
      </c>
      <c r="J294" s="1" t="str">
        <f t="shared" si="45"/>
        <v/>
      </c>
      <c r="K294" s="25">
        <v>4</v>
      </c>
      <c r="L294" s="1" t="str">
        <f t="shared" si="1"/>
        <v>2019 과기 서양</v>
      </c>
      <c r="M294" s="50">
        <v>102</v>
      </c>
      <c r="N294" s="27" t="s">
        <v>1873</v>
      </c>
      <c r="O294" s="27" t="s">
        <v>1874</v>
      </c>
      <c r="P294" s="27" t="s">
        <v>1875</v>
      </c>
      <c r="Q294" s="27">
        <v>6</v>
      </c>
      <c r="R294" s="50" t="s">
        <v>1742</v>
      </c>
      <c r="S294" s="1"/>
      <c r="T294" s="1"/>
    </row>
    <row r="295" spans="1:20" ht="26.25" customHeight="1">
      <c r="A295" s="17">
        <f t="shared" si="0"/>
        <v>292</v>
      </c>
      <c r="B295" s="18" t="s">
        <v>105</v>
      </c>
      <c r="C295" s="31" t="s">
        <v>1876</v>
      </c>
      <c r="D295" s="19" t="s">
        <v>499</v>
      </c>
      <c r="E295" s="20" t="s">
        <v>1877</v>
      </c>
      <c r="F295" s="32">
        <v>2017</v>
      </c>
      <c r="G295" s="33" t="s">
        <v>1086</v>
      </c>
      <c r="H295" s="23" t="s">
        <v>1878</v>
      </c>
      <c r="I295" s="24" t="s">
        <v>55</v>
      </c>
      <c r="J295" s="1" t="str">
        <f t="shared" si="45"/>
        <v/>
      </c>
      <c r="K295" s="1"/>
      <c r="L295" s="1" t="str">
        <f t="shared" si="1"/>
        <v/>
      </c>
      <c r="M295" s="50">
        <v>103</v>
      </c>
      <c r="N295" s="27" t="s">
        <v>1879</v>
      </c>
      <c r="O295" s="27" t="s">
        <v>1880</v>
      </c>
      <c r="P295" s="27" t="s">
        <v>1881</v>
      </c>
      <c r="Q295" s="27">
        <v>12</v>
      </c>
      <c r="R295" s="50" t="s">
        <v>1742</v>
      </c>
      <c r="S295" s="1"/>
      <c r="T295" s="1"/>
    </row>
    <row r="296" spans="1:20" ht="26.25" customHeight="1">
      <c r="A296" s="17">
        <f t="shared" si="0"/>
        <v>293</v>
      </c>
      <c r="B296" s="18" t="s">
        <v>132</v>
      </c>
      <c r="C296" s="31" t="s">
        <v>1882</v>
      </c>
      <c r="D296" s="19" t="s">
        <v>1776</v>
      </c>
      <c r="E296" s="20" t="s">
        <v>1883</v>
      </c>
      <c r="F296" s="32" t="s">
        <v>222</v>
      </c>
      <c r="G296" s="22" t="s">
        <v>42</v>
      </c>
      <c r="H296" s="23" t="s">
        <v>1884</v>
      </c>
      <c r="I296" s="24" t="s">
        <v>55</v>
      </c>
      <c r="J296" s="1" t="str">
        <f t="shared" si="45"/>
        <v/>
      </c>
      <c r="K296" s="1"/>
      <c r="L296" s="1" t="str">
        <f t="shared" si="1"/>
        <v/>
      </c>
      <c r="M296" s="50">
        <v>104</v>
      </c>
      <c r="N296" s="27" t="s">
        <v>1885</v>
      </c>
      <c r="O296" s="27" t="s">
        <v>1886</v>
      </c>
      <c r="P296" s="52"/>
      <c r="Q296" s="27">
        <v>12</v>
      </c>
      <c r="R296" s="50" t="s">
        <v>1742</v>
      </c>
      <c r="S296" s="1"/>
      <c r="T296" s="1"/>
    </row>
    <row r="297" spans="1:20" ht="26.25" customHeight="1">
      <c r="A297" s="17">
        <f t="shared" si="0"/>
        <v>294</v>
      </c>
      <c r="B297" s="18" t="s">
        <v>248</v>
      </c>
      <c r="C297" s="31" t="s">
        <v>1887</v>
      </c>
      <c r="D297" s="19" t="s">
        <v>124</v>
      </c>
      <c r="E297" s="20" t="s">
        <v>1888</v>
      </c>
      <c r="F297" s="32" t="s">
        <v>1889</v>
      </c>
      <c r="G297" s="33" t="s">
        <v>42</v>
      </c>
      <c r="H297" s="23" t="s">
        <v>1890</v>
      </c>
      <c r="I297" s="24" t="s">
        <v>55</v>
      </c>
      <c r="J297" s="1" t="str">
        <f t="shared" si="45"/>
        <v/>
      </c>
      <c r="K297" s="1"/>
      <c r="L297" s="1" t="str">
        <f t="shared" si="1"/>
        <v/>
      </c>
      <c r="M297" s="1"/>
      <c r="N297" s="1"/>
      <c r="O297" s="1"/>
      <c r="P297" s="1"/>
      <c r="Q297" s="1"/>
      <c r="R297" s="1"/>
      <c r="S297" s="1"/>
      <c r="T297" s="1"/>
    </row>
    <row r="298" spans="1:20" ht="26.25" customHeight="1">
      <c r="A298" s="17">
        <f t="shared" si="0"/>
        <v>295</v>
      </c>
      <c r="B298" s="18" t="s">
        <v>248</v>
      </c>
      <c r="C298" s="19" t="s">
        <v>1891</v>
      </c>
      <c r="D298" s="19" t="s">
        <v>1789</v>
      </c>
      <c r="E298" s="20" t="s">
        <v>1892</v>
      </c>
      <c r="F298" s="21" t="s">
        <v>135</v>
      </c>
      <c r="G298" s="33" t="s">
        <v>1893</v>
      </c>
      <c r="H298" s="23" t="s">
        <v>1894</v>
      </c>
      <c r="I298" s="24" t="s">
        <v>20</v>
      </c>
      <c r="J298" s="1" t="s">
        <v>21</v>
      </c>
      <c r="K298" s="25">
        <v>3</v>
      </c>
      <c r="L298" s="1" t="str">
        <f t="shared" si="1"/>
        <v/>
      </c>
      <c r="M298" s="1"/>
      <c r="N298" s="1"/>
      <c r="O298" s="1"/>
      <c r="P298" s="1"/>
      <c r="Q298" s="1"/>
      <c r="R298" s="1"/>
      <c r="S298" s="1"/>
      <c r="T298" s="1"/>
    </row>
    <row r="299" spans="1:20" ht="26.25" customHeight="1">
      <c r="A299" s="17">
        <f t="shared" si="0"/>
        <v>296</v>
      </c>
      <c r="B299" s="18" t="s">
        <v>233</v>
      </c>
      <c r="C299" s="19" t="s">
        <v>1895</v>
      </c>
      <c r="D299" s="19" t="s">
        <v>112</v>
      </c>
      <c r="E299" s="20" t="s">
        <v>1896</v>
      </c>
      <c r="F299" s="21" t="s">
        <v>135</v>
      </c>
      <c r="G299" s="22" t="s">
        <v>42</v>
      </c>
      <c r="H299" s="23" t="s">
        <v>1897</v>
      </c>
      <c r="I299" s="24" t="s">
        <v>20</v>
      </c>
      <c r="J299" s="1" t="s">
        <v>21</v>
      </c>
      <c r="K299" s="25">
        <v>3</v>
      </c>
      <c r="L299" s="1" t="str">
        <f t="shared" si="1"/>
        <v/>
      </c>
      <c r="M299" s="1"/>
      <c r="N299" s="1"/>
      <c r="O299" s="1"/>
      <c r="P299" s="1"/>
      <c r="Q299" s="1"/>
      <c r="R299" s="1"/>
      <c r="S299" s="1"/>
      <c r="T299" s="1"/>
    </row>
    <row r="300" spans="1:20" ht="26.25" customHeight="1">
      <c r="A300" s="17">
        <f t="shared" si="0"/>
        <v>297</v>
      </c>
      <c r="B300" s="18" t="s">
        <v>132</v>
      </c>
      <c r="C300" s="19" t="s">
        <v>1898</v>
      </c>
      <c r="D300" s="19" t="s">
        <v>1789</v>
      </c>
      <c r="E300" s="20" t="s">
        <v>1899</v>
      </c>
      <c r="F300" s="21" t="s">
        <v>135</v>
      </c>
      <c r="G300" s="22" t="s">
        <v>31</v>
      </c>
      <c r="H300" s="23" t="s">
        <v>1900</v>
      </c>
      <c r="I300" s="24" t="s">
        <v>20</v>
      </c>
      <c r="J300" s="1" t="s">
        <v>21</v>
      </c>
      <c r="K300" s="25">
        <v>3</v>
      </c>
      <c r="L300" s="1" t="str">
        <f t="shared" si="1"/>
        <v/>
      </c>
      <c r="M300" s="1"/>
      <c r="N300" s="1"/>
      <c r="O300" s="1"/>
      <c r="P300" s="1"/>
      <c r="Q300" s="1"/>
      <c r="R300" s="1"/>
      <c r="S300" s="1"/>
      <c r="T300" s="1"/>
    </row>
    <row r="301" spans="1:20" ht="26.25" customHeight="1">
      <c r="A301" s="17">
        <f t="shared" si="0"/>
        <v>298</v>
      </c>
      <c r="B301" s="18" t="s">
        <v>13</v>
      </c>
      <c r="C301" s="19" t="s">
        <v>1901</v>
      </c>
      <c r="D301" s="19" t="s">
        <v>124</v>
      </c>
      <c r="E301" s="20" t="s">
        <v>1902</v>
      </c>
      <c r="F301" s="21" t="s">
        <v>293</v>
      </c>
      <c r="G301" s="22" t="s">
        <v>42</v>
      </c>
      <c r="H301" s="23" t="s">
        <v>1903</v>
      </c>
      <c r="I301" s="24" t="s">
        <v>20</v>
      </c>
      <c r="J301" s="1" t="s">
        <v>21</v>
      </c>
      <c r="K301" s="25">
        <v>3</v>
      </c>
      <c r="L301" s="1" t="str">
        <f t="shared" si="1"/>
        <v/>
      </c>
      <c r="M301" s="1"/>
      <c r="N301" s="1"/>
      <c r="O301" s="1"/>
      <c r="P301" s="1"/>
      <c r="Q301" s="1"/>
      <c r="R301" s="1"/>
      <c r="S301" s="1"/>
      <c r="T301" s="1"/>
    </row>
    <row r="302" spans="1:20" ht="26.25" customHeight="1">
      <c r="A302" s="17">
        <f t="shared" si="0"/>
        <v>299</v>
      </c>
      <c r="B302" s="18" t="s">
        <v>1197</v>
      </c>
      <c r="C302" s="19" t="s">
        <v>1904</v>
      </c>
      <c r="D302" s="19" t="s">
        <v>499</v>
      </c>
      <c r="E302" s="20" t="s">
        <v>1905</v>
      </c>
      <c r="F302" s="21" t="s">
        <v>905</v>
      </c>
      <c r="G302" s="33" t="s">
        <v>42</v>
      </c>
      <c r="H302" s="23" t="s">
        <v>1906</v>
      </c>
      <c r="I302" s="24" t="s">
        <v>20</v>
      </c>
      <c r="J302" s="1" t="s">
        <v>21</v>
      </c>
      <c r="K302" s="25">
        <v>3</v>
      </c>
      <c r="L302" s="1" t="str">
        <f t="shared" si="1"/>
        <v/>
      </c>
      <c r="M302" s="1"/>
      <c r="N302" s="1"/>
      <c r="O302" s="1"/>
      <c r="P302" s="1"/>
      <c r="Q302" s="1"/>
      <c r="R302" s="1"/>
      <c r="S302" s="1"/>
      <c r="T302" s="1"/>
    </row>
    <row r="303" spans="1:20" ht="26.25" customHeight="1">
      <c r="A303" s="17">
        <f t="shared" si="0"/>
        <v>300</v>
      </c>
      <c r="B303" s="18" t="s">
        <v>37</v>
      </c>
      <c r="C303" s="19" t="s">
        <v>1907</v>
      </c>
      <c r="D303" s="19" t="s">
        <v>124</v>
      </c>
      <c r="E303" s="20" t="s">
        <v>1908</v>
      </c>
      <c r="F303" s="21" t="s">
        <v>1909</v>
      </c>
      <c r="G303" s="22" t="s">
        <v>42</v>
      </c>
      <c r="H303" s="23" t="s">
        <v>1910</v>
      </c>
      <c r="I303" s="24" t="s">
        <v>20</v>
      </c>
      <c r="J303" s="1" t="s">
        <v>21</v>
      </c>
      <c r="K303" s="25">
        <v>3</v>
      </c>
      <c r="L303" s="1" t="str">
        <f t="shared" si="1"/>
        <v/>
      </c>
      <c r="M303" s="1"/>
      <c r="N303" s="1"/>
      <c r="O303" s="1"/>
      <c r="P303" s="1"/>
      <c r="Q303" s="1"/>
      <c r="R303" s="1"/>
      <c r="S303" s="1"/>
      <c r="T303" s="1"/>
    </row>
    <row r="304" spans="1:20" ht="26.25" customHeight="1">
      <c r="A304" s="17">
        <f t="shared" si="0"/>
        <v>301</v>
      </c>
      <c r="B304" s="18" t="s">
        <v>1375</v>
      </c>
      <c r="C304" s="31" t="s">
        <v>1911</v>
      </c>
      <c r="D304" s="19" t="s">
        <v>1068</v>
      </c>
      <c r="E304" s="20" t="s">
        <v>1912</v>
      </c>
      <c r="F304" s="32" t="s">
        <v>1913</v>
      </c>
      <c r="G304" s="22" t="s">
        <v>1086</v>
      </c>
      <c r="H304" s="23" t="s">
        <v>1914</v>
      </c>
      <c r="I304" s="24" t="s">
        <v>55</v>
      </c>
      <c r="J304" s="1" t="str">
        <f>IFERROR(VLOOKUP(E304,#REF!,8,FALSE),"")</f>
        <v/>
      </c>
      <c r="K304" s="1"/>
      <c r="L304" s="1" t="str">
        <f t="shared" si="1"/>
        <v/>
      </c>
      <c r="M304" s="1"/>
      <c r="N304" s="1"/>
      <c r="O304" s="1"/>
      <c r="P304" s="1"/>
      <c r="Q304" s="1"/>
      <c r="R304" s="1"/>
      <c r="S304" s="1"/>
      <c r="T304" s="1"/>
    </row>
    <row r="305" spans="1:20" ht="26.25" customHeight="1">
      <c r="A305" s="17">
        <f t="shared" si="0"/>
        <v>302</v>
      </c>
      <c r="B305" s="18" t="s">
        <v>81</v>
      </c>
      <c r="C305" s="19" t="s">
        <v>1915</v>
      </c>
      <c r="D305" s="19" t="s">
        <v>124</v>
      </c>
      <c r="E305" s="20" t="s">
        <v>1916</v>
      </c>
      <c r="F305" s="21" t="s">
        <v>135</v>
      </c>
      <c r="G305" s="33" t="s">
        <v>42</v>
      </c>
      <c r="H305" s="23" t="s">
        <v>1917</v>
      </c>
      <c r="I305" s="24" t="s">
        <v>20</v>
      </c>
      <c r="J305" s="1" t="s">
        <v>21</v>
      </c>
      <c r="K305" s="25">
        <v>3</v>
      </c>
      <c r="L305" s="1" t="str">
        <f t="shared" si="1"/>
        <v/>
      </c>
      <c r="M305" s="1"/>
      <c r="N305" s="1"/>
      <c r="O305" s="1"/>
      <c r="P305" s="1"/>
      <c r="Q305" s="1"/>
      <c r="R305" s="1"/>
      <c r="S305" s="1"/>
      <c r="T305" s="1"/>
    </row>
    <row r="306" spans="1:20" ht="26.25" customHeight="1">
      <c r="A306" s="17">
        <f t="shared" si="0"/>
        <v>303</v>
      </c>
      <c r="B306" s="18" t="s">
        <v>105</v>
      </c>
      <c r="C306" s="31" t="s">
        <v>1918</v>
      </c>
      <c r="D306" s="19" t="s">
        <v>1919</v>
      </c>
      <c r="E306" s="20" t="s">
        <v>1920</v>
      </c>
      <c r="F306" s="32" t="s">
        <v>1921</v>
      </c>
      <c r="G306" s="33" t="s">
        <v>42</v>
      </c>
      <c r="H306" s="23" t="s">
        <v>1922</v>
      </c>
      <c r="I306" s="24" t="s">
        <v>55</v>
      </c>
      <c r="J306" s="1" t="str">
        <f>IFERROR(VLOOKUP(E306,#REF!,8,FALSE),"")</f>
        <v/>
      </c>
      <c r="K306" s="1"/>
      <c r="L306" s="1" t="str">
        <f t="shared" si="1"/>
        <v/>
      </c>
      <c r="M306" s="1"/>
      <c r="N306" s="1"/>
      <c r="O306" s="1"/>
      <c r="P306" s="1"/>
      <c r="Q306" s="1"/>
      <c r="R306" s="1"/>
      <c r="S306" s="1"/>
      <c r="T306" s="1"/>
    </row>
    <row r="307" spans="1:20" ht="26.25" customHeight="1">
      <c r="A307" s="17">
        <f t="shared" si="0"/>
        <v>304</v>
      </c>
      <c r="B307" s="18" t="s">
        <v>248</v>
      </c>
      <c r="C307" s="31" t="s">
        <v>1923</v>
      </c>
      <c r="D307" s="19" t="s">
        <v>1338</v>
      </c>
      <c r="E307" s="20" t="s">
        <v>1924</v>
      </c>
      <c r="F307" s="21" t="s">
        <v>1925</v>
      </c>
      <c r="G307" s="33" t="s">
        <v>31</v>
      </c>
      <c r="H307" s="23" t="s">
        <v>1926</v>
      </c>
      <c r="I307" s="34" t="s">
        <v>20</v>
      </c>
      <c r="J307" s="1" t="s">
        <v>87</v>
      </c>
      <c r="K307" s="25">
        <v>4</v>
      </c>
      <c r="L307" s="1" t="str">
        <f t="shared" si="1"/>
        <v/>
      </c>
      <c r="M307" s="25"/>
      <c r="N307" s="25"/>
      <c r="O307" s="25"/>
      <c r="P307" s="25"/>
      <c r="Q307" s="25"/>
      <c r="R307" s="25"/>
      <c r="S307" s="25"/>
      <c r="T307" s="25"/>
    </row>
    <row r="308" spans="1:20" ht="26.25" customHeight="1">
      <c r="A308" s="17">
        <f t="shared" si="0"/>
        <v>305</v>
      </c>
      <c r="B308" s="18" t="s">
        <v>175</v>
      </c>
      <c r="C308" s="31" t="s">
        <v>1927</v>
      </c>
      <c r="D308" s="19" t="s">
        <v>1928</v>
      </c>
      <c r="E308" s="20" t="s">
        <v>1929</v>
      </c>
      <c r="F308" s="32" t="s">
        <v>1930</v>
      </c>
      <c r="G308" s="33" t="s">
        <v>63</v>
      </c>
      <c r="H308" s="23" t="s">
        <v>1931</v>
      </c>
      <c r="I308" s="24" t="s">
        <v>55</v>
      </c>
      <c r="J308" s="1" t="str">
        <f t="shared" ref="J308:J311" si="46">IFERROR(VLOOKUP(E308,#REF!,8,FALSE),"")</f>
        <v/>
      </c>
      <c r="K308" s="1"/>
      <c r="L308" s="1" t="str">
        <f t="shared" si="1"/>
        <v/>
      </c>
      <c r="M308" s="1"/>
      <c r="N308" s="1"/>
      <c r="O308" s="1"/>
      <c r="P308" s="1"/>
      <c r="Q308" s="1"/>
      <c r="R308" s="1"/>
      <c r="S308" s="1"/>
      <c r="T308" s="1"/>
    </row>
    <row r="309" spans="1:20" ht="26.25" customHeight="1">
      <c r="A309" s="17">
        <f t="shared" si="0"/>
        <v>306</v>
      </c>
      <c r="B309" s="64" t="s">
        <v>37</v>
      </c>
      <c r="C309" s="85" t="s">
        <v>1932</v>
      </c>
      <c r="D309" s="19" t="s">
        <v>965</v>
      </c>
      <c r="E309" s="20" t="s">
        <v>966</v>
      </c>
      <c r="F309" s="32" t="s">
        <v>1033</v>
      </c>
      <c r="G309" s="22" t="s">
        <v>31</v>
      </c>
      <c r="H309" s="23" t="s">
        <v>1933</v>
      </c>
      <c r="I309" s="24" t="s">
        <v>55</v>
      </c>
      <c r="J309" s="1" t="str">
        <f t="shared" si="46"/>
        <v/>
      </c>
      <c r="K309" s="25">
        <v>3</v>
      </c>
      <c r="L309" s="1" t="str">
        <f t="shared" si="1"/>
        <v>2020 FRIC 서양</v>
      </c>
      <c r="M309" s="1"/>
      <c r="N309" s="1"/>
      <c r="O309" s="1"/>
      <c r="P309" s="1"/>
      <c r="Q309" s="1"/>
      <c r="R309" s="1"/>
      <c r="S309" s="1"/>
      <c r="T309" s="1"/>
    </row>
    <row r="310" spans="1:20" ht="26.25" customHeight="1">
      <c r="A310" s="17">
        <f t="shared" si="0"/>
        <v>307</v>
      </c>
      <c r="B310" s="86" t="s">
        <v>27</v>
      </c>
      <c r="C310" s="31" t="s">
        <v>1934</v>
      </c>
      <c r="D310" s="66" t="s">
        <v>1935</v>
      </c>
      <c r="E310" s="20" t="s">
        <v>530</v>
      </c>
      <c r="F310" s="32" t="s">
        <v>918</v>
      </c>
      <c r="G310" s="22" t="s">
        <v>53</v>
      </c>
      <c r="H310" s="23" t="s">
        <v>1936</v>
      </c>
      <c r="I310" s="24" t="s">
        <v>55</v>
      </c>
      <c r="J310" s="1" t="str">
        <f t="shared" si="46"/>
        <v/>
      </c>
      <c r="K310" s="25">
        <v>3</v>
      </c>
      <c r="L310" s="1" t="str">
        <f t="shared" si="1"/>
        <v>2019 FRIC 동양</v>
      </c>
      <c r="M310" s="1"/>
      <c r="N310" s="1"/>
      <c r="O310" s="1"/>
      <c r="P310" s="1"/>
      <c r="Q310" s="1"/>
      <c r="R310" s="1"/>
      <c r="S310" s="1"/>
      <c r="T310" s="1"/>
    </row>
    <row r="311" spans="1:20" ht="26.25" customHeight="1">
      <c r="A311" s="17">
        <f t="shared" si="0"/>
        <v>308</v>
      </c>
      <c r="B311" s="86" t="s">
        <v>1197</v>
      </c>
      <c r="C311" s="31" t="s">
        <v>1937</v>
      </c>
      <c r="D311" s="66" t="s">
        <v>89</v>
      </c>
      <c r="E311" s="20" t="s">
        <v>90</v>
      </c>
      <c r="F311" s="32" t="s">
        <v>1938</v>
      </c>
      <c r="G311" s="33" t="s">
        <v>31</v>
      </c>
      <c r="H311" s="23" t="s">
        <v>1939</v>
      </c>
      <c r="I311" s="24" t="s">
        <v>55</v>
      </c>
      <c r="J311" s="1" t="str">
        <f t="shared" si="46"/>
        <v/>
      </c>
      <c r="K311" s="25">
        <v>3</v>
      </c>
      <c r="L311" s="1" t="str">
        <f t="shared" si="1"/>
        <v>2016 FRIC 서양</v>
      </c>
      <c r="M311" s="1"/>
      <c r="N311" s="1"/>
      <c r="O311" s="1"/>
      <c r="P311" s="1"/>
      <c r="Q311" s="1"/>
      <c r="R311" s="1"/>
      <c r="S311" s="1"/>
      <c r="T311" s="1"/>
    </row>
    <row r="312" spans="1:20" ht="26.25" customHeight="1">
      <c r="A312" s="17">
        <f t="shared" si="0"/>
        <v>309</v>
      </c>
      <c r="B312" s="18" t="s">
        <v>37</v>
      </c>
      <c r="C312" s="87" t="s">
        <v>1940</v>
      </c>
      <c r="D312" s="19" t="s">
        <v>277</v>
      </c>
      <c r="E312" s="20" t="s">
        <v>1941</v>
      </c>
      <c r="F312" s="21" t="s">
        <v>1942</v>
      </c>
      <c r="G312" s="22" t="s">
        <v>42</v>
      </c>
      <c r="H312" s="23" t="s">
        <v>1943</v>
      </c>
      <c r="I312" s="24" t="s">
        <v>20</v>
      </c>
      <c r="J312" s="1" t="s">
        <v>21</v>
      </c>
      <c r="K312" s="25">
        <v>3</v>
      </c>
      <c r="L312" s="1" t="str">
        <f t="shared" si="1"/>
        <v/>
      </c>
      <c r="M312" s="1"/>
      <c r="N312" s="1"/>
      <c r="O312" s="1"/>
      <c r="P312" s="1"/>
      <c r="Q312" s="1"/>
      <c r="R312" s="1"/>
      <c r="S312" s="1"/>
      <c r="T312" s="1"/>
    </row>
    <row r="313" spans="1:20" ht="26.25" customHeight="1">
      <c r="A313" s="17">
        <f t="shared" si="0"/>
        <v>310</v>
      </c>
      <c r="B313" s="18" t="s">
        <v>37</v>
      </c>
      <c r="C313" s="31" t="s">
        <v>1944</v>
      </c>
      <c r="D313" s="19" t="s">
        <v>1945</v>
      </c>
      <c r="E313" s="20" t="s">
        <v>1946</v>
      </c>
      <c r="F313" s="32" t="s">
        <v>1947</v>
      </c>
      <c r="G313" s="22" t="s">
        <v>42</v>
      </c>
      <c r="H313" s="23" t="s">
        <v>1948</v>
      </c>
      <c r="I313" s="24" t="s">
        <v>55</v>
      </c>
      <c r="J313" s="1" t="str">
        <f t="shared" ref="J313:J317" si="47">IFERROR(VLOOKUP(E313,#REF!,8,FALSE),"")</f>
        <v/>
      </c>
      <c r="K313" s="1"/>
      <c r="L313" s="1" t="str">
        <f t="shared" si="1"/>
        <v/>
      </c>
      <c r="M313" s="1"/>
      <c r="N313" s="1"/>
      <c r="O313" s="1"/>
      <c r="P313" s="1"/>
      <c r="Q313" s="1"/>
      <c r="R313" s="1"/>
      <c r="S313" s="1"/>
      <c r="T313" s="1"/>
    </row>
    <row r="314" spans="1:20" ht="26.25" customHeight="1">
      <c r="A314" s="17">
        <f t="shared" si="0"/>
        <v>311</v>
      </c>
      <c r="B314" s="18" t="s">
        <v>105</v>
      </c>
      <c r="C314" s="31" t="s">
        <v>1949</v>
      </c>
      <c r="D314" s="19" t="s">
        <v>1950</v>
      </c>
      <c r="E314" s="20" t="s">
        <v>1951</v>
      </c>
      <c r="F314" s="32" t="s">
        <v>1952</v>
      </c>
      <c r="G314" s="33" t="s">
        <v>42</v>
      </c>
      <c r="H314" s="23" t="s">
        <v>1953</v>
      </c>
      <c r="I314" s="24" t="s">
        <v>55</v>
      </c>
      <c r="J314" s="1" t="str">
        <f t="shared" si="47"/>
        <v/>
      </c>
      <c r="K314" s="1"/>
      <c r="L314" s="1" t="str">
        <f t="shared" si="1"/>
        <v/>
      </c>
      <c r="M314" s="1"/>
      <c r="N314" s="1"/>
      <c r="O314" s="1"/>
      <c r="P314" s="1"/>
      <c r="Q314" s="1"/>
      <c r="R314" s="1"/>
      <c r="S314" s="1"/>
      <c r="T314" s="1"/>
    </row>
    <row r="315" spans="1:20" ht="26.25" customHeight="1">
      <c r="A315" s="17">
        <f t="shared" si="0"/>
        <v>312</v>
      </c>
      <c r="B315" s="18" t="s">
        <v>867</v>
      </c>
      <c r="C315" s="31" t="s">
        <v>1954</v>
      </c>
      <c r="D315" s="19" t="s">
        <v>1955</v>
      </c>
      <c r="E315" s="20" t="s">
        <v>1956</v>
      </c>
      <c r="F315" s="32" t="s">
        <v>1957</v>
      </c>
      <c r="G315" s="33" t="s">
        <v>42</v>
      </c>
      <c r="H315" s="23" t="s">
        <v>1958</v>
      </c>
      <c r="I315" s="24" t="s">
        <v>55</v>
      </c>
      <c r="J315" s="1" t="str">
        <f t="shared" si="47"/>
        <v/>
      </c>
      <c r="K315" s="1"/>
      <c r="L315" s="1" t="str">
        <f t="shared" si="1"/>
        <v/>
      </c>
      <c r="M315" s="1"/>
      <c r="N315" s="1"/>
      <c r="O315" s="1"/>
      <c r="P315" s="1"/>
      <c r="Q315" s="1"/>
      <c r="R315" s="1"/>
      <c r="S315" s="1"/>
      <c r="T315" s="1"/>
    </row>
    <row r="316" spans="1:20" ht="26.25" customHeight="1">
      <c r="A316" s="17">
        <f t="shared" si="0"/>
        <v>313</v>
      </c>
      <c r="B316" s="18" t="s">
        <v>1368</v>
      </c>
      <c r="C316" s="31" t="s">
        <v>1959</v>
      </c>
      <c r="D316" s="19" t="s">
        <v>1754</v>
      </c>
      <c r="E316" s="20" t="s">
        <v>1072</v>
      </c>
      <c r="F316" s="32" t="s">
        <v>1960</v>
      </c>
      <c r="G316" s="33" t="s">
        <v>18</v>
      </c>
      <c r="H316" s="23" t="s">
        <v>1961</v>
      </c>
      <c r="I316" s="24" t="s">
        <v>55</v>
      </c>
      <c r="J316" s="1" t="str">
        <f t="shared" si="47"/>
        <v/>
      </c>
      <c r="K316" s="25">
        <v>3</v>
      </c>
      <c r="L316" s="1" t="str">
        <f t="shared" si="1"/>
        <v>2020 FRIC 서양</v>
      </c>
      <c r="M316" s="1"/>
      <c r="N316" s="1"/>
      <c r="O316" s="1"/>
      <c r="P316" s="1"/>
      <c r="Q316" s="1"/>
      <c r="R316" s="1"/>
      <c r="S316" s="1"/>
      <c r="T316" s="1"/>
    </row>
    <row r="317" spans="1:20" ht="26.25" customHeight="1">
      <c r="A317" s="17">
        <f t="shared" si="0"/>
        <v>314</v>
      </c>
      <c r="B317" s="18" t="s">
        <v>1197</v>
      </c>
      <c r="C317" s="31" t="s">
        <v>1962</v>
      </c>
      <c r="D317" s="19" t="s">
        <v>1963</v>
      </c>
      <c r="E317" s="20" t="s">
        <v>1964</v>
      </c>
      <c r="F317" s="32" t="s">
        <v>1965</v>
      </c>
      <c r="G317" s="33" t="s">
        <v>53</v>
      </c>
      <c r="H317" s="23" t="s">
        <v>1966</v>
      </c>
      <c r="I317" s="24" t="s">
        <v>55</v>
      </c>
      <c r="J317" s="1" t="str">
        <f t="shared" si="47"/>
        <v/>
      </c>
      <c r="K317" s="1"/>
      <c r="L317" s="1" t="str">
        <f t="shared" si="1"/>
        <v/>
      </c>
      <c r="M317" s="1"/>
      <c r="N317" s="1"/>
      <c r="O317" s="1"/>
      <c r="P317" s="1"/>
      <c r="Q317" s="1"/>
      <c r="R317" s="1"/>
      <c r="S317" s="1"/>
      <c r="T317" s="1"/>
    </row>
    <row r="318" spans="1:20" ht="26.25" customHeight="1">
      <c r="A318" s="17">
        <f t="shared" si="0"/>
        <v>315</v>
      </c>
      <c r="B318" s="18" t="s">
        <v>81</v>
      </c>
      <c r="C318" s="31" t="s">
        <v>1967</v>
      </c>
      <c r="D318" s="19" t="s">
        <v>1968</v>
      </c>
      <c r="E318" s="20" t="s">
        <v>1969</v>
      </c>
      <c r="F318" s="21" t="s">
        <v>1970</v>
      </c>
      <c r="G318" s="33" t="s">
        <v>53</v>
      </c>
      <c r="H318" s="23" t="s">
        <v>1971</v>
      </c>
      <c r="I318" s="34" t="s">
        <v>20</v>
      </c>
      <c r="J318" s="1" t="s">
        <v>87</v>
      </c>
      <c r="K318" s="25">
        <v>4</v>
      </c>
      <c r="L318" s="1" t="str">
        <f t="shared" si="1"/>
        <v/>
      </c>
      <c r="M318" s="25"/>
      <c r="N318" s="25"/>
      <c r="O318" s="25"/>
      <c r="P318" s="25"/>
      <c r="Q318" s="25"/>
      <c r="R318" s="25"/>
      <c r="S318" s="25"/>
      <c r="T318" s="25"/>
    </row>
    <row r="319" spans="1:20" ht="26.25" customHeight="1">
      <c r="A319" s="17">
        <f t="shared" si="0"/>
        <v>316</v>
      </c>
      <c r="B319" s="18" t="s">
        <v>105</v>
      </c>
      <c r="C319" s="31" t="s">
        <v>1972</v>
      </c>
      <c r="D319" s="19" t="s">
        <v>1973</v>
      </c>
      <c r="E319" s="20" t="s">
        <v>1974</v>
      </c>
      <c r="F319" s="32" t="s">
        <v>209</v>
      </c>
      <c r="G319" s="33" t="s">
        <v>53</v>
      </c>
      <c r="H319" s="23" t="s">
        <v>1975</v>
      </c>
      <c r="I319" s="24" t="s">
        <v>55</v>
      </c>
      <c r="J319" s="1" t="str">
        <f>IFERROR(VLOOKUP(E319,#REF!,8,FALSE),"")</f>
        <v/>
      </c>
      <c r="K319" s="1"/>
      <c r="L319" s="1" t="str">
        <f t="shared" si="1"/>
        <v/>
      </c>
      <c r="M319" s="1"/>
      <c r="N319" s="1"/>
      <c r="O319" s="1"/>
      <c r="P319" s="1"/>
      <c r="Q319" s="1"/>
      <c r="R319" s="1"/>
      <c r="S319" s="1"/>
      <c r="T319" s="1"/>
    </row>
    <row r="320" spans="1:20" ht="26.25" customHeight="1">
      <c r="A320" s="17">
        <f t="shared" si="0"/>
        <v>317</v>
      </c>
      <c r="B320" s="18" t="s">
        <v>37</v>
      </c>
      <c r="C320" s="19" t="s">
        <v>1976</v>
      </c>
      <c r="D320" s="19" t="s">
        <v>124</v>
      </c>
      <c r="E320" s="20" t="s">
        <v>1977</v>
      </c>
      <c r="F320" s="21" t="s">
        <v>135</v>
      </c>
      <c r="G320" s="22" t="s">
        <v>42</v>
      </c>
      <c r="H320" s="23" t="s">
        <v>1978</v>
      </c>
      <c r="I320" s="24" t="s">
        <v>20</v>
      </c>
      <c r="J320" s="1" t="s">
        <v>21</v>
      </c>
      <c r="K320" s="25">
        <v>3</v>
      </c>
      <c r="L320" s="1" t="str">
        <f t="shared" si="1"/>
        <v/>
      </c>
      <c r="M320" s="1"/>
      <c r="N320" s="1"/>
      <c r="O320" s="1"/>
      <c r="P320" s="1"/>
      <c r="Q320" s="1"/>
      <c r="R320" s="1"/>
      <c r="S320" s="1"/>
      <c r="T320" s="1"/>
    </row>
    <row r="321" spans="1:20" ht="26.25" customHeight="1">
      <c r="A321" s="17">
        <f t="shared" si="0"/>
        <v>318</v>
      </c>
      <c r="B321" s="18" t="s">
        <v>37</v>
      </c>
      <c r="C321" s="88" t="s">
        <v>1979</v>
      </c>
      <c r="D321" s="19" t="s">
        <v>1980</v>
      </c>
      <c r="E321" s="20" t="s">
        <v>1981</v>
      </c>
      <c r="F321" s="32" t="s">
        <v>416</v>
      </c>
      <c r="G321" s="22" t="s">
        <v>53</v>
      </c>
      <c r="H321" s="23" t="s">
        <v>1982</v>
      </c>
      <c r="I321" s="24" t="s">
        <v>55</v>
      </c>
      <c r="J321" s="1" t="str">
        <f t="shared" ref="J321:J327" si="48">IFERROR(VLOOKUP(E321,#REF!,8,FALSE),"")</f>
        <v/>
      </c>
      <c r="K321" s="1"/>
      <c r="L321" s="1" t="str">
        <f t="shared" si="1"/>
        <v/>
      </c>
      <c r="M321" s="1"/>
      <c r="N321" s="1"/>
      <c r="O321" s="1"/>
      <c r="P321" s="1"/>
      <c r="Q321" s="1"/>
      <c r="R321" s="1"/>
      <c r="S321" s="1"/>
      <c r="T321" s="1"/>
    </row>
    <row r="322" spans="1:20" ht="26.25" customHeight="1">
      <c r="A322" s="17">
        <f t="shared" si="0"/>
        <v>319</v>
      </c>
      <c r="B322" s="18" t="s">
        <v>248</v>
      </c>
      <c r="C322" s="31" t="s">
        <v>1983</v>
      </c>
      <c r="D322" s="19" t="s">
        <v>308</v>
      </c>
      <c r="E322" s="20" t="s">
        <v>1984</v>
      </c>
      <c r="F322" s="32" t="s">
        <v>222</v>
      </c>
      <c r="G322" s="33" t="s">
        <v>42</v>
      </c>
      <c r="H322" s="23" t="s">
        <v>1985</v>
      </c>
      <c r="I322" s="24" t="s">
        <v>55</v>
      </c>
      <c r="J322" s="1" t="str">
        <f t="shared" si="48"/>
        <v/>
      </c>
      <c r="K322" s="1"/>
      <c r="L322" s="1" t="str">
        <f t="shared" si="1"/>
        <v/>
      </c>
      <c r="M322" s="1"/>
      <c r="N322" s="1"/>
      <c r="O322" s="1"/>
      <c r="P322" s="1"/>
      <c r="Q322" s="1"/>
      <c r="R322" s="1"/>
      <c r="S322" s="1"/>
      <c r="T322" s="1"/>
    </row>
    <row r="323" spans="1:20" ht="26.25" customHeight="1">
      <c r="A323" s="17">
        <f t="shared" si="0"/>
        <v>320</v>
      </c>
      <c r="B323" s="18" t="s">
        <v>233</v>
      </c>
      <c r="C323" s="89" t="s">
        <v>1674</v>
      </c>
      <c r="D323" s="89" t="s">
        <v>939</v>
      </c>
      <c r="E323" s="90" t="s">
        <v>1675</v>
      </c>
      <c r="F323" s="91" t="s">
        <v>1986</v>
      </c>
      <c r="G323" s="22" t="s">
        <v>42</v>
      </c>
      <c r="H323" s="23" t="s">
        <v>1987</v>
      </c>
      <c r="I323" s="34" t="s">
        <v>55</v>
      </c>
      <c r="J323" s="1" t="str">
        <f t="shared" si="48"/>
        <v/>
      </c>
      <c r="K323" s="25">
        <v>3</v>
      </c>
      <c r="L323" s="1" t="str">
        <f t="shared" si="1"/>
        <v>2021 FRIC 서양</v>
      </c>
      <c r="M323" s="25"/>
      <c r="N323" s="25"/>
      <c r="O323" s="25"/>
      <c r="P323" s="25"/>
      <c r="Q323" s="25"/>
      <c r="R323" s="25"/>
      <c r="S323" s="25"/>
      <c r="T323" s="25"/>
    </row>
    <row r="324" spans="1:20" ht="26.25" customHeight="1">
      <c r="A324" s="17">
        <f t="shared" si="0"/>
        <v>321</v>
      </c>
      <c r="B324" s="18" t="s">
        <v>867</v>
      </c>
      <c r="C324" s="31" t="s">
        <v>1988</v>
      </c>
      <c r="D324" s="19" t="s">
        <v>1989</v>
      </c>
      <c r="E324" s="20" t="s">
        <v>1576</v>
      </c>
      <c r="F324" s="21" t="s">
        <v>1990</v>
      </c>
      <c r="G324" s="33" t="s">
        <v>42</v>
      </c>
      <c r="H324" s="23" t="s">
        <v>1991</v>
      </c>
      <c r="I324" s="34" t="s">
        <v>55</v>
      </c>
      <c r="J324" s="1" t="str">
        <f t="shared" si="48"/>
        <v/>
      </c>
      <c r="K324" s="25">
        <v>4</v>
      </c>
      <c r="L324" s="1" t="str">
        <f t="shared" si="1"/>
        <v>2021 과기 동양</v>
      </c>
      <c r="M324" s="25"/>
      <c r="N324" s="25"/>
      <c r="O324" s="25"/>
      <c r="P324" s="25"/>
      <c r="Q324" s="25"/>
      <c r="R324" s="25"/>
      <c r="S324" s="25"/>
      <c r="T324" s="25"/>
    </row>
    <row r="325" spans="1:20" ht="26.25" customHeight="1">
      <c r="A325" s="17">
        <f t="shared" si="0"/>
        <v>322</v>
      </c>
      <c r="B325" s="18" t="s">
        <v>867</v>
      </c>
      <c r="C325" s="31" t="s">
        <v>1992</v>
      </c>
      <c r="D325" s="19" t="s">
        <v>277</v>
      </c>
      <c r="E325" s="20" t="s">
        <v>1993</v>
      </c>
      <c r="F325" s="32" t="s">
        <v>1994</v>
      </c>
      <c r="G325" s="33" t="s">
        <v>42</v>
      </c>
      <c r="H325" s="23" t="s">
        <v>1995</v>
      </c>
      <c r="I325" s="24" t="s">
        <v>55</v>
      </c>
      <c r="J325" s="1" t="str">
        <f t="shared" si="48"/>
        <v/>
      </c>
      <c r="K325" s="1"/>
      <c r="L325" s="1" t="str">
        <f t="shared" si="1"/>
        <v/>
      </c>
      <c r="M325" s="1"/>
      <c r="N325" s="1"/>
      <c r="O325" s="1"/>
      <c r="P325" s="1"/>
      <c r="Q325" s="1"/>
      <c r="R325" s="1"/>
      <c r="S325" s="1"/>
      <c r="T325" s="1"/>
    </row>
    <row r="326" spans="1:20" ht="26.25" customHeight="1">
      <c r="A326" s="17">
        <f t="shared" si="0"/>
        <v>323</v>
      </c>
      <c r="B326" s="18" t="s">
        <v>233</v>
      </c>
      <c r="C326" s="31" t="s">
        <v>1996</v>
      </c>
      <c r="D326" s="19" t="s">
        <v>242</v>
      </c>
      <c r="E326" s="20" t="s">
        <v>1997</v>
      </c>
      <c r="F326" s="32" t="s">
        <v>1998</v>
      </c>
      <c r="G326" s="22" t="s">
        <v>42</v>
      </c>
      <c r="H326" s="23" t="s">
        <v>1999</v>
      </c>
      <c r="I326" s="24" t="s">
        <v>55</v>
      </c>
      <c r="J326" s="1" t="str">
        <f t="shared" si="48"/>
        <v/>
      </c>
      <c r="K326" s="1"/>
      <c r="L326" s="1" t="str">
        <f t="shared" si="1"/>
        <v/>
      </c>
      <c r="M326" s="1"/>
      <c r="N326" s="1"/>
      <c r="O326" s="1"/>
      <c r="P326" s="1"/>
      <c r="Q326" s="1"/>
      <c r="R326" s="1"/>
      <c r="S326" s="1"/>
      <c r="T326" s="1"/>
    </row>
    <row r="327" spans="1:20" ht="26.25" customHeight="1">
      <c r="A327" s="17">
        <f t="shared" si="0"/>
        <v>324</v>
      </c>
      <c r="B327" s="18" t="s">
        <v>27</v>
      </c>
      <c r="C327" s="31" t="s">
        <v>2000</v>
      </c>
      <c r="D327" s="19" t="s">
        <v>207</v>
      </c>
      <c r="E327" s="20" t="s">
        <v>2001</v>
      </c>
      <c r="F327" s="32" t="s">
        <v>693</v>
      </c>
      <c r="G327" s="22" t="s">
        <v>42</v>
      </c>
      <c r="H327" s="23" t="s">
        <v>2002</v>
      </c>
      <c r="I327" s="24" t="s">
        <v>55</v>
      </c>
      <c r="J327" s="1" t="str">
        <f t="shared" si="48"/>
        <v/>
      </c>
      <c r="K327" s="1"/>
      <c r="L327" s="1" t="str">
        <f t="shared" si="1"/>
        <v/>
      </c>
      <c r="M327" s="1"/>
      <c r="N327" s="1"/>
      <c r="O327" s="1"/>
      <c r="P327" s="1"/>
      <c r="Q327" s="1"/>
      <c r="R327" s="1"/>
      <c r="S327" s="1"/>
      <c r="T327" s="1"/>
    </row>
    <row r="328" spans="1:20" ht="26.25" customHeight="1">
      <c r="A328" s="17">
        <f t="shared" si="0"/>
        <v>325</v>
      </c>
      <c r="B328" s="18" t="s">
        <v>132</v>
      </c>
      <c r="C328" s="19" t="s">
        <v>2003</v>
      </c>
      <c r="D328" s="19" t="s">
        <v>2004</v>
      </c>
      <c r="E328" s="20" t="s">
        <v>2005</v>
      </c>
      <c r="F328" s="21" t="s">
        <v>2006</v>
      </c>
      <c r="G328" s="22" t="s">
        <v>42</v>
      </c>
      <c r="H328" s="23" t="s">
        <v>2007</v>
      </c>
      <c r="I328" s="24" t="s">
        <v>20</v>
      </c>
      <c r="J328" s="1" t="s">
        <v>21</v>
      </c>
      <c r="K328" s="25">
        <v>3</v>
      </c>
      <c r="L328" s="1" t="str">
        <f t="shared" si="1"/>
        <v/>
      </c>
      <c r="M328" s="1"/>
      <c r="N328" s="1"/>
      <c r="O328" s="1"/>
      <c r="P328" s="1"/>
      <c r="Q328" s="1"/>
      <c r="R328" s="1"/>
      <c r="S328" s="1"/>
      <c r="T328" s="1"/>
    </row>
    <row r="329" spans="1:20" ht="26.25" customHeight="1">
      <c r="A329" s="17">
        <f t="shared" si="0"/>
        <v>326</v>
      </c>
      <c r="B329" s="18" t="s">
        <v>175</v>
      </c>
      <c r="C329" s="31" t="s">
        <v>2008</v>
      </c>
      <c r="D329" s="19" t="s">
        <v>213</v>
      </c>
      <c r="E329" s="20" t="s">
        <v>2009</v>
      </c>
      <c r="F329" s="21" t="s">
        <v>1609</v>
      </c>
      <c r="G329" s="33" t="s">
        <v>42</v>
      </c>
      <c r="H329" s="23" t="s">
        <v>2010</v>
      </c>
      <c r="I329" s="24" t="s">
        <v>20</v>
      </c>
      <c r="J329" s="1" t="s">
        <v>87</v>
      </c>
      <c r="K329" s="25">
        <v>4</v>
      </c>
      <c r="L329" s="1" t="str">
        <f t="shared" si="1"/>
        <v/>
      </c>
      <c r="M329" s="1"/>
      <c r="N329" s="1"/>
      <c r="O329" s="1"/>
      <c r="P329" s="1"/>
      <c r="Q329" s="1"/>
      <c r="R329" s="1"/>
      <c r="S329" s="1"/>
      <c r="T329" s="1"/>
    </row>
    <row r="330" spans="1:20" ht="26.25" customHeight="1">
      <c r="A330" s="17">
        <f t="shared" si="0"/>
        <v>327</v>
      </c>
      <c r="B330" s="18" t="s">
        <v>13</v>
      </c>
      <c r="C330" s="31" t="s">
        <v>857</v>
      </c>
      <c r="D330" s="19" t="s">
        <v>227</v>
      </c>
      <c r="E330" s="20" t="s">
        <v>859</v>
      </c>
      <c r="F330" s="32" t="s">
        <v>2011</v>
      </c>
      <c r="G330" s="22" t="s">
        <v>2012</v>
      </c>
      <c r="H330" s="23" t="s">
        <v>2013</v>
      </c>
      <c r="I330" s="24" t="s">
        <v>55</v>
      </c>
      <c r="J330" s="1" t="str">
        <f t="shared" ref="J330:J331" si="49">IFERROR(VLOOKUP(E330,#REF!,8,FALSE),"")</f>
        <v/>
      </c>
      <c r="K330" s="25">
        <v>3</v>
      </c>
      <c r="L330" s="1" t="str">
        <f t="shared" si="1"/>
        <v>2020 FRIC 서양</v>
      </c>
      <c r="M330" s="1"/>
      <c r="N330" s="1"/>
      <c r="O330" s="1"/>
      <c r="P330" s="1"/>
      <c r="Q330" s="1"/>
      <c r="R330" s="1"/>
      <c r="S330" s="1"/>
      <c r="T330" s="1"/>
    </row>
    <row r="331" spans="1:20" ht="26.25" customHeight="1">
      <c r="A331" s="17">
        <f t="shared" si="0"/>
        <v>328</v>
      </c>
      <c r="B331" s="18" t="s">
        <v>13</v>
      </c>
      <c r="C331" s="31" t="s">
        <v>2014</v>
      </c>
      <c r="D331" s="19" t="s">
        <v>2015</v>
      </c>
      <c r="E331" s="20" t="s">
        <v>2016</v>
      </c>
      <c r="F331" s="32" t="s">
        <v>2017</v>
      </c>
      <c r="G331" s="22" t="s">
        <v>2018</v>
      </c>
      <c r="H331" s="23" t="s">
        <v>2019</v>
      </c>
      <c r="I331" s="24" t="s">
        <v>55</v>
      </c>
      <c r="J331" s="1" t="str">
        <f t="shared" si="49"/>
        <v/>
      </c>
      <c r="K331" s="1"/>
      <c r="L331" s="1" t="str">
        <f t="shared" si="1"/>
        <v/>
      </c>
      <c r="M331" s="1"/>
      <c r="N331" s="1"/>
      <c r="O331" s="1"/>
      <c r="P331" s="1"/>
      <c r="Q331" s="1"/>
      <c r="R331" s="1"/>
      <c r="S331" s="1"/>
      <c r="T331" s="1"/>
    </row>
    <row r="332" spans="1:20" ht="26.25" customHeight="1">
      <c r="A332" s="17">
        <f t="shared" si="0"/>
        <v>329</v>
      </c>
      <c r="B332" s="18" t="s">
        <v>27</v>
      </c>
      <c r="C332" s="19" t="s">
        <v>2020</v>
      </c>
      <c r="D332" s="19" t="s">
        <v>2021</v>
      </c>
      <c r="E332" s="20" t="s">
        <v>2022</v>
      </c>
      <c r="F332" s="21" t="s">
        <v>2023</v>
      </c>
      <c r="G332" s="22" t="s">
        <v>42</v>
      </c>
      <c r="H332" s="23" t="s">
        <v>2024</v>
      </c>
      <c r="I332" s="24" t="s">
        <v>20</v>
      </c>
      <c r="J332" s="1" t="s">
        <v>87</v>
      </c>
      <c r="K332" s="25">
        <v>4</v>
      </c>
      <c r="L332" s="1" t="str">
        <f t="shared" si="1"/>
        <v/>
      </c>
      <c r="M332" s="1"/>
      <c r="N332" s="1"/>
      <c r="O332" s="1"/>
      <c r="P332" s="1"/>
      <c r="Q332" s="1"/>
      <c r="R332" s="1"/>
      <c r="S332" s="1"/>
      <c r="T332" s="1"/>
    </row>
    <row r="333" spans="1:20" ht="26.25" customHeight="1">
      <c r="A333" s="17">
        <f t="shared" si="0"/>
        <v>330</v>
      </c>
      <c r="B333" s="18" t="s">
        <v>175</v>
      </c>
      <c r="C333" s="19" t="s">
        <v>2025</v>
      </c>
      <c r="D333" s="19" t="s">
        <v>141</v>
      </c>
      <c r="E333" s="20" t="s">
        <v>2026</v>
      </c>
      <c r="F333" s="21" t="s">
        <v>905</v>
      </c>
      <c r="G333" s="33" t="s">
        <v>42</v>
      </c>
      <c r="H333" s="23" t="s">
        <v>2027</v>
      </c>
      <c r="I333" s="24" t="s">
        <v>20</v>
      </c>
      <c r="J333" s="1" t="s">
        <v>21</v>
      </c>
      <c r="K333" s="25">
        <v>3</v>
      </c>
      <c r="L333" s="1" t="str">
        <f t="shared" si="1"/>
        <v/>
      </c>
      <c r="M333" s="1"/>
      <c r="N333" s="1"/>
      <c r="O333" s="1"/>
      <c r="P333" s="1"/>
      <c r="Q333" s="1"/>
      <c r="R333" s="1"/>
      <c r="S333" s="1"/>
      <c r="T333" s="1"/>
    </row>
    <row r="334" spans="1:20" ht="26.25" customHeight="1">
      <c r="A334" s="17">
        <f t="shared" si="0"/>
        <v>331</v>
      </c>
      <c r="B334" s="18" t="s">
        <v>175</v>
      </c>
      <c r="C334" s="31" t="s">
        <v>2028</v>
      </c>
      <c r="D334" s="19" t="s">
        <v>124</v>
      </c>
      <c r="E334" s="20" t="s">
        <v>2029</v>
      </c>
      <c r="F334" s="32" t="s">
        <v>416</v>
      </c>
      <c r="G334" s="33" t="s">
        <v>42</v>
      </c>
      <c r="H334" s="23" t="s">
        <v>2030</v>
      </c>
      <c r="I334" s="24" t="s">
        <v>55</v>
      </c>
      <c r="J334" s="1" t="str">
        <f>IFERROR(VLOOKUP(E334,#REF!,8,FALSE),"")</f>
        <v/>
      </c>
      <c r="K334" s="1"/>
      <c r="L334" s="1" t="str">
        <f t="shared" si="1"/>
        <v/>
      </c>
      <c r="M334" s="1"/>
      <c r="N334" s="1"/>
      <c r="O334" s="1"/>
      <c r="P334" s="1"/>
      <c r="Q334" s="1"/>
      <c r="R334" s="1"/>
      <c r="S334" s="1"/>
      <c r="T334" s="1"/>
    </row>
    <row r="335" spans="1:20" ht="26.25" customHeight="1">
      <c r="A335" s="17">
        <f t="shared" si="0"/>
        <v>332</v>
      </c>
      <c r="B335" s="18" t="s">
        <v>175</v>
      </c>
      <c r="C335" s="19" t="s">
        <v>2031</v>
      </c>
      <c r="D335" s="19" t="s">
        <v>447</v>
      </c>
      <c r="E335" s="20" t="s">
        <v>2032</v>
      </c>
      <c r="F335" s="21" t="s">
        <v>135</v>
      </c>
      <c r="G335" s="33" t="s">
        <v>42</v>
      </c>
      <c r="H335" s="23" t="s">
        <v>2033</v>
      </c>
      <c r="I335" s="24" t="s">
        <v>20</v>
      </c>
      <c r="J335" s="1" t="s">
        <v>21</v>
      </c>
      <c r="K335" s="25">
        <v>3</v>
      </c>
      <c r="L335" s="1" t="str">
        <f t="shared" si="1"/>
        <v/>
      </c>
      <c r="M335" s="1"/>
      <c r="N335" s="1"/>
      <c r="O335" s="1"/>
      <c r="P335" s="1"/>
      <c r="Q335" s="1"/>
      <c r="R335" s="1"/>
      <c r="S335" s="1"/>
      <c r="T335" s="1"/>
    </row>
    <row r="336" spans="1:20" ht="26.25" customHeight="1">
      <c r="A336" s="17">
        <f t="shared" si="0"/>
        <v>333</v>
      </c>
      <c r="B336" s="18" t="s">
        <v>175</v>
      </c>
      <c r="C336" s="19" t="s">
        <v>2034</v>
      </c>
      <c r="D336" s="19" t="s">
        <v>840</v>
      </c>
      <c r="E336" s="20" t="s">
        <v>2035</v>
      </c>
      <c r="F336" s="21" t="s">
        <v>905</v>
      </c>
      <c r="G336" s="33" t="s">
        <v>42</v>
      </c>
      <c r="H336" s="23" t="s">
        <v>2036</v>
      </c>
      <c r="I336" s="24" t="s">
        <v>20</v>
      </c>
      <c r="J336" s="1" t="s">
        <v>21</v>
      </c>
      <c r="K336" s="25">
        <v>3</v>
      </c>
      <c r="L336" s="1" t="str">
        <f t="shared" si="1"/>
        <v/>
      </c>
      <c r="M336" s="1"/>
      <c r="N336" s="1"/>
      <c r="O336" s="1"/>
      <c r="P336" s="1"/>
      <c r="Q336" s="1"/>
      <c r="R336" s="1"/>
      <c r="S336" s="1"/>
      <c r="T336" s="1"/>
    </row>
    <row r="337" spans="1:20" ht="26.25" customHeight="1">
      <c r="A337" s="17">
        <f t="shared" si="0"/>
        <v>334</v>
      </c>
      <c r="B337" s="18" t="s">
        <v>175</v>
      </c>
      <c r="C337" s="31" t="s">
        <v>2037</v>
      </c>
      <c r="D337" s="19" t="s">
        <v>2038</v>
      </c>
      <c r="E337" s="20" t="s">
        <v>2039</v>
      </c>
      <c r="F337" s="32" t="s">
        <v>700</v>
      </c>
      <c r="G337" s="70" t="s">
        <v>42</v>
      </c>
      <c r="H337" s="23" t="s">
        <v>2040</v>
      </c>
      <c r="I337" s="24" t="s">
        <v>55</v>
      </c>
      <c r="J337" s="1" t="str">
        <f>IFERROR(VLOOKUP(E337,#REF!,8,FALSE),"")</f>
        <v/>
      </c>
      <c r="K337" s="1"/>
      <c r="L337" s="1" t="str">
        <f t="shared" si="1"/>
        <v/>
      </c>
      <c r="M337" s="1"/>
      <c r="N337" s="1"/>
      <c r="O337" s="1"/>
      <c r="P337" s="1"/>
      <c r="Q337" s="1"/>
      <c r="R337" s="1"/>
      <c r="S337" s="1"/>
      <c r="T337" s="1"/>
    </row>
    <row r="338" spans="1:20" ht="26.25" customHeight="1">
      <c r="A338" s="17">
        <f t="shared" si="0"/>
        <v>335</v>
      </c>
      <c r="B338" s="18" t="s">
        <v>13</v>
      </c>
      <c r="C338" s="19" t="s">
        <v>2041</v>
      </c>
      <c r="D338" s="19" t="s">
        <v>939</v>
      </c>
      <c r="E338" s="20" t="s">
        <v>2042</v>
      </c>
      <c r="F338" s="21" t="s">
        <v>135</v>
      </c>
      <c r="G338" s="22" t="s">
        <v>42</v>
      </c>
      <c r="H338" s="23" t="s">
        <v>2043</v>
      </c>
      <c r="I338" s="24" t="s">
        <v>20</v>
      </c>
      <c r="J338" s="1" t="s">
        <v>21</v>
      </c>
      <c r="K338" s="25">
        <v>3</v>
      </c>
      <c r="L338" s="1" t="str">
        <f t="shared" si="1"/>
        <v/>
      </c>
      <c r="M338" s="1"/>
      <c r="N338" s="1"/>
      <c r="O338" s="1"/>
      <c r="P338" s="1"/>
      <c r="Q338" s="1"/>
      <c r="R338" s="1"/>
      <c r="S338" s="1"/>
      <c r="T338" s="1"/>
    </row>
    <row r="339" spans="1:20" ht="26.25" customHeight="1">
      <c r="A339" s="17">
        <f t="shared" si="0"/>
        <v>336</v>
      </c>
      <c r="B339" s="18" t="s">
        <v>27</v>
      </c>
      <c r="C339" s="31" t="s">
        <v>95</v>
      </c>
      <c r="D339" s="19" t="s">
        <v>96</v>
      </c>
      <c r="E339" s="20" t="s">
        <v>97</v>
      </c>
      <c r="F339" s="32" t="s">
        <v>142</v>
      </c>
      <c r="G339" s="22" t="s">
        <v>53</v>
      </c>
      <c r="H339" s="23" t="s">
        <v>2044</v>
      </c>
      <c r="I339" s="24" t="s">
        <v>55</v>
      </c>
      <c r="J339" s="1" t="str">
        <f>IFERROR(VLOOKUP(E339,#REF!,8,FALSE),"")</f>
        <v/>
      </c>
      <c r="K339" s="25">
        <v>3</v>
      </c>
      <c r="L339" s="1" t="str">
        <f t="shared" si="1"/>
        <v>2016 FRIC 서양</v>
      </c>
      <c r="M339" s="1"/>
      <c r="N339" s="1"/>
      <c r="O339" s="1"/>
      <c r="P339" s="1"/>
      <c r="Q339" s="1"/>
      <c r="R339" s="1"/>
      <c r="S339" s="1"/>
      <c r="T339" s="1"/>
    </row>
    <row r="340" spans="1:20" ht="26.25" customHeight="1">
      <c r="A340" s="17">
        <f t="shared" si="0"/>
        <v>337</v>
      </c>
      <c r="B340" s="18" t="s">
        <v>37</v>
      </c>
      <c r="C340" s="19" t="s">
        <v>2045</v>
      </c>
      <c r="D340" s="19" t="s">
        <v>141</v>
      </c>
      <c r="E340" s="20" t="s">
        <v>2046</v>
      </c>
      <c r="F340" s="21" t="s">
        <v>2047</v>
      </c>
      <c r="G340" s="22" t="s">
        <v>42</v>
      </c>
      <c r="H340" s="23" t="s">
        <v>2048</v>
      </c>
      <c r="I340" s="24" t="s">
        <v>20</v>
      </c>
      <c r="J340" s="1" t="s">
        <v>21</v>
      </c>
      <c r="K340" s="25">
        <v>3</v>
      </c>
      <c r="L340" s="1" t="str">
        <f t="shared" si="1"/>
        <v/>
      </c>
      <c r="M340" s="1"/>
      <c r="N340" s="1"/>
      <c r="O340" s="1"/>
      <c r="P340" s="1"/>
      <c r="Q340" s="1"/>
      <c r="R340" s="1"/>
      <c r="S340" s="1"/>
      <c r="T340" s="1"/>
    </row>
    <row r="341" spans="1:20" ht="26.25" customHeight="1">
      <c r="A341" s="17">
        <f t="shared" si="0"/>
        <v>338</v>
      </c>
      <c r="B341" s="18" t="s">
        <v>27</v>
      </c>
      <c r="C341" s="19" t="s">
        <v>2049</v>
      </c>
      <c r="D341" s="19" t="s">
        <v>2050</v>
      </c>
      <c r="E341" s="20" t="s">
        <v>2051</v>
      </c>
      <c r="F341" s="21" t="s">
        <v>2052</v>
      </c>
      <c r="G341" s="22" t="s">
        <v>31</v>
      </c>
      <c r="H341" s="23" t="s">
        <v>2053</v>
      </c>
      <c r="I341" s="24" t="s">
        <v>20</v>
      </c>
      <c r="J341" s="1" t="s">
        <v>21</v>
      </c>
      <c r="K341" s="25">
        <v>3</v>
      </c>
      <c r="L341" s="1" t="str">
        <f t="shared" si="1"/>
        <v/>
      </c>
      <c r="M341" s="1"/>
      <c r="N341" s="1"/>
      <c r="O341" s="1"/>
      <c r="P341" s="1"/>
      <c r="Q341" s="1"/>
      <c r="R341" s="1"/>
      <c r="S341" s="1"/>
      <c r="T341" s="1"/>
    </row>
    <row r="342" spans="1:20" ht="26.25" customHeight="1">
      <c r="A342" s="17">
        <f t="shared" si="0"/>
        <v>339</v>
      </c>
      <c r="B342" s="18" t="s">
        <v>105</v>
      </c>
      <c r="C342" s="31" t="s">
        <v>2054</v>
      </c>
      <c r="D342" s="19" t="s">
        <v>2055</v>
      </c>
      <c r="E342" s="20" t="s">
        <v>2056</v>
      </c>
      <c r="F342" s="32" t="s">
        <v>2057</v>
      </c>
      <c r="G342" s="33" t="s">
        <v>42</v>
      </c>
      <c r="H342" s="23" t="s">
        <v>2058</v>
      </c>
      <c r="I342" s="24" t="s">
        <v>55</v>
      </c>
      <c r="J342" s="1" t="str">
        <f t="shared" ref="J342:J343" si="50">IFERROR(VLOOKUP(E342,#REF!,8,FALSE),"")</f>
        <v/>
      </c>
      <c r="K342" s="1"/>
      <c r="L342" s="1" t="str">
        <f t="shared" si="1"/>
        <v/>
      </c>
      <c r="M342" s="1"/>
      <c r="N342" s="1"/>
      <c r="O342" s="1"/>
      <c r="P342" s="1"/>
      <c r="Q342" s="1"/>
      <c r="R342" s="1"/>
      <c r="S342" s="1"/>
      <c r="T342" s="1"/>
    </row>
    <row r="343" spans="1:20" ht="26.25" customHeight="1">
      <c r="A343" s="17">
        <f t="shared" si="0"/>
        <v>340</v>
      </c>
      <c r="B343" s="18" t="s">
        <v>13</v>
      </c>
      <c r="C343" s="31" t="s">
        <v>1077</v>
      </c>
      <c r="D343" s="19" t="s">
        <v>939</v>
      </c>
      <c r="E343" s="20" t="s">
        <v>1079</v>
      </c>
      <c r="F343" s="32" t="s">
        <v>170</v>
      </c>
      <c r="G343" s="22" t="s">
        <v>42</v>
      </c>
      <c r="H343" s="23" t="s">
        <v>2059</v>
      </c>
      <c r="I343" s="24" t="s">
        <v>55</v>
      </c>
      <c r="J343" s="1" t="str">
        <f t="shared" si="50"/>
        <v/>
      </c>
      <c r="K343" s="25">
        <v>3</v>
      </c>
      <c r="L343" s="1" t="str">
        <f t="shared" si="1"/>
        <v>2020 FRIC 서양</v>
      </c>
      <c r="M343" s="1"/>
      <c r="N343" s="1"/>
      <c r="O343" s="1"/>
      <c r="P343" s="1"/>
      <c r="Q343" s="1"/>
      <c r="R343" s="1"/>
      <c r="S343" s="1"/>
      <c r="T343" s="1"/>
    </row>
    <row r="344" spans="1:20" ht="26.25" customHeight="1">
      <c r="A344" s="17">
        <f t="shared" si="0"/>
        <v>341</v>
      </c>
      <c r="B344" s="18" t="s">
        <v>37</v>
      </c>
      <c r="C344" s="19" t="s">
        <v>2060</v>
      </c>
      <c r="D344" s="19" t="s">
        <v>141</v>
      </c>
      <c r="E344" s="20" t="s">
        <v>2061</v>
      </c>
      <c r="F344" s="21" t="s">
        <v>2062</v>
      </c>
      <c r="G344" s="22" t="s">
        <v>42</v>
      </c>
      <c r="H344" s="23" t="s">
        <v>2063</v>
      </c>
      <c r="I344" s="24" t="s">
        <v>20</v>
      </c>
      <c r="J344" s="1" t="s">
        <v>21</v>
      </c>
      <c r="K344" s="25">
        <v>3</v>
      </c>
      <c r="L344" s="1" t="str">
        <f t="shared" si="1"/>
        <v/>
      </c>
      <c r="M344" s="1"/>
      <c r="N344" s="1"/>
      <c r="O344" s="1"/>
      <c r="P344" s="1"/>
      <c r="Q344" s="1"/>
      <c r="R344" s="1"/>
      <c r="S344" s="1"/>
      <c r="T344" s="1"/>
    </row>
    <row r="345" spans="1:20" ht="26.25" customHeight="1">
      <c r="A345" s="17">
        <f t="shared" si="0"/>
        <v>342</v>
      </c>
      <c r="B345" s="18" t="s">
        <v>13</v>
      </c>
      <c r="C345" s="19" t="s">
        <v>2064</v>
      </c>
      <c r="D345" s="19" t="s">
        <v>939</v>
      </c>
      <c r="E345" s="20" t="s">
        <v>2065</v>
      </c>
      <c r="F345" s="21" t="s">
        <v>135</v>
      </c>
      <c r="G345" s="22" t="s">
        <v>42</v>
      </c>
      <c r="H345" s="23" t="s">
        <v>2066</v>
      </c>
      <c r="I345" s="24" t="s">
        <v>20</v>
      </c>
      <c r="J345" s="1" t="s">
        <v>21</v>
      </c>
      <c r="K345" s="25">
        <v>3</v>
      </c>
      <c r="L345" s="1" t="str">
        <f t="shared" si="1"/>
        <v/>
      </c>
      <c r="M345" s="1"/>
      <c r="N345" s="1"/>
      <c r="O345" s="1"/>
      <c r="P345" s="1"/>
      <c r="Q345" s="1"/>
      <c r="R345" s="1"/>
      <c r="S345" s="1"/>
      <c r="T345" s="1"/>
    </row>
    <row r="346" spans="1:20" ht="26.25" customHeight="1">
      <c r="A346" s="17">
        <f t="shared" si="0"/>
        <v>343</v>
      </c>
      <c r="B346" s="18" t="s">
        <v>132</v>
      </c>
      <c r="C346" s="19" t="s">
        <v>2067</v>
      </c>
      <c r="D346" s="19" t="s">
        <v>2068</v>
      </c>
      <c r="E346" s="20" t="s">
        <v>2069</v>
      </c>
      <c r="F346" s="21" t="s">
        <v>905</v>
      </c>
      <c r="G346" s="22" t="s">
        <v>31</v>
      </c>
      <c r="H346" s="23" t="s">
        <v>2070</v>
      </c>
      <c r="I346" s="24" t="s">
        <v>20</v>
      </c>
      <c r="J346" s="1" t="s">
        <v>21</v>
      </c>
      <c r="K346" s="25">
        <v>3</v>
      </c>
      <c r="L346" s="1" t="str">
        <f t="shared" si="1"/>
        <v/>
      </c>
      <c r="M346" s="1"/>
      <c r="N346" s="1"/>
      <c r="O346" s="1"/>
      <c r="P346" s="1"/>
      <c r="Q346" s="1"/>
      <c r="R346" s="1"/>
      <c r="S346" s="1"/>
      <c r="T346" s="1"/>
    </row>
    <row r="347" spans="1:20" ht="26.25" customHeight="1">
      <c r="A347" s="17">
        <f t="shared" si="0"/>
        <v>344</v>
      </c>
      <c r="B347" s="18" t="s">
        <v>175</v>
      </c>
      <c r="C347" s="31" t="s">
        <v>2071</v>
      </c>
      <c r="D347" s="19" t="s">
        <v>2072</v>
      </c>
      <c r="E347" s="20" t="s">
        <v>2073</v>
      </c>
      <c r="F347" s="32" t="s">
        <v>2074</v>
      </c>
      <c r="G347" s="33" t="s">
        <v>42</v>
      </c>
      <c r="H347" s="23" t="s">
        <v>2075</v>
      </c>
      <c r="I347" s="24" t="s">
        <v>55</v>
      </c>
      <c r="J347" s="1" t="str">
        <f t="shared" ref="J347:J349" si="51">IFERROR(VLOOKUP(E347,#REF!,8,FALSE),"")</f>
        <v/>
      </c>
      <c r="K347" s="1"/>
      <c r="L347" s="1" t="str">
        <f t="shared" si="1"/>
        <v/>
      </c>
      <c r="M347" s="1"/>
      <c r="N347" s="1"/>
      <c r="O347" s="1"/>
      <c r="P347" s="1"/>
      <c r="Q347" s="1"/>
      <c r="R347" s="1"/>
      <c r="S347" s="1"/>
      <c r="T347" s="1"/>
    </row>
    <row r="348" spans="1:20" ht="26.25" customHeight="1">
      <c r="A348" s="17">
        <f t="shared" si="0"/>
        <v>345</v>
      </c>
      <c r="B348" s="18" t="s">
        <v>132</v>
      </c>
      <c r="C348" s="31" t="s">
        <v>2076</v>
      </c>
      <c r="D348" s="19" t="s">
        <v>447</v>
      </c>
      <c r="E348" s="20" t="s">
        <v>2077</v>
      </c>
      <c r="F348" s="32" t="s">
        <v>416</v>
      </c>
      <c r="G348" s="22" t="s">
        <v>31</v>
      </c>
      <c r="H348" s="23" t="s">
        <v>2078</v>
      </c>
      <c r="I348" s="24" t="s">
        <v>55</v>
      </c>
      <c r="J348" s="1" t="str">
        <f t="shared" si="51"/>
        <v/>
      </c>
      <c r="K348" s="1"/>
      <c r="L348" s="1" t="str">
        <f t="shared" si="1"/>
        <v/>
      </c>
      <c r="M348" s="1"/>
      <c r="N348" s="1"/>
      <c r="O348" s="1"/>
      <c r="P348" s="1"/>
      <c r="Q348" s="1"/>
      <c r="R348" s="1"/>
      <c r="S348" s="1"/>
      <c r="T348" s="1"/>
    </row>
    <row r="349" spans="1:20" ht="26.25" customHeight="1">
      <c r="A349" s="17">
        <f t="shared" si="0"/>
        <v>346</v>
      </c>
      <c r="B349" s="18" t="s">
        <v>81</v>
      </c>
      <c r="C349" s="31" t="s">
        <v>2079</v>
      </c>
      <c r="D349" s="19" t="s">
        <v>939</v>
      </c>
      <c r="E349" s="20" t="s">
        <v>2080</v>
      </c>
      <c r="F349" s="32" t="s">
        <v>2081</v>
      </c>
      <c r="G349" s="33" t="s">
        <v>42</v>
      </c>
      <c r="H349" s="23" t="s">
        <v>2082</v>
      </c>
      <c r="I349" s="24" t="s">
        <v>55</v>
      </c>
      <c r="J349" s="1" t="str">
        <f t="shared" si="51"/>
        <v/>
      </c>
      <c r="K349" s="1"/>
      <c r="L349" s="1" t="str">
        <f t="shared" si="1"/>
        <v/>
      </c>
      <c r="M349" s="1"/>
      <c r="N349" s="1"/>
      <c r="O349" s="1"/>
      <c r="P349" s="1"/>
      <c r="Q349" s="1"/>
      <c r="R349" s="1"/>
      <c r="S349" s="1"/>
      <c r="T349" s="1"/>
    </row>
    <row r="350" spans="1:20" ht="26.25" customHeight="1">
      <c r="A350" s="17">
        <f t="shared" si="0"/>
        <v>347</v>
      </c>
      <c r="B350" s="18" t="s">
        <v>13</v>
      </c>
      <c r="C350" s="19" t="s">
        <v>2083</v>
      </c>
      <c r="D350" s="19" t="s">
        <v>939</v>
      </c>
      <c r="E350" s="20" t="s">
        <v>2084</v>
      </c>
      <c r="F350" s="21" t="s">
        <v>2085</v>
      </c>
      <c r="G350" s="22" t="s">
        <v>42</v>
      </c>
      <c r="H350" s="23" t="s">
        <v>2086</v>
      </c>
      <c r="I350" s="24" t="s">
        <v>20</v>
      </c>
      <c r="J350" s="1" t="s">
        <v>21</v>
      </c>
      <c r="K350" s="25">
        <v>3</v>
      </c>
      <c r="L350" s="1" t="str">
        <f t="shared" si="1"/>
        <v/>
      </c>
      <c r="M350" s="1"/>
      <c r="N350" s="1"/>
      <c r="O350" s="1"/>
      <c r="P350" s="1"/>
      <c r="Q350" s="1"/>
      <c r="R350" s="1"/>
      <c r="S350" s="1"/>
      <c r="T350" s="1"/>
    </row>
    <row r="351" spans="1:20" ht="26.25" customHeight="1">
      <c r="A351" s="17">
        <f t="shared" si="0"/>
        <v>348</v>
      </c>
      <c r="B351" s="18" t="s">
        <v>105</v>
      </c>
      <c r="C351" s="31" t="s">
        <v>2087</v>
      </c>
      <c r="D351" s="19" t="s">
        <v>374</v>
      </c>
      <c r="E351" s="20" t="s">
        <v>2088</v>
      </c>
      <c r="F351" s="32" t="s">
        <v>2089</v>
      </c>
      <c r="G351" s="33" t="s">
        <v>42</v>
      </c>
      <c r="H351" s="23" t="s">
        <v>2090</v>
      </c>
      <c r="I351" s="24" t="s">
        <v>55</v>
      </c>
      <c r="J351" s="1" t="str">
        <f t="shared" ref="J351:J355" si="52">IFERROR(VLOOKUP(E351,#REF!,8,FALSE),"")</f>
        <v/>
      </c>
      <c r="K351" s="1"/>
      <c r="L351" s="1" t="str">
        <f t="shared" si="1"/>
        <v/>
      </c>
      <c r="M351" s="1"/>
      <c r="N351" s="1"/>
      <c r="O351" s="1"/>
      <c r="P351" s="1"/>
      <c r="Q351" s="1"/>
      <c r="R351" s="1"/>
      <c r="S351" s="1"/>
      <c r="T351" s="1"/>
    </row>
    <row r="352" spans="1:20" ht="26.25" customHeight="1">
      <c r="A352" s="17">
        <f t="shared" si="0"/>
        <v>349</v>
      </c>
      <c r="B352" s="18" t="s">
        <v>105</v>
      </c>
      <c r="C352" s="31" t="s">
        <v>2091</v>
      </c>
      <c r="D352" s="19" t="s">
        <v>2092</v>
      </c>
      <c r="E352" s="20" t="s">
        <v>2093</v>
      </c>
      <c r="F352" s="32" t="s">
        <v>2094</v>
      </c>
      <c r="G352" s="33" t="s">
        <v>42</v>
      </c>
      <c r="H352" s="23" t="s">
        <v>2095</v>
      </c>
      <c r="I352" s="24" t="s">
        <v>55</v>
      </c>
      <c r="J352" s="1" t="str">
        <f t="shared" si="52"/>
        <v/>
      </c>
      <c r="K352" s="1"/>
      <c r="L352" s="1" t="str">
        <f t="shared" si="1"/>
        <v/>
      </c>
      <c r="M352" s="1"/>
      <c r="N352" s="1"/>
      <c r="O352" s="1"/>
      <c r="P352" s="1"/>
      <c r="Q352" s="1"/>
      <c r="R352" s="1"/>
      <c r="S352" s="1"/>
      <c r="T352" s="1"/>
    </row>
    <row r="353" spans="1:20" ht="26.25" customHeight="1">
      <c r="A353" s="17">
        <f t="shared" si="0"/>
        <v>350</v>
      </c>
      <c r="B353" s="18" t="s">
        <v>132</v>
      </c>
      <c r="C353" s="31" t="s">
        <v>2096</v>
      </c>
      <c r="D353" s="19" t="s">
        <v>447</v>
      </c>
      <c r="E353" s="20" t="s">
        <v>2097</v>
      </c>
      <c r="F353" s="32" t="s">
        <v>2098</v>
      </c>
      <c r="G353" s="22" t="s">
        <v>31</v>
      </c>
      <c r="H353" s="23" t="s">
        <v>2099</v>
      </c>
      <c r="I353" s="24" t="s">
        <v>55</v>
      </c>
      <c r="J353" s="1" t="str">
        <f t="shared" si="52"/>
        <v/>
      </c>
      <c r="K353" s="1"/>
      <c r="L353" s="1" t="str">
        <f t="shared" si="1"/>
        <v/>
      </c>
      <c r="M353" s="1"/>
      <c r="N353" s="1"/>
      <c r="O353" s="1"/>
      <c r="P353" s="1"/>
      <c r="Q353" s="1"/>
      <c r="R353" s="1"/>
      <c r="S353" s="1"/>
      <c r="T353" s="1"/>
    </row>
    <row r="354" spans="1:20" ht="26.25" customHeight="1">
      <c r="A354" s="17">
        <f t="shared" si="0"/>
        <v>351</v>
      </c>
      <c r="B354" s="18" t="s">
        <v>37</v>
      </c>
      <c r="C354" s="31" t="s">
        <v>865</v>
      </c>
      <c r="D354" s="19" t="s">
        <v>277</v>
      </c>
      <c r="E354" s="20" t="s">
        <v>866</v>
      </c>
      <c r="F354" s="32" t="s">
        <v>2100</v>
      </c>
      <c r="G354" s="22" t="s">
        <v>42</v>
      </c>
      <c r="H354" s="23" t="s">
        <v>2101</v>
      </c>
      <c r="I354" s="24" t="s">
        <v>55</v>
      </c>
      <c r="J354" s="1" t="str">
        <f t="shared" si="52"/>
        <v/>
      </c>
      <c r="K354" s="25">
        <v>3</v>
      </c>
      <c r="L354" s="1" t="str">
        <f t="shared" si="1"/>
        <v>2020 FRIC 서양</v>
      </c>
      <c r="M354" s="1"/>
      <c r="N354" s="1"/>
      <c r="O354" s="1"/>
      <c r="P354" s="1"/>
      <c r="Q354" s="1"/>
      <c r="R354" s="1"/>
      <c r="S354" s="1"/>
      <c r="T354" s="1"/>
    </row>
    <row r="355" spans="1:20" ht="26.25" customHeight="1">
      <c r="A355" s="17">
        <f t="shared" si="0"/>
        <v>352</v>
      </c>
      <c r="B355" s="18" t="s">
        <v>48</v>
      </c>
      <c r="C355" s="31" t="s">
        <v>2102</v>
      </c>
      <c r="D355" s="19" t="s">
        <v>447</v>
      </c>
      <c r="E355" s="20" t="s">
        <v>2103</v>
      </c>
      <c r="F355" s="32" t="s">
        <v>416</v>
      </c>
      <c r="G355" s="33" t="s">
        <v>31</v>
      </c>
      <c r="H355" s="23" t="s">
        <v>2104</v>
      </c>
      <c r="I355" s="24" t="s">
        <v>55</v>
      </c>
      <c r="J355" s="1" t="str">
        <f t="shared" si="52"/>
        <v/>
      </c>
      <c r="K355" s="1"/>
      <c r="L355" s="1" t="str">
        <f t="shared" si="1"/>
        <v/>
      </c>
      <c r="M355" s="1"/>
      <c r="N355" s="1"/>
      <c r="O355" s="1"/>
      <c r="P355" s="1"/>
      <c r="Q355" s="1"/>
      <c r="R355" s="1"/>
      <c r="S355" s="1"/>
      <c r="T355" s="1"/>
    </row>
    <row r="356" spans="1:20" ht="26.25" customHeight="1">
      <c r="A356" s="17">
        <f t="shared" si="0"/>
        <v>353</v>
      </c>
      <c r="B356" s="18" t="s">
        <v>105</v>
      </c>
      <c r="C356" s="19" t="s">
        <v>2105</v>
      </c>
      <c r="D356" s="19" t="s">
        <v>124</v>
      </c>
      <c r="E356" s="20" t="s">
        <v>2106</v>
      </c>
      <c r="F356" s="21" t="s">
        <v>905</v>
      </c>
      <c r="G356" s="33" t="s">
        <v>42</v>
      </c>
      <c r="H356" s="23" t="s">
        <v>2107</v>
      </c>
      <c r="I356" s="24" t="s">
        <v>20</v>
      </c>
      <c r="J356" s="1" t="s">
        <v>21</v>
      </c>
      <c r="K356" s="25">
        <v>3</v>
      </c>
      <c r="L356" s="1" t="str">
        <f t="shared" si="1"/>
        <v/>
      </c>
      <c r="M356" s="1"/>
      <c r="N356" s="1"/>
      <c r="O356" s="1"/>
      <c r="P356" s="1"/>
      <c r="Q356" s="1"/>
      <c r="R356" s="1"/>
      <c r="S356" s="1"/>
      <c r="T356" s="1"/>
    </row>
    <row r="357" spans="1:20" ht="26.25" customHeight="1">
      <c r="A357" s="17">
        <f t="shared" si="0"/>
        <v>354</v>
      </c>
      <c r="B357" s="18" t="s">
        <v>146</v>
      </c>
      <c r="C357" s="19" t="s">
        <v>2108</v>
      </c>
      <c r="D357" s="19" t="s">
        <v>939</v>
      </c>
      <c r="E357" s="20" t="s">
        <v>2109</v>
      </c>
      <c r="F357" s="21" t="s">
        <v>2110</v>
      </c>
      <c r="G357" s="33" t="s">
        <v>42</v>
      </c>
      <c r="H357" s="23" t="s">
        <v>2111</v>
      </c>
      <c r="I357" s="24" t="s">
        <v>20</v>
      </c>
      <c r="J357" s="1" t="s">
        <v>21</v>
      </c>
      <c r="K357" s="25">
        <v>3</v>
      </c>
      <c r="L357" s="1" t="str">
        <f t="shared" si="1"/>
        <v/>
      </c>
      <c r="M357" s="1"/>
      <c r="N357" s="1"/>
      <c r="O357" s="1"/>
      <c r="P357" s="1"/>
      <c r="Q357" s="1"/>
      <c r="R357" s="1"/>
      <c r="S357" s="1"/>
      <c r="T357" s="1"/>
    </row>
    <row r="358" spans="1:20" ht="26.25" customHeight="1">
      <c r="A358" s="17">
        <f t="shared" si="0"/>
        <v>355</v>
      </c>
      <c r="B358" s="18" t="s">
        <v>146</v>
      </c>
      <c r="C358" s="19" t="s">
        <v>2112</v>
      </c>
      <c r="D358" s="19" t="s">
        <v>447</v>
      </c>
      <c r="E358" s="20" t="s">
        <v>2113</v>
      </c>
      <c r="F358" s="21" t="s">
        <v>135</v>
      </c>
      <c r="G358" s="33" t="s">
        <v>42</v>
      </c>
      <c r="H358" s="23" t="s">
        <v>2114</v>
      </c>
      <c r="I358" s="24" t="s">
        <v>20</v>
      </c>
      <c r="J358" s="1" t="s">
        <v>21</v>
      </c>
      <c r="K358" s="25">
        <v>3</v>
      </c>
      <c r="L358" s="1" t="str">
        <f t="shared" si="1"/>
        <v/>
      </c>
      <c r="M358" s="1"/>
      <c r="N358" s="1"/>
      <c r="O358" s="1"/>
      <c r="P358" s="1"/>
      <c r="Q358" s="1"/>
      <c r="R358" s="1"/>
      <c r="S358" s="1"/>
      <c r="T358" s="1"/>
    </row>
    <row r="359" spans="1:20" ht="26.25" customHeight="1">
      <c r="A359" s="17">
        <f t="shared" si="0"/>
        <v>356</v>
      </c>
      <c r="B359" s="18" t="s">
        <v>248</v>
      </c>
      <c r="C359" s="19" t="s">
        <v>1710</v>
      </c>
      <c r="D359" s="19" t="s">
        <v>124</v>
      </c>
      <c r="E359" s="20" t="s">
        <v>1711</v>
      </c>
      <c r="F359" s="32" t="s">
        <v>52</v>
      </c>
      <c r="G359" s="33" t="s">
        <v>42</v>
      </c>
      <c r="H359" s="23" t="s">
        <v>2115</v>
      </c>
      <c r="I359" s="34" t="s">
        <v>55</v>
      </c>
      <c r="J359" s="1" t="str">
        <f>IFERROR(VLOOKUP(E359,#REF!,8,FALSE),"")</f>
        <v/>
      </c>
      <c r="K359" s="25">
        <v>3</v>
      </c>
      <c r="L359" s="1" t="str">
        <f t="shared" si="1"/>
        <v>2021 FRIC 서양</v>
      </c>
      <c r="M359" s="25"/>
      <c r="N359" s="25"/>
      <c r="O359" s="25"/>
      <c r="P359" s="25"/>
      <c r="Q359" s="25"/>
      <c r="R359" s="25"/>
      <c r="S359" s="25"/>
      <c r="T359" s="25"/>
    </row>
    <row r="360" spans="1:20" ht="26.25" customHeight="1">
      <c r="A360" s="17">
        <f t="shared" si="0"/>
        <v>357</v>
      </c>
      <c r="B360" s="18" t="s">
        <v>132</v>
      </c>
      <c r="C360" s="19" t="s">
        <v>2116</v>
      </c>
      <c r="D360" s="19" t="s">
        <v>447</v>
      </c>
      <c r="E360" s="20" t="s">
        <v>2117</v>
      </c>
      <c r="F360" s="21" t="s">
        <v>933</v>
      </c>
      <c r="G360" s="22" t="s">
        <v>42</v>
      </c>
      <c r="H360" s="23" t="s">
        <v>2118</v>
      </c>
      <c r="I360" s="24" t="s">
        <v>20</v>
      </c>
      <c r="J360" s="1" t="s">
        <v>21</v>
      </c>
      <c r="K360" s="25">
        <v>3</v>
      </c>
      <c r="L360" s="1" t="str">
        <f t="shared" si="1"/>
        <v/>
      </c>
      <c r="M360" s="1"/>
      <c r="N360" s="1"/>
      <c r="O360" s="1"/>
      <c r="P360" s="1"/>
      <c r="Q360" s="1"/>
      <c r="R360" s="1"/>
      <c r="S360" s="1"/>
      <c r="T360" s="1"/>
    </row>
    <row r="361" spans="1:20" ht="26.25" customHeight="1">
      <c r="A361" s="17">
        <f t="shared" si="0"/>
        <v>358</v>
      </c>
      <c r="B361" s="18" t="s">
        <v>37</v>
      </c>
      <c r="C361" s="19" t="s">
        <v>2119</v>
      </c>
      <c r="D361" s="19" t="s">
        <v>447</v>
      </c>
      <c r="E361" s="20" t="s">
        <v>2120</v>
      </c>
      <c r="F361" s="21" t="s">
        <v>2121</v>
      </c>
      <c r="G361" s="22" t="s">
        <v>42</v>
      </c>
      <c r="H361" s="23" t="s">
        <v>2122</v>
      </c>
      <c r="I361" s="24" t="s">
        <v>20</v>
      </c>
      <c r="J361" s="1" t="s">
        <v>21</v>
      </c>
      <c r="K361" s="25">
        <v>3</v>
      </c>
      <c r="L361" s="1" t="str">
        <f t="shared" si="1"/>
        <v/>
      </c>
      <c r="M361" s="1"/>
      <c r="N361" s="1"/>
      <c r="O361" s="1"/>
      <c r="P361" s="1"/>
      <c r="Q361" s="1"/>
      <c r="R361" s="1"/>
      <c r="S361" s="1"/>
      <c r="T361" s="1"/>
    </row>
    <row r="362" spans="1:20" ht="26.25" customHeight="1">
      <c r="A362" s="17">
        <f t="shared" si="0"/>
        <v>359</v>
      </c>
      <c r="B362" s="18" t="s">
        <v>132</v>
      </c>
      <c r="C362" s="19" t="s">
        <v>2123</v>
      </c>
      <c r="D362" s="19" t="s">
        <v>939</v>
      </c>
      <c r="E362" s="20" t="s">
        <v>2124</v>
      </c>
      <c r="F362" s="21" t="s">
        <v>2121</v>
      </c>
      <c r="G362" s="22" t="s">
        <v>42</v>
      </c>
      <c r="H362" s="23" t="s">
        <v>2125</v>
      </c>
      <c r="I362" s="24" t="s">
        <v>20</v>
      </c>
      <c r="J362" s="1" t="s">
        <v>21</v>
      </c>
      <c r="K362" s="25">
        <v>3</v>
      </c>
      <c r="L362" s="1" t="str">
        <f t="shared" si="1"/>
        <v/>
      </c>
      <c r="M362" s="1"/>
      <c r="N362" s="1"/>
      <c r="O362" s="1"/>
      <c r="P362" s="1"/>
      <c r="Q362" s="1"/>
      <c r="R362" s="1"/>
      <c r="S362" s="1"/>
      <c r="T362" s="1"/>
    </row>
    <row r="363" spans="1:20" ht="26.25" customHeight="1">
      <c r="A363" s="17">
        <f t="shared" si="0"/>
        <v>360</v>
      </c>
      <c r="B363" s="18" t="s">
        <v>132</v>
      </c>
      <c r="C363" s="31" t="s">
        <v>102</v>
      </c>
      <c r="D363" s="19" t="s">
        <v>588</v>
      </c>
      <c r="E363" s="20" t="s">
        <v>104</v>
      </c>
      <c r="F363" s="32" t="s">
        <v>962</v>
      </c>
      <c r="G363" s="22" t="s">
        <v>42</v>
      </c>
      <c r="H363" s="23" t="s">
        <v>2126</v>
      </c>
      <c r="I363" s="24" t="s">
        <v>55</v>
      </c>
      <c r="J363" s="1" t="str">
        <f>IFERROR(VLOOKUP(E363,#REF!,8,FALSE),"")</f>
        <v/>
      </c>
      <c r="K363" s="25">
        <v>3</v>
      </c>
      <c r="L363" s="1" t="str">
        <f t="shared" si="1"/>
        <v>2016 FRIC 서양</v>
      </c>
      <c r="M363" s="1"/>
      <c r="N363" s="1"/>
      <c r="O363" s="1"/>
      <c r="P363" s="1"/>
      <c r="Q363" s="1"/>
      <c r="R363" s="1"/>
      <c r="S363" s="1"/>
      <c r="T363" s="1"/>
    </row>
    <row r="364" spans="1:20" ht="26.25" customHeight="1">
      <c r="A364" s="17">
        <f t="shared" si="0"/>
        <v>361</v>
      </c>
      <c r="B364" s="18" t="s">
        <v>1197</v>
      </c>
      <c r="C364" s="19" t="s">
        <v>2127</v>
      </c>
      <c r="D364" s="19" t="s">
        <v>939</v>
      </c>
      <c r="E364" s="20" t="s">
        <v>2128</v>
      </c>
      <c r="F364" s="21" t="s">
        <v>2129</v>
      </c>
      <c r="G364" s="33" t="s">
        <v>42</v>
      </c>
      <c r="H364" s="23" t="s">
        <v>2130</v>
      </c>
      <c r="I364" s="24" t="s">
        <v>20</v>
      </c>
      <c r="J364" s="1" t="s">
        <v>21</v>
      </c>
      <c r="K364" s="25">
        <v>3</v>
      </c>
      <c r="L364" s="1" t="str">
        <f t="shared" si="1"/>
        <v/>
      </c>
      <c r="M364" s="1"/>
      <c r="N364" s="1"/>
      <c r="O364" s="1"/>
      <c r="P364" s="1"/>
      <c r="Q364" s="1"/>
      <c r="R364" s="1"/>
      <c r="S364" s="1"/>
      <c r="T364" s="1"/>
    </row>
    <row r="365" spans="1:20" ht="26.25" customHeight="1">
      <c r="A365" s="17">
        <f t="shared" si="0"/>
        <v>362</v>
      </c>
      <c r="B365" s="18" t="s">
        <v>105</v>
      </c>
      <c r="C365" s="31" t="s">
        <v>2131</v>
      </c>
      <c r="D365" s="19" t="s">
        <v>2132</v>
      </c>
      <c r="E365" s="20" t="s">
        <v>2133</v>
      </c>
      <c r="F365" s="32" t="s">
        <v>519</v>
      </c>
      <c r="G365" s="33" t="s">
        <v>42</v>
      </c>
      <c r="H365" s="23" t="s">
        <v>2134</v>
      </c>
      <c r="I365" s="24" t="s">
        <v>55</v>
      </c>
      <c r="J365" s="1" t="str">
        <f t="shared" ref="J365:J367" si="53">IFERROR(VLOOKUP(E365,#REF!,8,FALSE),"")</f>
        <v/>
      </c>
      <c r="K365" s="1"/>
      <c r="L365" s="1" t="str">
        <f t="shared" si="1"/>
        <v/>
      </c>
      <c r="M365" s="1"/>
      <c r="N365" s="1"/>
      <c r="O365" s="1"/>
      <c r="P365" s="1"/>
      <c r="Q365" s="1"/>
      <c r="R365" s="1"/>
      <c r="S365" s="1"/>
      <c r="T365" s="1"/>
    </row>
    <row r="366" spans="1:20" ht="26.25" customHeight="1">
      <c r="A366" s="17">
        <f t="shared" si="0"/>
        <v>363</v>
      </c>
      <c r="B366" s="18" t="s">
        <v>175</v>
      </c>
      <c r="C366" s="31" t="s">
        <v>2135</v>
      </c>
      <c r="D366" s="19" t="s">
        <v>374</v>
      </c>
      <c r="E366" s="20" t="s">
        <v>2136</v>
      </c>
      <c r="F366" s="32" t="s">
        <v>2137</v>
      </c>
      <c r="G366" s="33" t="s">
        <v>42</v>
      </c>
      <c r="H366" s="23" t="s">
        <v>2138</v>
      </c>
      <c r="I366" s="24" t="s">
        <v>55</v>
      </c>
      <c r="J366" s="1" t="str">
        <f t="shared" si="53"/>
        <v/>
      </c>
      <c r="K366" s="1"/>
      <c r="L366" s="1" t="str">
        <f t="shared" si="1"/>
        <v/>
      </c>
      <c r="M366" s="1"/>
      <c r="N366" s="1"/>
      <c r="O366" s="1"/>
      <c r="P366" s="1"/>
      <c r="Q366" s="1"/>
      <c r="R366" s="1"/>
      <c r="S366" s="1"/>
      <c r="T366" s="1"/>
    </row>
    <row r="367" spans="1:20" ht="26.25" customHeight="1">
      <c r="A367" s="17">
        <f t="shared" si="0"/>
        <v>364</v>
      </c>
      <c r="B367" s="18" t="s">
        <v>27</v>
      </c>
      <c r="C367" s="31" t="s">
        <v>2139</v>
      </c>
      <c r="D367" s="19" t="s">
        <v>124</v>
      </c>
      <c r="E367" s="20" t="s">
        <v>2140</v>
      </c>
      <c r="F367" s="32" t="s">
        <v>542</v>
      </c>
      <c r="G367" s="22" t="s">
        <v>42</v>
      </c>
      <c r="H367" s="23" t="s">
        <v>2141</v>
      </c>
      <c r="I367" s="24" t="s">
        <v>55</v>
      </c>
      <c r="J367" s="1" t="str">
        <f t="shared" si="53"/>
        <v/>
      </c>
      <c r="K367" s="1"/>
      <c r="L367" s="1" t="str">
        <f t="shared" si="1"/>
        <v/>
      </c>
      <c r="M367" s="1"/>
      <c r="N367" s="1"/>
      <c r="O367" s="1"/>
      <c r="P367" s="1"/>
      <c r="Q367" s="1"/>
      <c r="R367" s="1"/>
      <c r="S367" s="1"/>
      <c r="T367" s="1"/>
    </row>
    <row r="368" spans="1:20" ht="26.25" customHeight="1">
      <c r="A368" s="17">
        <f t="shared" si="0"/>
        <v>365</v>
      </c>
      <c r="B368" s="18" t="s">
        <v>1368</v>
      </c>
      <c r="C368" s="31" t="s">
        <v>2142</v>
      </c>
      <c r="D368" s="19" t="s">
        <v>2143</v>
      </c>
      <c r="E368" s="20" t="s">
        <v>2144</v>
      </c>
      <c r="F368" s="21" t="s">
        <v>1075</v>
      </c>
      <c r="G368" s="33" t="s">
        <v>53</v>
      </c>
      <c r="H368" s="23" t="s">
        <v>2145</v>
      </c>
      <c r="I368" s="24" t="s">
        <v>20</v>
      </c>
      <c r="J368" s="1" t="s">
        <v>87</v>
      </c>
      <c r="K368" s="25">
        <v>4</v>
      </c>
      <c r="L368" s="1" t="str">
        <f t="shared" si="1"/>
        <v/>
      </c>
      <c r="M368" s="1"/>
      <c r="N368" s="1"/>
      <c r="O368" s="1"/>
      <c r="P368" s="1"/>
      <c r="Q368" s="1"/>
      <c r="R368" s="1"/>
      <c r="S368" s="1"/>
      <c r="T368" s="1"/>
    </row>
    <row r="369" spans="1:20" ht="26.25" customHeight="1">
      <c r="A369" s="17">
        <f t="shared" si="0"/>
        <v>366</v>
      </c>
      <c r="B369" s="18" t="s">
        <v>37</v>
      </c>
      <c r="C369" s="31" t="s">
        <v>2146</v>
      </c>
      <c r="D369" s="19" t="s">
        <v>141</v>
      </c>
      <c r="E369" s="20" t="s">
        <v>2147</v>
      </c>
      <c r="F369" s="32" t="s">
        <v>542</v>
      </c>
      <c r="G369" s="22" t="s">
        <v>53</v>
      </c>
      <c r="H369" s="23" t="s">
        <v>2148</v>
      </c>
      <c r="I369" s="24" t="s">
        <v>55</v>
      </c>
      <c r="J369" s="1" t="str">
        <f>IFERROR(VLOOKUP(E369,#REF!,8,FALSE),"")</f>
        <v/>
      </c>
      <c r="K369" s="1"/>
      <c r="L369" s="1" t="str">
        <f t="shared" si="1"/>
        <v/>
      </c>
      <c r="M369" s="1"/>
      <c r="N369" s="1"/>
      <c r="O369" s="1"/>
      <c r="P369" s="1"/>
      <c r="Q369" s="1"/>
      <c r="R369" s="1"/>
      <c r="S369" s="1"/>
      <c r="T369" s="1"/>
    </row>
    <row r="370" spans="1:20" ht="26.25" customHeight="1">
      <c r="A370" s="17">
        <f t="shared" si="0"/>
        <v>367</v>
      </c>
      <c r="B370" s="18" t="s">
        <v>248</v>
      </c>
      <c r="C370" s="19" t="s">
        <v>2149</v>
      </c>
      <c r="D370" s="19" t="s">
        <v>447</v>
      </c>
      <c r="E370" s="20" t="s">
        <v>2150</v>
      </c>
      <c r="F370" s="21" t="s">
        <v>2151</v>
      </c>
      <c r="G370" s="33" t="s">
        <v>42</v>
      </c>
      <c r="H370" s="23" t="s">
        <v>2152</v>
      </c>
      <c r="I370" s="24" t="s">
        <v>20</v>
      </c>
      <c r="J370" s="1" t="s">
        <v>21</v>
      </c>
      <c r="K370" s="25">
        <v>3</v>
      </c>
      <c r="L370" s="1" t="str">
        <f t="shared" si="1"/>
        <v/>
      </c>
      <c r="M370" s="1"/>
      <c r="N370" s="1"/>
      <c r="O370" s="1"/>
      <c r="P370" s="1"/>
      <c r="Q370" s="1"/>
      <c r="R370" s="1"/>
      <c r="S370" s="1"/>
      <c r="T370" s="1"/>
    </row>
    <row r="371" spans="1:20" ht="26.25" customHeight="1">
      <c r="A371" s="17">
        <f t="shared" si="0"/>
        <v>368</v>
      </c>
      <c r="B371" s="18" t="s">
        <v>13</v>
      </c>
      <c r="C371" s="19" t="s">
        <v>2153</v>
      </c>
      <c r="D371" s="19" t="s">
        <v>939</v>
      </c>
      <c r="E371" s="20" t="s">
        <v>2154</v>
      </c>
      <c r="F371" s="21" t="s">
        <v>229</v>
      </c>
      <c r="G371" s="22" t="s">
        <v>42</v>
      </c>
      <c r="H371" s="23" t="s">
        <v>2155</v>
      </c>
      <c r="I371" s="24" t="s">
        <v>20</v>
      </c>
      <c r="J371" s="1" t="s">
        <v>21</v>
      </c>
      <c r="K371" s="25">
        <v>3</v>
      </c>
      <c r="L371" s="1" t="str">
        <f t="shared" si="1"/>
        <v/>
      </c>
      <c r="M371" s="1"/>
      <c r="N371" s="1"/>
      <c r="O371" s="1"/>
      <c r="P371" s="1"/>
      <c r="Q371" s="1"/>
      <c r="R371" s="1"/>
      <c r="S371" s="1"/>
      <c r="T371" s="1"/>
    </row>
    <row r="372" spans="1:20" ht="26.25" customHeight="1">
      <c r="A372" s="17">
        <f t="shared" si="0"/>
        <v>369</v>
      </c>
      <c r="B372" s="18" t="s">
        <v>233</v>
      </c>
      <c r="C372" s="31" t="s">
        <v>585</v>
      </c>
      <c r="D372" s="19" t="s">
        <v>2156</v>
      </c>
      <c r="E372" s="20" t="s">
        <v>586</v>
      </c>
      <c r="F372" s="32" t="s">
        <v>2157</v>
      </c>
      <c r="G372" s="22" t="s">
        <v>42</v>
      </c>
      <c r="H372" s="23" t="s">
        <v>2158</v>
      </c>
      <c r="I372" s="24" t="s">
        <v>55</v>
      </c>
      <c r="J372" s="1" t="str">
        <f>IFERROR(VLOOKUP(E372,#REF!,8,FALSE),"")</f>
        <v/>
      </c>
      <c r="K372" s="25">
        <v>3</v>
      </c>
      <c r="L372" s="1" t="str">
        <f t="shared" si="1"/>
        <v>2019 FRIC 서양</v>
      </c>
      <c r="M372" s="1"/>
      <c r="N372" s="1"/>
      <c r="O372" s="1"/>
      <c r="P372" s="1"/>
      <c r="Q372" s="1"/>
      <c r="R372" s="1"/>
      <c r="S372" s="1"/>
      <c r="T372" s="1"/>
    </row>
    <row r="373" spans="1:20" ht="26.25" customHeight="1">
      <c r="A373" s="17">
        <f t="shared" si="0"/>
        <v>370</v>
      </c>
      <c r="B373" s="18" t="s">
        <v>132</v>
      </c>
      <c r="C373" s="19" t="s">
        <v>2159</v>
      </c>
      <c r="D373" s="19" t="s">
        <v>447</v>
      </c>
      <c r="E373" s="20" t="s">
        <v>2160</v>
      </c>
      <c r="F373" s="21" t="s">
        <v>2161</v>
      </c>
      <c r="G373" s="22" t="s">
        <v>42</v>
      </c>
      <c r="H373" s="23" t="s">
        <v>2162</v>
      </c>
      <c r="I373" s="24" t="s">
        <v>20</v>
      </c>
      <c r="J373" s="1" t="s">
        <v>21</v>
      </c>
      <c r="K373" s="25">
        <v>3</v>
      </c>
      <c r="L373" s="1" t="str">
        <f t="shared" si="1"/>
        <v/>
      </c>
      <c r="M373" s="1"/>
      <c r="N373" s="1"/>
      <c r="O373" s="1"/>
      <c r="P373" s="1"/>
      <c r="Q373" s="1"/>
      <c r="R373" s="1"/>
      <c r="S373" s="1"/>
      <c r="T373" s="1"/>
    </row>
    <row r="374" spans="1:20" ht="26.25" customHeight="1">
      <c r="A374" s="17">
        <f t="shared" si="0"/>
        <v>371</v>
      </c>
      <c r="B374" s="18" t="s">
        <v>175</v>
      </c>
      <c r="C374" s="31" t="s">
        <v>2163</v>
      </c>
      <c r="D374" s="19" t="s">
        <v>2164</v>
      </c>
      <c r="E374" s="20" t="s">
        <v>2165</v>
      </c>
      <c r="F374" s="32" t="s">
        <v>2166</v>
      </c>
      <c r="G374" s="33" t="s">
        <v>42</v>
      </c>
      <c r="H374" s="23" t="s">
        <v>2167</v>
      </c>
      <c r="I374" s="24" t="s">
        <v>55</v>
      </c>
      <c r="J374" s="1" t="str">
        <f>IFERROR(VLOOKUP(E374,#REF!,8,FALSE),"")</f>
        <v/>
      </c>
      <c r="K374" s="1"/>
      <c r="L374" s="1" t="str">
        <f t="shared" si="1"/>
        <v/>
      </c>
      <c r="M374" s="1"/>
      <c r="N374" s="1"/>
      <c r="O374" s="1"/>
      <c r="P374" s="1"/>
      <c r="Q374" s="1"/>
      <c r="R374" s="1"/>
      <c r="S374" s="1"/>
      <c r="T374" s="1"/>
    </row>
    <row r="375" spans="1:20" ht="26.25" customHeight="1">
      <c r="A375" s="17">
        <f t="shared" si="0"/>
        <v>372</v>
      </c>
      <c r="B375" s="18" t="s">
        <v>248</v>
      </c>
      <c r="C375" s="19" t="s">
        <v>2168</v>
      </c>
      <c r="D375" s="19" t="s">
        <v>939</v>
      </c>
      <c r="E375" s="20" t="s">
        <v>2169</v>
      </c>
      <c r="F375" s="21" t="s">
        <v>2052</v>
      </c>
      <c r="G375" s="33" t="s">
        <v>42</v>
      </c>
      <c r="H375" s="23" t="s">
        <v>2170</v>
      </c>
      <c r="I375" s="24" t="s">
        <v>20</v>
      </c>
      <c r="J375" s="1" t="s">
        <v>21</v>
      </c>
      <c r="K375" s="25">
        <v>3</v>
      </c>
      <c r="L375" s="1" t="str">
        <f t="shared" si="1"/>
        <v/>
      </c>
      <c r="M375" s="1"/>
      <c r="N375" s="1"/>
      <c r="O375" s="1"/>
      <c r="P375" s="1"/>
      <c r="Q375" s="1"/>
      <c r="R375" s="1"/>
      <c r="S375" s="1"/>
      <c r="T375" s="1"/>
    </row>
    <row r="376" spans="1:20" ht="26.25" customHeight="1">
      <c r="A376" s="17">
        <f t="shared" si="0"/>
        <v>373</v>
      </c>
      <c r="B376" s="18" t="s">
        <v>248</v>
      </c>
      <c r="C376" s="19" t="s">
        <v>2171</v>
      </c>
      <c r="D376" s="19" t="s">
        <v>124</v>
      </c>
      <c r="E376" s="20" t="s">
        <v>2172</v>
      </c>
      <c r="F376" s="21" t="s">
        <v>135</v>
      </c>
      <c r="G376" s="33" t="s">
        <v>42</v>
      </c>
      <c r="H376" s="23" t="s">
        <v>2173</v>
      </c>
      <c r="I376" s="24" t="s">
        <v>20</v>
      </c>
      <c r="J376" s="1" t="s">
        <v>21</v>
      </c>
      <c r="K376" s="25">
        <v>3</v>
      </c>
      <c r="L376" s="1" t="str">
        <f t="shared" si="1"/>
        <v/>
      </c>
      <c r="M376" s="1"/>
      <c r="N376" s="1"/>
      <c r="O376" s="1"/>
      <c r="P376" s="1"/>
      <c r="Q376" s="1"/>
      <c r="R376" s="1"/>
      <c r="S376" s="1"/>
      <c r="T376" s="1"/>
    </row>
    <row r="377" spans="1:20" ht="26.25" customHeight="1">
      <c r="A377" s="17">
        <f t="shared" si="0"/>
        <v>374</v>
      </c>
      <c r="B377" s="18" t="s">
        <v>105</v>
      </c>
      <c r="C377" s="31" t="s">
        <v>2174</v>
      </c>
      <c r="D377" s="19" t="s">
        <v>2175</v>
      </c>
      <c r="E377" s="20" t="s">
        <v>2176</v>
      </c>
      <c r="F377" s="32" t="s">
        <v>222</v>
      </c>
      <c r="G377" s="33" t="s">
        <v>42</v>
      </c>
      <c r="H377" s="23" t="s">
        <v>2177</v>
      </c>
      <c r="I377" s="24" t="s">
        <v>55</v>
      </c>
      <c r="J377" s="1" t="str">
        <f>IFERROR(VLOOKUP(E377,#REF!,8,FALSE),"")</f>
        <v/>
      </c>
      <c r="K377" s="1"/>
      <c r="L377" s="1" t="str">
        <f t="shared" si="1"/>
        <v/>
      </c>
      <c r="M377" s="1"/>
      <c r="N377" s="1"/>
      <c r="O377" s="1"/>
      <c r="P377" s="1"/>
      <c r="Q377" s="1"/>
      <c r="R377" s="1"/>
      <c r="S377" s="1"/>
      <c r="T377" s="1"/>
    </row>
    <row r="378" spans="1:20" ht="26.25" customHeight="1">
      <c r="A378" s="17">
        <f t="shared" si="0"/>
        <v>375</v>
      </c>
      <c r="B378" s="18" t="s">
        <v>248</v>
      </c>
      <c r="C378" s="19" t="s">
        <v>2178</v>
      </c>
      <c r="D378" s="19" t="s">
        <v>939</v>
      </c>
      <c r="E378" s="20" t="s">
        <v>2179</v>
      </c>
      <c r="F378" s="21" t="s">
        <v>135</v>
      </c>
      <c r="G378" s="33" t="s">
        <v>42</v>
      </c>
      <c r="H378" s="23" t="s">
        <v>2180</v>
      </c>
      <c r="I378" s="24" t="s">
        <v>20</v>
      </c>
      <c r="J378" s="1" t="s">
        <v>21</v>
      </c>
      <c r="K378" s="25">
        <v>3</v>
      </c>
      <c r="L378" s="1" t="str">
        <f t="shared" si="1"/>
        <v/>
      </c>
      <c r="M378" s="1"/>
      <c r="N378" s="1"/>
      <c r="O378" s="1"/>
      <c r="P378" s="1"/>
      <c r="Q378" s="1"/>
      <c r="R378" s="1"/>
      <c r="S378" s="1"/>
      <c r="T378" s="1"/>
    </row>
    <row r="379" spans="1:20" ht="26.25" customHeight="1">
      <c r="A379" s="17">
        <f t="shared" si="0"/>
        <v>376</v>
      </c>
      <c r="B379" s="18" t="s">
        <v>2181</v>
      </c>
      <c r="C379" s="31" t="s">
        <v>2182</v>
      </c>
      <c r="D379" s="19" t="s">
        <v>2183</v>
      </c>
      <c r="E379" s="20" t="s">
        <v>2184</v>
      </c>
      <c r="F379" s="32" t="s">
        <v>222</v>
      </c>
      <c r="G379" s="33" t="s">
        <v>42</v>
      </c>
      <c r="H379" s="23" t="s">
        <v>2185</v>
      </c>
      <c r="I379" s="24" t="s">
        <v>55</v>
      </c>
      <c r="J379" s="1" t="str">
        <f>IFERROR(VLOOKUP(E379,#REF!,8,FALSE),"")</f>
        <v/>
      </c>
      <c r="K379" s="1"/>
      <c r="L379" s="1" t="str">
        <f t="shared" si="1"/>
        <v/>
      </c>
      <c r="M379" s="1"/>
      <c r="N379" s="1"/>
      <c r="O379" s="1"/>
      <c r="P379" s="1"/>
      <c r="Q379" s="1"/>
      <c r="R379" s="1"/>
      <c r="S379" s="1"/>
      <c r="T379" s="1"/>
    </row>
    <row r="380" spans="1:20" ht="26.25" customHeight="1">
      <c r="A380" s="17">
        <f t="shared" si="0"/>
        <v>377</v>
      </c>
      <c r="B380" s="18" t="s">
        <v>37</v>
      </c>
      <c r="C380" s="19" t="s">
        <v>2186</v>
      </c>
      <c r="D380" s="19" t="s">
        <v>141</v>
      </c>
      <c r="E380" s="20" t="s">
        <v>2187</v>
      </c>
      <c r="F380" s="21" t="s">
        <v>1970</v>
      </c>
      <c r="G380" s="22" t="s">
        <v>42</v>
      </c>
      <c r="H380" s="23" t="s">
        <v>2188</v>
      </c>
      <c r="I380" s="24" t="s">
        <v>20</v>
      </c>
      <c r="J380" s="1" t="s">
        <v>21</v>
      </c>
      <c r="K380" s="25">
        <v>3</v>
      </c>
      <c r="L380" s="1" t="str">
        <f t="shared" si="1"/>
        <v/>
      </c>
      <c r="M380" s="1"/>
      <c r="N380" s="1"/>
      <c r="O380" s="1"/>
      <c r="P380" s="1"/>
      <c r="Q380" s="1"/>
      <c r="R380" s="1"/>
      <c r="S380" s="1"/>
      <c r="T380" s="1"/>
    </row>
    <row r="381" spans="1:20" ht="26.25" customHeight="1">
      <c r="A381" s="17">
        <f t="shared" si="0"/>
        <v>378</v>
      </c>
      <c r="B381" s="18" t="s">
        <v>13</v>
      </c>
      <c r="C381" s="31" t="s">
        <v>2189</v>
      </c>
      <c r="D381" s="19" t="s">
        <v>939</v>
      </c>
      <c r="E381" s="20" t="s">
        <v>2190</v>
      </c>
      <c r="F381" s="32" t="s">
        <v>2191</v>
      </c>
      <c r="G381" s="22" t="s">
        <v>42</v>
      </c>
      <c r="H381" s="23" t="s">
        <v>2192</v>
      </c>
      <c r="I381" s="24" t="s">
        <v>55</v>
      </c>
      <c r="J381" s="1" t="str">
        <f t="shared" ref="J381:J382" si="54">IFERROR(VLOOKUP(E381,#REF!,8,FALSE),"")</f>
        <v/>
      </c>
      <c r="K381" s="1"/>
      <c r="L381" s="1" t="str">
        <f t="shared" si="1"/>
        <v/>
      </c>
      <c r="M381" s="1"/>
      <c r="N381" s="1"/>
      <c r="O381" s="1"/>
      <c r="P381" s="1"/>
      <c r="Q381" s="1"/>
      <c r="R381" s="1"/>
      <c r="S381" s="1"/>
      <c r="T381" s="1"/>
    </row>
    <row r="382" spans="1:20" ht="26.25" customHeight="1">
      <c r="A382" s="17">
        <f t="shared" si="0"/>
        <v>379</v>
      </c>
      <c r="B382" s="18" t="s">
        <v>81</v>
      </c>
      <c r="C382" s="31" t="s">
        <v>2193</v>
      </c>
      <c r="D382" s="19" t="s">
        <v>2194</v>
      </c>
      <c r="E382" s="20" t="s">
        <v>2195</v>
      </c>
      <c r="F382" s="32" t="s">
        <v>2196</v>
      </c>
      <c r="G382" s="33" t="s">
        <v>42</v>
      </c>
      <c r="H382" s="23" t="s">
        <v>2197</v>
      </c>
      <c r="I382" s="24" t="s">
        <v>55</v>
      </c>
      <c r="J382" s="1" t="str">
        <f t="shared" si="54"/>
        <v/>
      </c>
      <c r="K382" s="1"/>
      <c r="L382" s="1" t="str">
        <f t="shared" si="1"/>
        <v/>
      </c>
      <c r="M382" s="1"/>
      <c r="N382" s="1"/>
      <c r="O382" s="1"/>
      <c r="P382" s="1"/>
      <c r="Q382" s="1"/>
      <c r="R382" s="1"/>
      <c r="S382" s="1"/>
      <c r="T382" s="1"/>
    </row>
    <row r="383" spans="1:20" ht="26.25" customHeight="1">
      <c r="A383" s="17">
        <f t="shared" si="0"/>
        <v>380</v>
      </c>
      <c r="B383" s="18" t="s">
        <v>27</v>
      </c>
      <c r="C383" s="31" t="s">
        <v>2198</v>
      </c>
      <c r="D383" s="19" t="s">
        <v>124</v>
      </c>
      <c r="E383" s="20" t="s">
        <v>2199</v>
      </c>
      <c r="F383" s="21" t="s">
        <v>2200</v>
      </c>
      <c r="G383" s="22" t="s">
        <v>42</v>
      </c>
      <c r="H383" s="23" t="s">
        <v>2201</v>
      </c>
      <c r="I383" s="34" t="s">
        <v>20</v>
      </c>
      <c r="J383" s="1" t="s">
        <v>87</v>
      </c>
      <c r="K383" s="25">
        <v>4</v>
      </c>
      <c r="L383" s="1" t="str">
        <f t="shared" si="1"/>
        <v/>
      </c>
      <c r="M383" s="25"/>
      <c r="N383" s="25"/>
      <c r="O383" s="25"/>
      <c r="P383" s="25"/>
      <c r="Q383" s="25"/>
      <c r="R383" s="25"/>
      <c r="S383" s="25"/>
      <c r="T383" s="25"/>
    </row>
    <row r="384" spans="1:20" ht="26.25" customHeight="1">
      <c r="A384" s="17">
        <f t="shared" si="0"/>
        <v>381</v>
      </c>
      <c r="B384" s="18" t="s">
        <v>248</v>
      </c>
      <c r="C384" s="19" t="s">
        <v>2202</v>
      </c>
      <c r="D384" s="19" t="s">
        <v>939</v>
      </c>
      <c r="E384" s="20" t="s">
        <v>2203</v>
      </c>
      <c r="F384" s="21" t="s">
        <v>135</v>
      </c>
      <c r="G384" s="33" t="s">
        <v>42</v>
      </c>
      <c r="H384" s="23" t="s">
        <v>2204</v>
      </c>
      <c r="I384" s="24" t="s">
        <v>20</v>
      </c>
      <c r="J384" s="1" t="s">
        <v>21</v>
      </c>
      <c r="K384" s="25">
        <v>3</v>
      </c>
      <c r="L384" s="1" t="str">
        <f t="shared" si="1"/>
        <v/>
      </c>
      <c r="M384" s="1"/>
      <c r="N384" s="1"/>
      <c r="O384" s="1"/>
      <c r="P384" s="1"/>
      <c r="Q384" s="1"/>
      <c r="R384" s="1"/>
      <c r="S384" s="1"/>
      <c r="T384" s="1"/>
    </row>
    <row r="385" spans="1:20" ht="26.25" customHeight="1">
      <c r="A385" s="17">
        <f t="shared" si="0"/>
        <v>382</v>
      </c>
      <c r="B385" s="18" t="s">
        <v>132</v>
      </c>
      <c r="C385" s="19" t="s">
        <v>2205</v>
      </c>
      <c r="D385" s="19" t="s">
        <v>447</v>
      </c>
      <c r="E385" s="20" t="s">
        <v>2206</v>
      </c>
      <c r="F385" s="21" t="s">
        <v>2207</v>
      </c>
      <c r="G385" s="22" t="s">
        <v>42</v>
      </c>
      <c r="H385" s="23" t="s">
        <v>2208</v>
      </c>
      <c r="I385" s="24" t="s">
        <v>20</v>
      </c>
      <c r="J385" s="1" t="s">
        <v>21</v>
      </c>
      <c r="K385" s="25">
        <v>3</v>
      </c>
      <c r="L385" s="1" t="str">
        <f t="shared" si="1"/>
        <v/>
      </c>
      <c r="M385" s="1"/>
      <c r="N385" s="1"/>
      <c r="O385" s="1"/>
      <c r="P385" s="1"/>
      <c r="Q385" s="1"/>
      <c r="R385" s="1"/>
      <c r="S385" s="1"/>
      <c r="T385" s="1"/>
    </row>
    <row r="386" spans="1:20" ht="26.25" customHeight="1">
      <c r="A386" s="17">
        <f t="shared" si="0"/>
        <v>383</v>
      </c>
      <c r="B386" s="18" t="s">
        <v>132</v>
      </c>
      <c r="C386" s="31" t="s">
        <v>2209</v>
      </c>
      <c r="D386" s="19" t="s">
        <v>227</v>
      </c>
      <c r="E386" s="20" t="s">
        <v>2210</v>
      </c>
      <c r="F386" s="32" t="s">
        <v>2211</v>
      </c>
      <c r="G386" s="22" t="s">
        <v>42</v>
      </c>
      <c r="H386" s="23" t="s">
        <v>2212</v>
      </c>
      <c r="I386" s="24" t="s">
        <v>55</v>
      </c>
      <c r="J386" s="1" t="str">
        <f t="shared" ref="J386:J392" si="55">IFERROR(VLOOKUP(E386,#REF!,8,FALSE),"")</f>
        <v/>
      </c>
      <c r="K386" s="1"/>
      <c r="L386" s="1" t="str">
        <f t="shared" si="1"/>
        <v/>
      </c>
      <c r="M386" s="1"/>
      <c r="N386" s="1"/>
      <c r="O386" s="1"/>
      <c r="P386" s="1"/>
      <c r="Q386" s="1"/>
      <c r="R386" s="1"/>
      <c r="S386" s="1"/>
      <c r="T386" s="1"/>
    </row>
    <row r="387" spans="1:20" ht="26.25" customHeight="1">
      <c r="A387" s="17">
        <f t="shared" si="0"/>
        <v>384</v>
      </c>
      <c r="B387" s="18" t="s">
        <v>81</v>
      </c>
      <c r="C387" s="31" t="s">
        <v>2213</v>
      </c>
      <c r="D387" s="19" t="s">
        <v>271</v>
      </c>
      <c r="E387" s="20" t="s">
        <v>2214</v>
      </c>
      <c r="F387" s="32" t="s">
        <v>2215</v>
      </c>
      <c r="G387" s="33" t="s">
        <v>1290</v>
      </c>
      <c r="H387" s="23" t="s">
        <v>2216</v>
      </c>
      <c r="I387" s="24" t="s">
        <v>55</v>
      </c>
      <c r="J387" s="1" t="str">
        <f t="shared" si="55"/>
        <v/>
      </c>
      <c r="K387" s="1"/>
      <c r="L387" s="1" t="str">
        <f t="shared" si="1"/>
        <v/>
      </c>
      <c r="M387" s="1"/>
      <c r="N387" s="1"/>
      <c r="O387" s="1"/>
      <c r="P387" s="1"/>
      <c r="Q387" s="1"/>
      <c r="R387" s="1"/>
      <c r="S387" s="1"/>
      <c r="T387" s="1"/>
    </row>
    <row r="388" spans="1:20" ht="26.25" customHeight="1">
      <c r="A388" s="17">
        <f t="shared" si="0"/>
        <v>385</v>
      </c>
      <c r="B388" s="18" t="s">
        <v>1375</v>
      </c>
      <c r="C388" s="31" t="s">
        <v>2217</v>
      </c>
      <c r="D388" s="19" t="s">
        <v>2218</v>
      </c>
      <c r="E388" s="20" t="s">
        <v>2219</v>
      </c>
      <c r="F388" s="32" t="s">
        <v>1921</v>
      </c>
      <c r="G388" s="22" t="s">
        <v>31</v>
      </c>
      <c r="H388" s="23" t="s">
        <v>2220</v>
      </c>
      <c r="I388" s="24" t="s">
        <v>55</v>
      </c>
      <c r="J388" s="1" t="str">
        <f t="shared" si="55"/>
        <v/>
      </c>
      <c r="K388" s="1"/>
      <c r="L388" s="1" t="str">
        <f t="shared" si="1"/>
        <v/>
      </c>
      <c r="M388" s="1"/>
      <c r="N388" s="1"/>
      <c r="O388" s="1"/>
      <c r="P388" s="1"/>
      <c r="Q388" s="1"/>
      <c r="R388" s="1"/>
      <c r="S388" s="1"/>
      <c r="T388" s="1"/>
    </row>
    <row r="389" spans="1:20" ht="26.25" customHeight="1">
      <c r="A389" s="17">
        <f t="shared" si="0"/>
        <v>386</v>
      </c>
      <c r="B389" s="18" t="s">
        <v>27</v>
      </c>
      <c r="C389" s="31" t="s">
        <v>2221</v>
      </c>
      <c r="D389" s="19" t="s">
        <v>808</v>
      </c>
      <c r="E389" s="20" t="s">
        <v>2222</v>
      </c>
      <c r="F389" s="32" t="s">
        <v>428</v>
      </c>
      <c r="G389" s="22" t="s">
        <v>53</v>
      </c>
      <c r="H389" s="23" t="s">
        <v>2223</v>
      </c>
      <c r="I389" s="24" t="s">
        <v>55</v>
      </c>
      <c r="J389" s="1" t="str">
        <f t="shared" si="55"/>
        <v/>
      </c>
      <c r="K389" s="1"/>
      <c r="L389" s="1" t="str">
        <f t="shared" si="1"/>
        <v/>
      </c>
      <c r="M389" s="1"/>
      <c r="N389" s="1"/>
      <c r="O389" s="1"/>
      <c r="P389" s="1"/>
      <c r="Q389" s="1"/>
      <c r="R389" s="1"/>
      <c r="S389" s="1"/>
      <c r="T389" s="1"/>
    </row>
    <row r="390" spans="1:20" ht="26.25" customHeight="1">
      <c r="A390" s="17">
        <f t="shared" si="0"/>
        <v>387</v>
      </c>
      <c r="B390" s="18" t="s">
        <v>27</v>
      </c>
      <c r="C390" s="31" t="s">
        <v>2224</v>
      </c>
      <c r="D390" s="19" t="s">
        <v>808</v>
      </c>
      <c r="E390" s="20" t="s">
        <v>809</v>
      </c>
      <c r="F390" s="32" t="s">
        <v>2225</v>
      </c>
      <c r="G390" s="22" t="s">
        <v>42</v>
      </c>
      <c r="H390" s="23" t="s">
        <v>2226</v>
      </c>
      <c r="I390" s="24" t="s">
        <v>55</v>
      </c>
      <c r="J390" s="1" t="str">
        <f t="shared" si="55"/>
        <v/>
      </c>
      <c r="K390" s="25">
        <v>3</v>
      </c>
      <c r="L390" s="1" t="str">
        <f t="shared" si="1"/>
        <v>2020 FRIC 서양</v>
      </c>
      <c r="M390" s="1"/>
      <c r="N390" s="1"/>
      <c r="O390" s="1"/>
      <c r="P390" s="1"/>
      <c r="Q390" s="1"/>
      <c r="R390" s="1"/>
      <c r="S390" s="1"/>
      <c r="T390" s="1"/>
    </row>
    <row r="391" spans="1:20" ht="26.25" customHeight="1">
      <c r="A391" s="17">
        <f t="shared" si="0"/>
        <v>388</v>
      </c>
      <c r="B391" s="18" t="s">
        <v>27</v>
      </c>
      <c r="C391" s="31" t="s">
        <v>2227</v>
      </c>
      <c r="D391" s="19" t="s">
        <v>808</v>
      </c>
      <c r="E391" s="20" t="s">
        <v>814</v>
      </c>
      <c r="F391" s="32" t="s">
        <v>2225</v>
      </c>
      <c r="G391" s="22" t="s">
        <v>42</v>
      </c>
      <c r="H391" s="23" t="s">
        <v>2228</v>
      </c>
      <c r="I391" s="24" t="s">
        <v>55</v>
      </c>
      <c r="J391" s="1" t="str">
        <f t="shared" si="55"/>
        <v/>
      </c>
      <c r="K391" s="25">
        <v>3</v>
      </c>
      <c r="L391" s="1" t="str">
        <f t="shared" si="1"/>
        <v>2020 FRIC 서양</v>
      </c>
      <c r="M391" s="1"/>
      <c r="N391" s="1"/>
      <c r="O391" s="1"/>
      <c r="P391" s="1"/>
      <c r="Q391" s="1"/>
      <c r="R391" s="1"/>
      <c r="S391" s="1"/>
      <c r="T391" s="1"/>
    </row>
    <row r="392" spans="1:20" ht="26.25" customHeight="1">
      <c r="A392" s="17">
        <f t="shared" si="0"/>
        <v>389</v>
      </c>
      <c r="B392" s="18" t="s">
        <v>27</v>
      </c>
      <c r="C392" s="31" t="s">
        <v>2229</v>
      </c>
      <c r="D392" s="19" t="s">
        <v>808</v>
      </c>
      <c r="E392" s="20" t="s">
        <v>820</v>
      </c>
      <c r="F392" s="32" t="s">
        <v>2225</v>
      </c>
      <c r="G392" s="22" t="s">
        <v>42</v>
      </c>
      <c r="H392" s="23" t="s">
        <v>2230</v>
      </c>
      <c r="I392" s="24" t="s">
        <v>55</v>
      </c>
      <c r="J392" s="1" t="str">
        <f t="shared" si="55"/>
        <v/>
      </c>
      <c r="K392" s="25">
        <v>3</v>
      </c>
      <c r="L392" s="1" t="str">
        <f t="shared" si="1"/>
        <v>2020 FRIC 서양</v>
      </c>
      <c r="M392" s="1"/>
      <c r="N392" s="1"/>
      <c r="O392" s="1"/>
      <c r="P392" s="1"/>
      <c r="Q392" s="1"/>
      <c r="R392" s="1"/>
      <c r="S392" s="1"/>
      <c r="T392" s="1"/>
    </row>
    <row r="393" spans="1:20" ht="26.25" customHeight="1">
      <c r="A393" s="17">
        <f t="shared" si="0"/>
        <v>390</v>
      </c>
      <c r="B393" s="18" t="s">
        <v>13</v>
      </c>
      <c r="C393" s="19" t="s">
        <v>2231</v>
      </c>
      <c r="D393" s="19" t="s">
        <v>939</v>
      </c>
      <c r="E393" s="20" t="s">
        <v>2232</v>
      </c>
      <c r="F393" s="21" t="s">
        <v>1011</v>
      </c>
      <c r="G393" s="22" t="s">
        <v>42</v>
      </c>
      <c r="H393" s="23" t="s">
        <v>2233</v>
      </c>
      <c r="I393" s="24" t="s">
        <v>20</v>
      </c>
      <c r="J393" s="1" t="s">
        <v>21</v>
      </c>
      <c r="K393" s="25">
        <v>3</v>
      </c>
      <c r="L393" s="1" t="str">
        <f t="shared" si="1"/>
        <v/>
      </c>
      <c r="M393" s="1"/>
      <c r="N393" s="1"/>
      <c r="O393" s="1"/>
      <c r="P393" s="1"/>
      <c r="Q393" s="1"/>
      <c r="R393" s="1"/>
      <c r="S393" s="1"/>
      <c r="T393" s="1"/>
    </row>
    <row r="394" spans="1:20" ht="26.25" customHeight="1">
      <c r="A394" s="17">
        <f t="shared" si="0"/>
        <v>391</v>
      </c>
      <c r="B394" s="18" t="s">
        <v>37</v>
      </c>
      <c r="C394" s="19" t="s">
        <v>2234</v>
      </c>
      <c r="D394" s="19" t="s">
        <v>45</v>
      </c>
      <c r="E394" s="20" t="s">
        <v>2235</v>
      </c>
      <c r="F394" s="21" t="s">
        <v>2236</v>
      </c>
      <c r="G394" s="22" t="s">
        <v>42</v>
      </c>
      <c r="H394" s="23" t="s">
        <v>2237</v>
      </c>
      <c r="I394" s="24" t="s">
        <v>20</v>
      </c>
      <c r="J394" s="1" t="s">
        <v>21</v>
      </c>
      <c r="K394" s="25">
        <v>3</v>
      </c>
      <c r="L394" s="1" t="str">
        <f t="shared" si="1"/>
        <v/>
      </c>
      <c r="M394" s="1"/>
      <c r="N394" s="1"/>
      <c r="O394" s="1"/>
      <c r="P394" s="1"/>
      <c r="Q394" s="1"/>
      <c r="R394" s="1"/>
      <c r="S394" s="1"/>
      <c r="T394" s="1"/>
    </row>
    <row r="395" spans="1:20" ht="26.25" customHeight="1">
      <c r="A395" s="17">
        <f t="shared" si="0"/>
        <v>392</v>
      </c>
      <c r="B395" s="18" t="s">
        <v>37</v>
      </c>
      <c r="C395" s="19" t="s">
        <v>2238</v>
      </c>
      <c r="D395" s="19" t="s">
        <v>277</v>
      </c>
      <c r="E395" s="20" t="s">
        <v>2239</v>
      </c>
      <c r="F395" s="21" t="s">
        <v>85</v>
      </c>
      <c r="G395" s="22" t="s">
        <v>42</v>
      </c>
      <c r="H395" s="23" t="s">
        <v>2240</v>
      </c>
      <c r="I395" s="24" t="s">
        <v>20</v>
      </c>
      <c r="J395" s="1" t="s">
        <v>21</v>
      </c>
      <c r="K395" s="25">
        <v>3</v>
      </c>
      <c r="L395" s="1" t="str">
        <f t="shared" si="1"/>
        <v/>
      </c>
      <c r="M395" s="1"/>
      <c r="N395" s="1"/>
      <c r="O395" s="1"/>
      <c r="P395" s="1"/>
      <c r="Q395" s="1"/>
      <c r="R395" s="1"/>
      <c r="S395" s="1"/>
      <c r="T395" s="1"/>
    </row>
    <row r="396" spans="1:20" ht="26.25" customHeight="1">
      <c r="A396" s="17">
        <f t="shared" si="0"/>
        <v>393</v>
      </c>
      <c r="B396" s="18" t="s">
        <v>37</v>
      </c>
      <c r="C396" s="31" t="s">
        <v>2241</v>
      </c>
      <c r="D396" s="19" t="s">
        <v>2242</v>
      </c>
      <c r="E396" s="20" t="s">
        <v>2243</v>
      </c>
      <c r="F396" s="32" t="s">
        <v>2244</v>
      </c>
      <c r="G396" s="22" t="s">
        <v>53</v>
      </c>
      <c r="H396" s="23" t="s">
        <v>2245</v>
      </c>
      <c r="I396" s="24" t="s">
        <v>55</v>
      </c>
      <c r="J396" s="1" t="str">
        <f t="shared" ref="J396:J399" si="56">IFERROR(VLOOKUP(E396,#REF!,8,FALSE),"")</f>
        <v/>
      </c>
      <c r="K396" s="1"/>
      <c r="L396" s="1" t="str">
        <f t="shared" si="1"/>
        <v/>
      </c>
      <c r="M396" s="1"/>
      <c r="N396" s="1"/>
      <c r="O396" s="1"/>
      <c r="P396" s="1"/>
      <c r="Q396" s="1"/>
      <c r="R396" s="1"/>
      <c r="S396" s="1"/>
      <c r="T396" s="1"/>
    </row>
    <row r="397" spans="1:20" ht="26.25" customHeight="1">
      <c r="A397" s="17">
        <f t="shared" si="0"/>
        <v>394</v>
      </c>
      <c r="B397" s="18" t="s">
        <v>37</v>
      </c>
      <c r="C397" s="31" t="s">
        <v>2246</v>
      </c>
      <c r="D397" s="19" t="s">
        <v>2247</v>
      </c>
      <c r="E397" s="20" t="s">
        <v>2248</v>
      </c>
      <c r="F397" s="32" t="s">
        <v>2249</v>
      </c>
      <c r="G397" s="22" t="s">
        <v>42</v>
      </c>
      <c r="H397" s="23" t="s">
        <v>2250</v>
      </c>
      <c r="I397" s="24" t="s">
        <v>55</v>
      </c>
      <c r="J397" s="1" t="str">
        <f t="shared" si="56"/>
        <v/>
      </c>
      <c r="K397" s="1"/>
      <c r="L397" s="1" t="str">
        <f t="shared" si="1"/>
        <v/>
      </c>
      <c r="M397" s="1"/>
      <c r="N397" s="1"/>
      <c r="O397" s="1"/>
      <c r="P397" s="1"/>
      <c r="Q397" s="1"/>
      <c r="R397" s="1"/>
      <c r="S397" s="1"/>
      <c r="T397" s="1"/>
    </row>
    <row r="398" spans="1:20" ht="26.25" customHeight="1">
      <c r="A398" s="17">
        <f t="shared" si="0"/>
        <v>395</v>
      </c>
      <c r="B398" s="18" t="s">
        <v>37</v>
      </c>
      <c r="C398" s="31" t="s">
        <v>2251</v>
      </c>
      <c r="D398" s="19" t="s">
        <v>277</v>
      </c>
      <c r="E398" s="20" t="s">
        <v>2252</v>
      </c>
      <c r="F398" s="32" t="s">
        <v>2253</v>
      </c>
      <c r="G398" s="22" t="s">
        <v>42</v>
      </c>
      <c r="H398" s="23" t="s">
        <v>2254</v>
      </c>
      <c r="I398" s="24" t="s">
        <v>55</v>
      </c>
      <c r="J398" s="1" t="str">
        <f t="shared" si="56"/>
        <v/>
      </c>
      <c r="K398" s="1"/>
      <c r="L398" s="1" t="str">
        <f t="shared" si="1"/>
        <v/>
      </c>
      <c r="M398" s="1"/>
      <c r="N398" s="1"/>
      <c r="O398" s="1"/>
      <c r="P398" s="1"/>
      <c r="Q398" s="1"/>
      <c r="R398" s="1"/>
      <c r="S398" s="1"/>
      <c r="T398" s="1"/>
    </row>
    <row r="399" spans="1:20" ht="26.25" customHeight="1">
      <c r="A399" s="17">
        <f t="shared" si="0"/>
        <v>396</v>
      </c>
      <c r="B399" s="18" t="s">
        <v>105</v>
      </c>
      <c r="C399" s="31" t="s">
        <v>2255</v>
      </c>
      <c r="D399" s="19" t="s">
        <v>277</v>
      </c>
      <c r="E399" s="20" t="s">
        <v>2256</v>
      </c>
      <c r="F399" s="32" t="s">
        <v>2257</v>
      </c>
      <c r="G399" s="33" t="s">
        <v>63</v>
      </c>
      <c r="H399" s="23" t="s">
        <v>2258</v>
      </c>
      <c r="I399" s="24" t="s">
        <v>55</v>
      </c>
      <c r="J399" s="1" t="str">
        <f t="shared" si="56"/>
        <v/>
      </c>
      <c r="K399" s="1"/>
      <c r="L399" s="1" t="str">
        <f t="shared" si="1"/>
        <v/>
      </c>
      <c r="M399" s="1"/>
      <c r="N399" s="1"/>
      <c r="O399" s="1"/>
      <c r="P399" s="1"/>
      <c r="Q399" s="1"/>
      <c r="R399" s="1"/>
      <c r="S399" s="1"/>
      <c r="T399" s="1"/>
    </row>
    <row r="400" spans="1:20" ht="26.25" customHeight="1">
      <c r="A400" s="17">
        <f t="shared" si="0"/>
        <v>397</v>
      </c>
      <c r="B400" s="18" t="s">
        <v>132</v>
      </c>
      <c r="C400" s="31" t="s">
        <v>2259</v>
      </c>
      <c r="D400" s="19" t="s">
        <v>447</v>
      </c>
      <c r="E400" s="20" t="s">
        <v>2260</v>
      </c>
      <c r="F400" s="21" t="s">
        <v>1363</v>
      </c>
      <c r="G400" s="22" t="s">
        <v>31</v>
      </c>
      <c r="H400" s="23" t="s">
        <v>2261</v>
      </c>
      <c r="I400" s="24" t="s">
        <v>20</v>
      </c>
      <c r="J400" s="1" t="s">
        <v>87</v>
      </c>
      <c r="K400" s="25">
        <v>4</v>
      </c>
      <c r="L400" s="1" t="str">
        <f t="shared" si="1"/>
        <v/>
      </c>
      <c r="M400" s="1"/>
      <c r="N400" s="1"/>
      <c r="O400" s="1"/>
      <c r="P400" s="1"/>
      <c r="Q400" s="1"/>
      <c r="R400" s="1"/>
      <c r="S400" s="1"/>
      <c r="T400" s="1"/>
    </row>
    <row r="401" spans="1:20" ht="26.25" customHeight="1">
      <c r="A401" s="17">
        <f t="shared" si="0"/>
        <v>398</v>
      </c>
      <c r="B401" s="18" t="s">
        <v>175</v>
      </c>
      <c r="C401" s="19" t="s">
        <v>2262</v>
      </c>
      <c r="D401" s="19" t="s">
        <v>2263</v>
      </c>
      <c r="E401" s="20" t="s">
        <v>2264</v>
      </c>
      <c r="F401" s="21" t="s">
        <v>905</v>
      </c>
      <c r="G401" s="33" t="s">
        <v>31</v>
      </c>
      <c r="H401" s="23" t="s">
        <v>2265</v>
      </c>
      <c r="I401" s="24" t="s">
        <v>20</v>
      </c>
      <c r="J401" s="1" t="s">
        <v>21</v>
      </c>
      <c r="K401" s="25">
        <v>3</v>
      </c>
      <c r="L401" s="1" t="str">
        <f t="shared" si="1"/>
        <v/>
      </c>
      <c r="M401" s="1"/>
      <c r="N401" s="1"/>
      <c r="O401" s="1"/>
      <c r="P401" s="1"/>
      <c r="Q401" s="1"/>
      <c r="R401" s="1"/>
      <c r="S401" s="1"/>
      <c r="T401" s="1"/>
    </row>
    <row r="402" spans="1:20" ht="26.25" customHeight="1">
      <c r="A402" s="17">
        <f t="shared" si="0"/>
        <v>399</v>
      </c>
      <c r="B402" s="18" t="s">
        <v>48</v>
      </c>
      <c r="C402" s="31" t="s">
        <v>2266</v>
      </c>
      <c r="D402" s="19" t="s">
        <v>2267</v>
      </c>
      <c r="E402" s="20" t="s">
        <v>2268</v>
      </c>
      <c r="F402" s="32" t="s">
        <v>542</v>
      </c>
      <c r="G402" s="33" t="s">
        <v>42</v>
      </c>
      <c r="H402" s="23" t="s">
        <v>2269</v>
      </c>
      <c r="I402" s="24" t="s">
        <v>55</v>
      </c>
      <c r="J402" s="1" t="str">
        <f t="shared" ref="J402:J405" si="57">IFERROR(VLOOKUP(E402,#REF!,8,FALSE),"")</f>
        <v/>
      </c>
      <c r="K402" s="1"/>
      <c r="L402" s="1" t="str">
        <f t="shared" si="1"/>
        <v/>
      </c>
      <c r="M402" s="1"/>
      <c r="N402" s="1"/>
      <c r="O402" s="1"/>
      <c r="P402" s="1"/>
      <c r="Q402" s="1"/>
      <c r="R402" s="1"/>
      <c r="S402" s="1"/>
      <c r="T402" s="1"/>
    </row>
    <row r="403" spans="1:20" ht="26.25" customHeight="1">
      <c r="A403" s="17">
        <f t="shared" si="0"/>
        <v>400</v>
      </c>
      <c r="B403" s="18" t="s">
        <v>105</v>
      </c>
      <c r="C403" s="19" t="s">
        <v>2270</v>
      </c>
      <c r="D403" s="19" t="s">
        <v>2271</v>
      </c>
      <c r="E403" s="20" t="s">
        <v>1864</v>
      </c>
      <c r="F403" s="32" t="s">
        <v>2272</v>
      </c>
      <c r="G403" s="33" t="s">
        <v>42</v>
      </c>
      <c r="H403" s="23" t="s">
        <v>2273</v>
      </c>
      <c r="I403" s="34" t="s">
        <v>55</v>
      </c>
      <c r="J403" s="1" t="str">
        <f t="shared" si="57"/>
        <v/>
      </c>
      <c r="K403" s="25">
        <v>3</v>
      </c>
      <c r="L403" s="1" t="str">
        <f t="shared" si="1"/>
        <v>2021 FRIC 동양</v>
      </c>
      <c r="M403" s="25"/>
      <c r="N403" s="25"/>
      <c r="O403" s="25"/>
      <c r="P403" s="25"/>
      <c r="Q403" s="25"/>
      <c r="R403" s="25"/>
      <c r="S403" s="25"/>
      <c r="T403" s="25"/>
    </row>
    <row r="404" spans="1:20" ht="26.25" customHeight="1">
      <c r="A404" s="17">
        <f t="shared" si="0"/>
        <v>401</v>
      </c>
      <c r="B404" s="18" t="s">
        <v>175</v>
      </c>
      <c r="C404" s="31" t="s">
        <v>2274</v>
      </c>
      <c r="D404" s="19" t="s">
        <v>722</v>
      </c>
      <c r="E404" s="20" t="s">
        <v>2275</v>
      </c>
      <c r="F404" s="32" t="s">
        <v>2276</v>
      </c>
      <c r="G404" s="33" t="s">
        <v>42</v>
      </c>
      <c r="H404" s="23" t="s">
        <v>2277</v>
      </c>
      <c r="I404" s="24" t="s">
        <v>55</v>
      </c>
      <c r="J404" s="1" t="str">
        <f t="shared" si="57"/>
        <v/>
      </c>
      <c r="K404" s="1"/>
      <c r="L404" s="1" t="str">
        <f t="shared" si="1"/>
        <v/>
      </c>
      <c r="M404" s="1"/>
      <c r="N404" s="1"/>
      <c r="O404" s="1"/>
      <c r="P404" s="1"/>
      <c r="Q404" s="1"/>
      <c r="R404" s="1"/>
      <c r="S404" s="1"/>
      <c r="T404" s="1"/>
    </row>
    <row r="405" spans="1:20" ht="26.25" customHeight="1">
      <c r="A405" s="17">
        <f t="shared" si="0"/>
        <v>402</v>
      </c>
      <c r="B405" s="18" t="s">
        <v>105</v>
      </c>
      <c r="C405" s="31" t="s">
        <v>2278</v>
      </c>
      <c r="D405" s="19" t="s">
        <v>499</v>
      </c>
      <c r="E405" s="20" t="s">
        <v>2279</v>
      </c>
      <c r="F405" s="32" t="s">
        <v>2280</v>
      </c>
      <c r="G405" s="33" t="s">
        <v>1290</v>
      </c>
      <c r="H405" s="23" t="s">
        <v>2281</v>
      </c>
      <c r="I405" s="24" t="s">
        <v>55</v>
      </c>
      <c r="J405" s="1" t="str">
        <f t="shared" si="57"/>
        <v/>
      </c>
      <c r="K405" s="1"/>
      <c r="L405" s="1" t="str">
        <f t="shared" si="1"/>
        <v/>
      </c>
      <c r="M405" s="1"/>
      <c r="N405" s="1"/>
      <c r="O405" s="1"/>
      <c r="P405" s="1"/>
      <c r="Q405" s="1"/>
      <c r="R405" s="1"/>
      <c r="S405" s="1"/>
      <c r="T405" s="1"/>
    </row>
    <row r="406" spans="1:20" ht="26.25" customHeight="1">
      <c r="A406" s="17">
        <f t="shared" si="0"/>
        <v>403</v>
      </c>
      <c r="B406" s="18" t="s">
        <v>248</v>
      </c>
      <c r="C406" s="19" t="s">
        <v>2282</v>
      </c>
      <c r="D406" s="19" t="s">
        <v>168</v>
      </c>
      <c r="E406" s="20" t="s">
        <v>2283</v>
      </c>
      <c r="F406" s="21" t="s">
        <v>2284</v>
      </c>
      <c r="G406" s="33" t="s">
        <v>31</v>
      </c>
      <c r="H406" s="23" t="s">
        <v>2285</v>
      </c>
      <c r="I406" s="24" t="s">
        <v>20</v>
      </c>
      <c r="J406" s="1" t="s">
        <v>21</v>
      </c>
      <c r="K406" s="25">
        <v>3</v>
      </c>
      <c r="L406" s="1" t="str">
        <f t="shared" si="1"/>
        <v/>
      </c>
      <c r="M406" s="1"/>
      <c r="N406" s="1"/>
      <c r="O406" s="1"/>
      <c r="P406" s="1"/>
      <c r="Q406" s="1"/>
      <c r="R406" s="1"/>
      <c r="S406" s="1"/>
      <c r="T406" s="1"/>
    </row>
    <row r="407" spans="1:20" ht="26.25" customHeight="1">
      <c r="A407" s="17">
        <f t="shared" si="0"/>
        <v>404</v>
      </c>
      <c r="B407" s="18" t="s">
        <v>867</v>
      </c>
      <c r="C407" s="19" t="s">
        <v>2286</v>
      </c>
      <c r="D407" s="19" t="s">
        <v>2287</v>
      </c>
      <c r="E407" s="20" t="s">
        <v>2288</v>
      </c>
      <c r="F407" s="21" t="s">
        <v>293</v>
      </c>
      <c r="G407" s="33" t="s">
        <v>42</v>
      </c>
      <c r="H407" s="23" t="s">
        <v>2289</v>
      </c>
      <c r="I407" s="24" t="s">
        <v>20</v>
      </c>
      <c r="J407" s="1" t="s">
        <v>21</v>
      </c>
      <c r="K407" s="25">
        <v>3</v>
      </c>
      <c r="L407" s="1" t="str">
        <f t="shared" si="1"/>
        <v/>
      </c>
      <c r="M407" s="1"/>
      <c r="N407" s="1"/>
      <c r="O407" s="1"/>
      <c r="P407" s="1"/>
      <c r="Q407" s="1"/>
      <c r="R407" s="1"/>
      <c r="S407" s="1"/>
      <c r="T407" s="1"/>
    </row>
    <row r="408" spans="1:20" ht="26.25" customHeight="1">
      <c r="A408" s="17">
        <f t="shared" si="0"/>
        <v>405</v>
      </c>
      <c r="B408" s="18" t="s">
        <v>105</v>
      </c>
      <c r="C408" s="31" t="s">
        <v>2290</v>
      </c>
      <c r="D408" s="19" t="s">
        <v>112</v>
      </c>
      <c r="E408" s="20" t="s">
        <v>113</v>
      </c>
      <c r="F408" s="32" t="s">
        <v>962</v>
      </c>
      <c r="G408" s="33" t="s">
        <v>42</v>
      </c>
      <c r="H408" s="23" t="s">
        <v>2291</v>
      </c>
      <c r="I408" s="24" t="s">
        <v>55</v>
      </c>
      <c r="J408" s="1" t="str">
        <f t="shared" ref="J408:J409" si="58">IFERROR(VLOOKUP(E408,#REF!,8,FALSE),"")</f>
        <v/>
      </c>
      <c r="K408" s="25">
        <v>3</v>
      </c>
      <c r="L408" s="1" t="str">
        <f t="shared" si="1"/>
        <v>2016 FRIC 서양</v>
      </c>
      <c r="M408" s="1"/>
      <c r="N408" s="1"/>
      <c r="O408" s="1"/>
      <c r="P408" s="1"/>
      <c r="Q408" s="1"/>
      <c r="R408" s="1"/>
      <c r="S408" s="1"/>
      <c r="T408" s="1"/>
    </row>
    <row r="409" spans="1:20" ht="26.25" customHeight="1">
      <c r="A409" s="17">
        <f t="shared" si="0"/>
        <v>406</v>
      </c>
      <c r="B409" s="18" t="s">
        <v>105</v>
      </c>
      <c r="C409" s="31" t="s">
        <v>2292</v>
      </c>
      <c r="D409" s="19" t="s">
        <v>124</v>
      </c>
      <c r="E409" s="20" t="s">
        <v>2293</v>
      </c>
      <c r="F409" s="32" t="s">
        <v>2294</v>
      </c>
      <c r="G409" s="33" t="s">
        <v>42</v>
      </c>
      <c r="H409" s="23" t="s">
        <v>2295</v>
      </c>
      <c r="I409" s="24" t="s">
        <v>55</v>
      </c>
      <c r="J409" s="1" t="str">
        <f t="shared" si="58"/>
        <v/>
      </c>
      <c r="K409" s="1"/>
      <c r="L409" s="1" t="str">
        <f t="shared" si="1"/>
        <v/>
      </c>
      <c r="M409" s="1"/>
      <c r="N409" s="1"/>
      <c r="O409" s="1"/>
      <c r="P409" s="1"/>
      <c r="Q409" s="1"/>
      <c r="R409" s="1"/>
      <c r="S409" s="1"/>
      <c r="T409" s="1"/>
    </row>
    <row r="410" spans="1:20" ht="26.25" customHeight="1">
      <c r="A410" s="17">
        <f t="shared" si="0"/>
        <v>407</v>
      </c>
      <c r="B410" s="18" t="s">
        <v>132</v>
      </c>
      <c r="C410" s="19" t="s">
        <v>2296</v>
      </c>
      <c r="D410" s="19" t="s">
        <v>447</v>
      </c>
      <c r="E410" s="20" t="s">
        <v>2297</v>
      </c>
      <c r="F410" s="21" t="s">
        <v>135</v>
      </c>
      <c r="G410" s="22" t="s">
        <v>42</v>
      </c>
      <c r="H410" s="23" t="s">
        <v>2298</v>
      </c>
      <c r="I410" s="24" t="s">
        <v>20</v>
      </c>
      <c r="J410" s="1" t="s">
        <v>21</v>
      </c>
      <c r="K410" s="25">
        <v>3</v>
      </c>
      <c r="L410" s="1" t="str">
        <f t="shared" si="1"/>
        <v/>
      </c>
      <c r="M410" s="1"/>
      <c r="N410" s="1"/>
      <c r="O410" s="1"/>
      <c r="P410" s="1"/>
      <c r="Q410" s="1"/>
      <c r="R410" s="1"/>
      <c r="S410" s="1"/>
      <c r="T410" s="1"/>
    </row>
    <row r="411" spans="1:20" ht="26.25" customHeight="1">
      <c r="A411" s="17">
        <f t="shared" si="0"/>
        <v>408</v>
      </c>
      <c r="B411" s="18" t="s">
        <v>27</v>
      </c>
      <c r="C411" s="19" t="s">
        <v>2299</v>
      </c>
      <c r="D411" s="19" t="s">
        <v>2300</v>
      </c>
      <c r="E411" s="20" t="s">
        <v>2301</v>
      </c>
      <c r="F411" s="21" t="s">
        <v>41</v>
      </c>
      <c r="G411" s="22" t="s">
        <v>42</v>
      </c>
      <c r="H411" s="23" t="s">
        <v>2302</v>
      </c>
      <c r="I411" s="24" t="s">
        <v>20</v>
      </c>
      <c r="J411" s="1" t="s">
        <v>21</v>
      </c>
      <c r="K411" s="25">
        <v>3</v>
      </c>
      <c r="L411" s="1" t="str">
        <f t="shared" si="1"/>
        <v/>
      </c>
      <c r="M411" s="1"/>
      <c r="N411" s="1"/>
      <c r="O411" s="1"/>
      <c r="P411" s="1"/>
      <c r="Q411" s="1"/>
      <c r="R411" s="1"/>
      <c r="S411" s="1"/>
      <c r="T411" s="1"/>
    </row>
    <row r="412" spans="1:20" ht="26.25" customHeight="1">
      <c r="A412" s="17">
        <f t="shared" si="0"/>
        <v>409</v>
      </c>
      <c r="B412" s="18" t="s">
        <v>105</v>
      </c>
      <c r="C412" s="31" t="s">
        <v>2303</v>
      </c>
      <c r="D412" s="19" t="s">
        <v>277</v>
      </c>
      <c r="E412" s="20" t="s">
        <v>2304</v>
      </c>
      <c r="F412" s="32" t="s">
        <v>519</v>
      </c>
      <c r="G412" s="33" t="s">
        <v>42</v>
      </c>
      <c r="H412" s="23" t="s">
        <v>2305</v>
      </c>
      <c r="I412" s="24" t="s">
        <v>55</v>
      </c>
      <c r="J412" s="1" t="str">
        <f t="shared" ref="J412:J413" si="59">IFERROR(VLOOKUP(E412,#REF!,8,FALSE),"")</f>
        <v/>
      </c>
      <c r="K412" s="1"/>
      <c r="L412" s="1" t="str">
        <f t="shared" si="1"/>
        <v/>
      </c>
      <c r="M412" s="1"/>
      <c r="N412" s="1"/>
      <c r="O412" s="1"/>
      <c r="P412" s="1"/>
      <c r="Q412" s="1"/>
      <c r="R412" s="1"/>
      <c r="S412" s="1"/>
      <c r="T412" s="1"/>
    </row>
    <row r="413" spans="1:20" ht="26.25" customHeight="1">
      <c r="A413" s="17">
        <f t="shared" si="0"/>
        <v>410</v>
      </c>
      <c r="B413" s="18" t="s">
        <v>48</v>
      </c>
      <c r="C413" s="31" t="s">
        <v>2306</v>
      </c>
      <c r="D413" s="19" t="s">
        <v>2307</v>
      </c>
      <c r="E413" s="20" t="s">
        <v>2308</v>
      </c>
      <c r="F413" s="32" t="s">
        <v>222</v>
      </c>
      <c r="G413" s="33" t="s">
        <v>42</v>
      </c>
      <c r="H413" s="23" t="s">
        <v>2309</v>
      </c>
      <c r="I413" s="24" t="s">
        <v>55</v>
      </c>
      <c r="J413" s="1" t="str">
        <f t="shared" si="59"/>
        <v/>
      </c>
      <c r="K413" s="1"/>
      <c r="L413" s="1" t="str">
        <f t="shared" si="1"/>
        <v/>
      </c>
      <c r="M413" s="1"/>
      <c r="N413" s="1"/>
      <c r="O413" s="1"/>
      <c r="P413" s="1"/>
      <c r="Q413" s="1"/>
      <c r="R413" s="1"/>
      <c r="S413" s="1"/>
      <c r="T413" s="1"/>
    </row>
    <row r="414" spans="1:20" ht="26.25" customHeight="1">
      <c r="A414" s="17">
        <f t="shared" si="0"/>
        <v>411</v>
      </c>
      <c r="B414" s="18" t="s">
        <v>105</v>
      </c>
      <c r="C414" s="31" t="s">
        <v>2310</v>
      </c>
      <c r="D414" s="19" t="s">
        <v>2311</v>
      </c>
      <c r="E414" s="20" t="s">
        <v>2312</v>
      </c>
      <c r="F414" s="21" t="s">
        <v>17</v>
      </c>
      <c r="G414" s="33" t="s">
        <v>42</v>
      </c>
      <c r="H414" s="23" t="s">
        <v>2313</v>
      </c>
      <c r="I414" s="24" t="s">
        <v>20</v>
      </c>
      <c r="J414" s="1" t="s">
        <v>87</v>
      </c>
      <c r="K414" s="25">
        <v>4</v>
      </c>
      <c r="L414" s="1" t="str">
        <f t="shared" si="1"/>
        <v/>
      </c>
      <c r="M414" s="1"/>
      <c r="N414" s="1"/>
      <c r="O414" s="1"/>
      <c r="P414" s="1"/>
      <c r="Q414" s="1"/>
      <c r="R414" s="1"/>
      <c r="S414" s="1"/>
      <c r="T414" s="1"/>
    </row>
    <row r="415" spans="1:20" ht="26.25" customHeight="1">
      <c r="A415" s="17">
        <f t="shared" si="0"/>
        <v>412</v>
      </c>
      <c r="B415" s="18" t="s">
        <v>13</v>
      </c>
      <c r="C415" s="19" t="s">
        <v>2314</v>
      </c>
      <c r="D415" s="19" t="s">
        <v>939</v>
      </c>
      <c r="E415" s="20" t="s">
        <v>2315</v>
      </c>
      <c r="F415" s="21" t="s">
        <v>135</v>
      </c>
      <c r="G415" s="22" t="s">
        <v>42</v>
      </c>
      <c r="H415" s="23" t="s">
        <v>2316</v>
      </c>
      <c r="I415" s="24" t="s">
        <v>20</v>
      </c>
      <c r="J415" s="1" t="s">
        <v>21</v>
      </c>
      <c r="K415" s="25">
        <v>3</v>
      </c>
      <c r="L415" s="1" t="str">
        <f t="shared" si="1"/>
        <v/>
      </c>
      <c r="M415" s="1"/>
      <c r="N415" s="1"/>
      <c r="O415" s="1"/>
      <c r="P415" s="1"/>
      <c r="Q415" s="1"/>
      <c r="R415" s="1"/>
      <c r="S415" s="1"/>
      <c r="T415" s="1"/>
    </row>
    <row r="416" spans="1:20" ht="26.25" customHeight="1">
      <c r="A416" s="17">
        <f t="shared" si="0"/>
        <v>413</v>
      </c>
      <c r="B416" s="18" t="s">
        <v>105</v>
      </c>
      <c r="C416" s="31" t="s">
        <v>2317</v>
      </c>
      <c r="D416" s="19" t="s">
        <v>374</v>
      </c>
      <c r="E416" s="20" t="s">
        <v>2318</v>
      </c>
      <c r="F416" s="32" t="s">
        <v>1957</v>
      </c>
      <c r="G416" s="33" t="s">
        <v>31</v>
      </c>
      <c r="H416" s="23" t="s">
        <v>2319</v>
      </c>
      <c r="I416" s="24" t="s">
        <v>55</v>
      </c>
      <c r="J416" s="1" t="str">
        <f t="shared" ref="J416:J418" si="60">IFERROR(VLOOKUP(E416,#REF!,8,FALSE),"")</f>
        <v/>
      </c>
      <c r="K416" s="1"/>
      <c r="L416" s="1" t="str">
        <f t="shared" si="1"/>
        <v/>
      </c>
      <c r="M416" s="1"/>
      <c r="N416" s="1"/>
      <c r="O416" s="1"/>
      <c r="P416" s="1"/>
      <c r="Q416" s="1"/>
      <c r="R416" s="1"/>
      <c r="S416" s="1"/>
      <c r="T416" s="1"/>
    </row>
    <row r="417" spans="1:20" ht="26.25" customHeight="1">
      <c r="A417" s="17">
        <f t="shared" si="0"/>
        <v>414</v>
      </c>
      <c r="B417" s="18" t="s">
        <v>175</v>
      </c>
      <c r="C417" s="31" t="s">
        <v>2320</v>
      </c>
      <c r="D417" s="19" t="s">
        <v>277</v>
      </c>
      <c r="E417" s="20" t="s">
        <v>2321</v>
      </c>
      <c r="F417" s="32" t="s">
        <v>2322</v>
      </c>
      <c r="G417" s="33" t="s">
        <v>42</v>
      </c>
      <c r="H417" s="23" t="s">
        <v>2323</v>
      </c>
      <c r="I417" s="24" t="s">
        <v>55</v>
      </c>
      <c r="J417" s="1" t="str">
        <f t="shared" si="60"/>
        <v/>
      </c>
      <c r="K417" s="1"/>
      <c r="L417" s="1" t="str">
        <f t="shared" si="1"/>
        <v/>
      </c>
      <c r="M417" s="1"/>
      <c r="N417" s="1"/>
      <c r="O417" s="1"/>
      <c r="P417" s="1"/>
      <c r="Q417" s="1"/>
      <c r="R417" s="1"/>
      <c r="S417" s="1"/>
      <c r="T417" s="1"/>
    </row>
    <row r="418" spans="1:20" ht="26.25" customHeight="1">
      <c r="A418" s="17">
        <f t="shared" si="0"/>
        <v>415</v>
      </c>
      <c r="B418" s="18" t="s">
        <v>175</v>
      </c>
      <c r="C418" s="31" t="s">
        <v>2324</v>
      </c>
      <c r="D418" s="19" t="s">
        <v>308</v>
      </c>
      <c r="E418" s="20" t="s">
        <v>2325</v>
      </c>
      <c r="F418" s="32" t="s">
        <v>2326</v>
      </c>
      <c r="G418" s="33" t="s">
        <v>42</v>
      </c>
      <c r="H418" s="23" t="s">
        <v>2327</v>
      </c>
      <c r="I418" s="24" t="s">
        <v>55</v>
      </c>
      <c r="J418" s="1" t="str">
        <f t="shared" si="60"/>
        <v/>
      </c>
      <c r="K418" s="1"/>
      <c r="L418" s="1" t="str">
        <f t="shared" si="1"/>
        <v/>
      </c>
      <c r="M418" s="1"/>
      <c r="N418" s="1"/>
      <c r="O418" s="1"/>
      <c r="P418" s="1"/>
      <c r="Q418" s="1"/>
      <c r="R418" s="1"/>
      <c r="S418" s="1"/>
      <c r="T418" s="1"/>
    </row>
    <row r="419" spans="1:20" ht="26.25" customHeight="1">
      <c r="A419" s="17">
        <f t="shared" si="0"/>
        <v>416</v>
      </c>
      <c r="B419" s="18" t="s">
        <v>175</v>
      </c>
      <c r="C419" s="31" t="s">
        <v>2328</v>
      </c>
      <c r="D419" s="19" t="s">
        <v>1338</v>
      </c>
      <c r="E419" s="20" t="s">
        <v>2329</v>
      </c>
      <c r="F419" s="21" t="s">
        <v>2330</v>
      </c>
      <c r="G419" s="33" t="s">
        <v>42</v>
      </c>
      <c r="H419" s="23" t="s">
        <v>2331</v>
      </c>
      <c r="I419" s="34" t="s">
        <v>20</v>
      </c>
      <c r="J419" s="1" t="s">
        <v>87</v>
      </c>
      <c r="K419" s="25">
        <v>4</v>
      </c>
      <c r="L419" s="1" t="str">
        <f t="shared" si="1"/>
        <v/>
      </c>
      <c r="M419" s="25"/>
      <c r="N419" s="25"/>
      <c r="O419" s="25"/>
      <c r="P419" s="25"/>
      <c r="Q419" s="25"/>
      <c r="R419" s="25"/>
      <c r="S419" s="25"/>
      <c r="T419" s="25"/>
    </row>
    <row r="420" spans="1:20" ht="26.25" customHeight="1">
      <c r="A420" s="17">
        <f t="shared" si="0"/>
        <v>417</v>
      </c>
      <c r="B420" s="18" t="s">
        <v>248</v>
      </c>
      <c r="C420" s="31" t="s">
        <v>2332</v>
      </c>
      <c r="D420" s="19" t="s">
        <v>141</v>
      </c>
      <c r="E420" s="20" t="s">
        <v>2333</v>
      </c>
      <c r="F420" s="32" t="s">
        <v>2334</v>
      </c>
      <c r="G420" s="33" t="s">
        <v>350</v>
      </c>
      <c r="H420" s="23" t="s">
        <v>2335</v>
      </c>
      <c r="I420" s="24" t="s">
        <v>55</v>
      </c>
      <c r="J420" s="1" t="str">
        <f t="shared" ref="J420:J421" si="61">IFERROR(VLOOKUP(E420,#REF!,8,FALSE),"")</f>
        <v/>
      </c>
      <c r="K420" s="1"/>
      <c r="L420" s="1" t="str">
        <f t="shared" si="1"/>
        <v/>
      </c>
      <c r="M420" s="1"/>
      <c r="N420" s="1"/>
      <c r="O420" s="1"/>
      <c r="P420" s="1"/>
      <c r="Q420" s="1"/>
      <c r="R420" s="1"/>
      <c r="S420" s="1"/>
      <c r="T420" s="1"/>
    </row>
    <row r="421" spans="1:20" ht="26.25" customHeight="1">
      <c r="A421" s="17">
        <f t="shared" si="0"/>
        <v>418</v>
      </c>
      <c r="B421" s="18" t="s">
        <v>175</v>
      </c>
      <c r="C421" s="31" t="s">
        <v>2336</v>
      </c>
      <c r="D421" s="19" t="s">
        <v>2337</v>
      </c>
      <c r="E421" s="20" t="s">
        <v>2338</v>
      </c>
      <c r="F421" s="32" t="s">
        <v>2339</v>
      </c>
      <c r="G421" s="33" t="s">
        <v>42</v>
      </c>
      <c r="H421" s="23" t="s">
        <v>2340</v>
      </c>
      <c r="I421" s="24" t="s">
        <v>55</v>
      </c>
      <c r="J421" s="1" t="str">
        <f t="shared" si="61"/>
        <v/>
      </c>
      <c r="K421" s="1"/>
      <c r="L421" s="1" t="str">
        <f t="shared" si="1"/>
        <v/>
      </c>
      <c r="M421" s="1"/>
      <c r="N421" s="1"/>
      <c r="O421" s="1"/>
      <c r="P421" s="1"/>
      <c r="Q421" s="1"/>
      <c r="R421" s="1"/>
      <c r="S421" s="1"/>
      <c r="T421" s="1"/>
    </row>
    <row r="422" spans="1:20" ht="26.25" customHeight="1">
      <c r="A422" s="17">
        <f t="shared" si="0"/>
        <v>419</v>
      </c>
      <c r="B422" s="18" t="s">
        <v>37</v>
      </c>
      <c r="C422" s="19" t="s">
        <v>2341</v>
      </c>
      <c r="D422" s="19" t="s">
        <v>141</v>
      </c>
      <c r="E422" s="20" t="s">
        <v>2342</v>
      </c>
      <c r="F422" s="21" t="s">
        <v>905</v>
      </c>
      <c r="G422" s="22" t="s">
        <v>42</v>
      </c>
      <c r="H422" s="23" t="s">
        <v>2343</v>
      </c>
      <c r="I422" s="24" t="s">
        <v>20</v>
      </c>
      <c r="J422" s="1" t="s">
        <v>87</v>
      </c>
      <c r="K422" s="25">
        <v>4</v>
      </c>
      <c r="L422" s="1" t="str">
        <f t="shared" si="1"/>
        <v/>
      </c>
      <c r="M422" s="1"/>
      <c r="N422" s="1"/>
      <c r="O422" s="1"/>
      <c r="P422" s="1"/>
      <c r="Q422" s="1"/>
      <c r="R422" s="1"/>
      <c r="S422" s="1"/>
      <c r="T422" s="1"/>
    </row>
    <row r="423" spans="1:20" ht="26.25" customHeight="1">
      <c r="A423" s="17">
        <f t="shared" si="0"/>
        <v>420</v>
      </c>
      <c r="B423" s="18" t="s">
        <v>27</v>
      </c>
      <c r="C423" s="19" t="s">
        <v>2344</v>
      </c>
      <c r="D423" s="19" t="s">
        <v>112</v>
      </c>
      <c r="E423" s="20" t="s">
        <v>2345</v>
      </c>
      <c r="F423" s="21" t="s">
        <v>905</v>
      </c>
      <c r="G423" s="22" t="s">
        <v>42</v>
      </c>
      <c r="H423" s="23" t="s">
        <v>2346</v>
      </c>
      <c r="I423" s="24" t="s">
        <v>20</v>
      </c>
      <c r="J423" s="1" t="s">
        <v>21</v>
      </c>
      <c r="K423" s="25">
        <v>3</v>
      </c>
      <c r="L423" s="1" t="str">
        <f t="shared" si="1"/>
        <v/>
      </c>
      <c r="M423" s="1"/>
      <c r="N423" s="1"/>
      <c r="O423" s="1"/>
      <c r="P423" s="1"/>
      <c r="Q423" s="1"/>
      <c r="R423" s="1"/>
      <c r="S423" s="1"/>
      <c r="T423" s="1"/>
    </row>
    <row r="424" spans="1:20" ht="26.25" customHeight="1">
      <c r="A424" s="17">
        <f t="shared" si="0"/>
        <v>421</v>
      </c>
      <c r="B424" s="18" t="s">
        <v>37</v>
      </c>
      <c r="C424" s="31" t="s">
        <v>1088</v>
      </c>
      <c r="D424" s="19" t="s">
        <v>588</v>
      </c>
      <c r="E424" s="20" t="s">
        <v>1089</v>
      </c>
      <c r="F424" s="32" t="s">
        <v>170</v>
      </c>
      <c r="G424" s="22" t="s">
        <v>42</v>
      </c>
      <c r="H424" s="23" t="s">
        <v>2347</v>
      </c>
      <c r="I424" s="24" t="s">
        <v>55</v>
      </c>
      <c r="J424" s="1" t="str">
        <f>IFERROR(VLOOKUP(E424,#REF!,8,FALSE),"")</f>
        <v/>
      </c>
      <c r="K424" s="25">
        <v>3</v>
      </c>
      <c r="L424" s="1" t="str">
        <f t="shared" si="1"/>
        <v>2020 FRIC 서양</v>
      </c>
      <c r="M424" s="1"/>
      <c r="N424" s="1"/>
      <c r="O424" s="1"/>
      <c r="P424" s="1"/>
      <c r="Q424" s="1"/>
      <c r="R424" s="1"/>
      <c r="S424" s="1"/>
      <c r="T424" s="1"/>
    </row>
    <row r="425" spans="1:20" ht="26.25" customHeight="1">
      <c r="A425" s="17">
        <f t="shared" si="0"/>
        <v>422</v>
      </c>
      <c r="B425" s="18" t="s">
        <v>132</v>
      </c>
      <c r="C425" s="19" t="s">
        <v>2348</v>
      </c>
      <c r="D425" s="19" t="s">
        <v>447</v>
      </c>
      <c r="E425" s="20" t="s">
        <v>2349</v>
      </c>
      <c r="F425" s="21" t="s">
        <v>2350</v>
      </c>
      <c r="G425" s="22" t="s">
        <v>42</v>
      </c>
      <c r="H425" s="23" t="s">
        <v>2351</v>
      </c>
      <c r="I425" s="24" t="s">
        <v>20</v>
      </c>
      <c r="J425" s="1" t="s">
        <v>21</v>
      </c>
      <c r="K425" s="25">
        <v>3</v>
      </c>
      <c r="L425" s="1" t="str">
        <f t="shared" si="1"/>
        <v/>
      </c>
      <c r="M425" s="1"/>
      <c r="N425" s="1"/>
      <c r="O425" s="1"/>
      <c r="P425" s="1"/>
      <c r="Q425" s="1"/>
      <c r="R425" s="1"/>
      <c r="S425" s="1"/>
      <c r="T425" s="1"/>
    </row>
    <row r="426" spans="1:20" ht="26.25" customHeight="1">
      <c r="A426" s="17">
        <f t="shared" si="0"/>
        <v>423</v>
      </c>
      <c r="B426" s="18" t="s">
        <v>13</v>
      </c>
      <c r="C426" s="31" t="s">
        <v>2352</v>
      </c>
      <c r="D426" s="19" t="s">
        <v>939</v>
      </c>
      <c r="E426" s="20" t="s">
        <v>2353</v>
      </c>
      <c r="F426" s="32" t="s">
        <v>222</v>
      </c>
      <c r="G426" s="22" t="s">
        <v>31</v>
      </c>
      <c r="H426" s="23" t="s">
        <v>2354</v>
      </c>
      <c r="I426" s="24" t="s">
        <v>55</v>
      </c>
      <c r="J426" s="1" t="str">
        <f t="shared" ref="J426:J427" si="62">IFERROR(VLOOKUP(E426,#REF!,8,FALSE),"")</f>
        <v/>
      </c>
      <c r="K426" s="1"/>
      <c r="L426" s="1" t="str">
        <f t="shared" si="1"/>
        <v/>
      </c>
      <c r="M426" s="1"/>
      <c r="N426" s="1"/>
      <c r="O426" s="1"/>
      <c r="P426" s="1"/>
      <c r="Q426" s="1"/>
      <c r="R426" s="1"/>
      <c r="S426" s="1"/>
      <c r="T426" s="1"/>
    </row>
    <row r="427" spans="1:20" ht="26.25" customHeight="1">
      <c r="A427" s="17">
        <f t="shared" si="0"/>
        <v>424</v>
      </c>
      <c r="B427" s="18" t="s">
        <v>233</v>
      </c>
      <c r="C427" s="31" t="s">
        <v>591</v>
      </c>
      <c r="D427" s="19" t="s">
        <v>242</v>
      </c>
      <c r="E427" s="20" t="s">
        <v>592</v>
      </c>
      <c r="F427" s="32" t="s">
        <v>496</v>
      </c>
      <c r="G427" s="22" t="s">
        <v>42</v>
      </c>
      <c r="H427" s="23" t="s">
        <v>2355</v>
      </c>
      <c r="I427" s="24" t="s">
        <v>55</v>
      </c>
      <c r="J427" s="1" t="str">
        <f t="shared" si="62"/>
        <v/>
      </c>
      <c r="K427" s="25">
        <v>3</v>
      </c>
      <c r="L427" s="1" t="str">
        <f t="shared" si="1"/>
        <v>2019 FRIC 서양</v>
      </c>
      <c r="M427" s="1"/>
      <c r="N427" s="1"/>
      <c r="O427" s="1"/>
      <c r="P427" s="1"/>
      <c r="Q427" s="1"/>
      <c r="R427" s="1"/>
      <c r="S427" s="1"/>
      <c r="T427" s="1"/>
    </row>
    <row r="428" spans="1:20" ht="26.25" customHeight="1">
      <c r="A428" s="17">
        <f t="shared" si="0"/>
        <v>425</v>
      </c>
      <c r="B428" s="18" t="s">
        <v>132</v>
      </c>
      <c r="C428" s="19" t="s">
        <v>2356</v>
      </c>
      <c r="D428" s="19" t="s">
        <v>124</v>
      </c>
      <c r="E428" s="20" t="s">
        <v>2357</v>
      </c>
      <c r="F428" s="21" t="s">
        <v>2358</v>
      </c>
      <c r="G428" s="22" t="s">
        <v>42</v>
      </c>
      <c r="H428" s="23" t="s">
        <v>2359</v>
      </c>
      <c r="I428" s="24" t="s">
        <v>20</v>
      </c>
      <c r="J428" s="1" t="s">
        <v>21</v>
      </c>
      <c r="K428" s="25">
        <v>3</v>
      </c>
      <c r="L428" s="1" t="str">
        <f t="shared" si="1"/>
        <v/>
      </c>
      <c r="M428" s="1"/>
      <c r="N428" s="1"/>
      <c r="O428" s="1"/>
      <c r="P428" s="1"/>
      <c r="Q428" s="1"/>
      <c r="R428" s="1"/>
      <c r="S428" s="1"/>
      <c r="T428" s="1"/>
    </row>
    <row r="429" spans="1:20" ht="26.25" customHeight="1">
      <c r="A429" s="17">
        <f t="shared" si="0"/>
        <v>426</v>
      </c>
      <c r="B429" s="18" t="s">
        <v>37</v>
      </c>
      <c r="C429" s="31" t="s">
        <v>2360</v>
      </c>
      <c r="D429" s="19" t="s">
        <v>2361</v>
      </c>
      <c r="E429" s="20" t="s">
        <v>2362</v>
      </c>
      <c r="F429" s="21" t="s">
        <v>1732</v>
      </c>
      <c r="G429" s="22" t="s">
        <v>42</v>
      </c>
      <c r="H429" s="23" t="s">
        <v>2363</v>
      </c>
      <c r="I429" s="34" t="s">
        <v>20</v>
      </c>
      <c r="J429" s="1" t="s">
        <v>87</v>
      </c>
      <c r="K429" s="25">
        <v>4</v>
      </c>
      <c r="L429" s="1" t="str">
        <f t="shared" si="1"/>
        <v/>
      </c>
      <c r="M429" s="25"/>
      <c r="N429" s="25"/>
      <c r="O429" s="25"/>
      <c r="P429" s="25"/>
      <c r="Q429" s="25"/>
      <c r="R429" s="25"/>
      <c r="S429" s="25"/>
      <c r="T429" s="25"/>
    </row>
    <row r="430" spans="1:20" ht="26.25" customHeight="1">
      <c r="A430" s="17">
        <f t="shared" si="0"/>
        <v>427</v>
      </c>
      <c r="B430" s="18" t="s">
        <v>37</v>
      </c>
      <c r="C430" s="19" t="s">
        <v>1680</v>
      </c>
      <c r="D430" s="19" t="s">
        <v>141</v>
      </c>
      <c r="E430" s="20" t="s">
        <v>1681</v>
      </c>
      <c r="F430" s="32" t="s">
        <v>178</v>
      </c>
      <c r="G430" s="22" t="s">
        <v>42</v>
      </c>
      <c r="H430" s="23" t="s">
        <v>2364</v>
      </c>
      <c r="I430" s="34" t="s">
        <v>55</v>
      </c>
      <c r="J430" s="1" t="str">
        <f t="shared" ref="J430:J433" si="63">IFERROR(VLOOKUP(E430,#REF!,8,FALSE),"")</f>
        <v/>
      </c>
      <c r="K430" s="25">
        <v>3</v>
      </c>
      <c r="L430" s="1" t="str">
        <f t="shared" si="1"/>
        <v>2021 FRIC 서양</v>
      </c>
      <c r="M430" s="25"/>
      <c r="N430" s="25"/>
      <c r="O430" s="25"/>
      <c r="P430" s="25"/>
      <c r="Q430" s="25"/>
      <c r="R430" s="25"/>
      <c r="S430" s="25"/>
      <c r="T430" s="25"/>
    </row>
    <row r="431" spans="1:20" ht="26.25" customHeight="1">
      <c r="A431" s="17">
        <f t="shared" si="0"/>
        <v>428</v>
      </c>
      <c r="B431" s="18" t="s">
        <v>1368</v>
      </c>
      <c r="C431" s="31" t="s">
        <v>2365</v>
      </c>
      <c r="D431" s="19" t="s">
        <v>1626</v>
      </c>
      <c r="E431" s="20" t="s">
        <v>2366</v>
      </c>
      <c r="F431" s="32" t="s">
        <v>142</v>
      </c>
      <c r="G431" s="33" t="s">
        <v>42</v>
      </c>
      <c r="H431" s="23" t="s">
        <v>2367</v>
      </c>
      <c r="I431" s="24" t="s">
        <v>55</v>
      </c>
      <c r="J431" s="1" t="str">
        <f t="shared" si="63"/>
        <v/>
      </c>
      <c r="K431" s="1"/>
      <c r="L431" s="1" t="str">
        <f t="shared" si="1"/>
        <v/>
      </c>
      <c r="M431" s="1"/>
      <c r="N431" s="1"/>
      <c r="O431" s="1"/>
      <c r="P431" s="1"/>
      <c r="Q431" s="1"/>
      <c r="R431" s="1"/>
      <c r="S431" s="1"/>
      <c r="T431" s="1"/>
    </row>
    <row r="432" spans="1:20" ht="26.25" customHeight="1">
      <c r="A432" s="17">
        <f t="shared" si="0"/>
        <v>429</v>
      </c>
      <c r="B432" s="18" t="s">
        <v>1368</v>
      </c>
      <c r="C432" s="31" t="s">
        <v>2368</v>
      </c>
      <c r="D432" s="19" t="s">
        <v>168</v>
      </c>
      <c r="E432" s="20" t="s">
        <v>2369</v>
      </c>
      <c r="F432" s="32" t="s">
        <v>416</v>
      </c>
      <c r="G432" s="33" t="s">
        <v>53</v>
      </c>
      <c r="H432" s="23" t="s">
        <v>2370</v>
      </c>
      <c r="I432" s="24" t="s">
        <v>55</v>
      </c>
      <c r="J432" s="1" t="str">
        <f t="shared" si="63"/>
        <v/>
      </c>
      <c r="K432" s="1"/>
      <c r="L432" s="1" t="str">
        <f t="shared" si="1"/>
        <v/>
      </c>
      <c r="M432" s="1"/>
      <c r="N432" s="1"/>
      <c r="O432" s="1"/>
      <c r="P432" s="1"/>
      <c r="Q432" s="1"/>
      <c r="R432" s="1"/>
      <c r="S432" s="1"/>
      <c r="T432" s="1"/>
    </row>
    <row r="433" spans="1:20" ht="26.25" customHeight="1">
      <c r="A433" s="17">
        <f t="shared" si="0"/>
        <v>430</v>
      </c>
      <c r="B433" s="18" t="s">
        <v>105</v>
      </c>
      <c r="C433" s="31" t="s">
        <v>2371</v>
      </c>
      <c r="D433" s="19" t="s">
        <v>2372</v>
      </c>
      <c r="E433" s="20" t="s">
        <v>2373</v>
      </c>
      <c r="F433" s="32" t="s">
        <v>2374</v>
      </c>
      <c r="G433" s="33" t="s">
        <v>42</v>
      </c>
      <c r="H433" s="23" t="s">
        <v>2375</v>
      </c>
      <c r="I433" s="24" t="s">
        <v>55</v>
      </c>
      <c r="J433" s="1" t="str">
        <f t="shared" si="63"/>
        <v/>
      </c>
      <c r="K433" s="1"/>
      <c r="L433" s="1" t="str">
        <f t="shared" si="1"/>
        <v/>
      </c>
      <c r="M433" s="1"/>
      <c r="N433" s="1"/>
      <c r="O433" s="1"/>
      <c r="P433" s="1"/>
      <c r="Q433" s="1"/>
      <c r="R433" s="1"/>
      <c r="S433" s="1"/>
      <c r="T433" s="1"/>
    </row>
    <row r="434" spans="1:20" ht="26.25" customHeight="1">
      <c r="A434" s="17">
        <f t="shared" si="0"/>
        <v>431</v>
      </c>
      <c r="B434" s="18" t="s">
        <v>1375</v>
      </c>
      <c r="C434" s="19" t="s">
        <v>2376</v>
      </c>
      <c r="D434" s="19" t="s">
        <v>2377</v>
      </c>
      <c r="E434" s="20" t="s">
        <v>2378</v>
      </c>
      <c r="F434" s="21" t="s">
        <v>135</v>
      </c>
      <c r="G434" s="22" t="s">
        <v>31</v>
      </c>
      <c r="H434" s="23" t="s">
        <v>2379</v>
      </c>
      <c r="I434" s="24" t="s">
        <v>20</v>
      </c>
      <c r="J434" s="1" t="s">
        <v>21</v>
      </c>
      <c r="K434" s="25">
        <v>3</v>
      </c>
      <c r="L434" s="1" t="str">
        <f t="shared" si="1"/>
        <v/>
      </c>
      <c r="M434" s="1"/>
      <c r="N434" s="1"/>
      <c r="O434" s="1"/>
      <c r="P434" s="1"/>
      <c r="Q434" s="1"/>
      <c r="R434" s="1"/>
      <c r="S434" s="1"/>
      <c r="T434" s="1"/>
    </row>
    <row r="435" spans="1:20" ht="26.25" customHeight="1">
      <c r="A435" s="17">
        <f t="shared" si="0"/>
        <v>432</v>
      </c>
      <c r="B435" s="18" t="s">
        <v>1375</v>
      </c>
      <c r="C435" s="19" t="s">
        <v>2380</v>
      </c>
      <c r="D435" s="19" t="s">
        <v>2377</v>
      </c>
      <c r="E435" s="20" t="s">
        <v>2381</v>
      </c>
      <c r="F435" s="21" t="s">
        <v>2382</v>
      </c>
      <c r="G435" s="22" t="s">
        <v>31</v>
      </c>
      <c r="H435" s="23" t="s">
        <v>2383</v>
      </c>
      <c r="I435" s="24" t="s">
        <v>20</v>
      </c>
      <c r="J435" s="1" t="s">
        <v>21</v>
      </c>
      <c r="K435" s="25">
        <v>3</v>
      </c>
      <c r="L435" s="1" t="str">
        <f t="shared" si="1"/>
        <v/>
      </c>
      <c r="M435" s="1"/>
      <c r="N435" s="1"/>
      <c r="O435" s="1"/>
      <c r="P435" s="1"/>
      <c r="Q435" s="1"/>
      <c r="R435" s="1"/>
      <c r="S435" s="1"/>
      <c r="T435" s="1"/>
    </row>
    <row r="436" spans="1:20" ht="26.25" customHeight="1">
      <c r="A436" s="17">
        <f t="shared" si="0"/>
        <v>433</v>
      </c>
      <c r="B436" s="18" t="s">
        <v>146</v>
      </c>
      <c r="C436" s="19" t="s">
        <v>2384</v>
      </c>
      <c r="D436" s="19" t="s">
        <v>447</v>
      </c>
      <c r="E436" s="20" t="s">
        <v>2385</v>
      </c>
      <c r="F436" s="21" t="s">
        <v>135</v>
      </c>
      <c r="G436" s="33" t="s">
        <v>42</v>
      </c>
      <c r="H436" s="23" t="s">
        <v>2386</v>
      </c>
      <c r="I436" s="24" t="s">
        <v>20</v>
      </c>
      <c r="J436" s="1" t="s">
        <v>21</v>
      </c>
      <c r="K436" s="25">
        <v>3</v>
      </c>
      <c r="L436" s="1" t="str">
        <f t="shared" si="1"/>
        <v/>
      </c>
      <c r="M436" s="1"/>
      <c r="N436" s="1"/>
      <c r="O436" s="1"/>
      <c r="P436" s="1"/>
      <c r="Q436" s="1"/>
      <c r="R436" s="1"/>
      <c r="S436" s="1"/>
      <c r="T436" s="1"/>
    </row>
    <row r="437" spans="1:20" ht="26.25" customHeight="1">
      <c r="A437" s="17">
        <f t="shared" si="0"/>
        <v>434</v>
      </c>
      <c r="B437" s="18" t="s">
        <v>233</v>
      </c>
      <c r="C437" s="31" t="s">
        <v>598</v>
      </c>
      <c r="D437" s="19" t="s">
        <v>242</v>
      </c>
      <c r="E437" s="20" t="s">
        <v>599</v>
      </c>
      <c r="F437" s="32" t="s">
        <v>2387</v>
      </c>
      <c r="G437" s="22" t="s">
        <v>42</v>
      </c>
      <c r="H437" s="23" t="s">
        <v>2388</v>
      </c>
      <c r="I437" s="24" t="s">
        <v>55</v>
      </c>
      <c r="J437" s="1" t="str">
        <f t="shared" ref="J437:J438" si="64">IFERROR(VLOOKUP(E437,#REF!,8,FALSE),"")</f>
        <v/>
      </c>
      <c r="K437" s="25">
        <v>3</v>
      </c>
      <c r="L437" s="1" t="str">
        <f t="shared" si="1"/>
        <v>2019 FRIC 서양</v>
      </c>
      <c r="M437" s="1"/>
      <c r="N437" s="1"/>
      <c r="O437" s="1"/>
      <c r="P437" s="1"/>
      <c r="Q437" s="1"/>
      <c r="R437" s="1"/>
      <c r="S437" s="1"/>
      <c r="T437" s="1"/>
    </row>
    <row r="438" spans="1:20" ht="26.25" customHeight="1">
      <c r="A438" s="17">
        <f t="shared" si="0"/>
        <v>435</v>
      </c>
      <c r="B438" s="18" t="s">
        <v>105</v>
      </c>
      <c r="C438" s="31" t="s">
        <v>2389</v>
      </c>
      <c r="D438" s="19" t="s">
        <v>207</v>
      </c>
      <c r="E438" s="20" t="s">
        <v>2390</v>
      </c>
      <c r="F438" s="32" t="s">
        <v>222</v>
      </c>
      <c r="G438" s="33" t="s">
        <v>42</v>
      </c>
      <c r="H438" s="23" t="s">
        <v>2391</v>
      </c>
      <c r="I438" s="24" t="s">
        <v>55</v>
      </c>
      <c r="J438" s="1" t="str">
        <f t="shared" si="64"/>
        <v/>
      </c>
      <c r="K438" s="1"/>
      <c r="L438" s="1" t="str">
        <f t="shared" si="1"/>
        <v/>
      </c>
      <c r="M438" s="1"/>
      <c r="N438" s="1"/>
      <c r="O438" s="1"/>
      <c r="P438" s="1"/>
      <c r="Q438" s="1"/>
      <c r="R438" s="1"/>
      <c r="S438" s="1"/>
      <c r="T438" s="1"/>
    </row>
    <row r="439" spans="1:20" ht="26.25" customHeight="1">
      <c r="A439" s="17">
        <f t="shared" si="0"/>
        <v>436</v>
      </c>
      <c r="B439" s="18" t="s">
        <v>13</v>
      </c>
      <c r="C439" s="19" t="s">
        <v>2392</v>
      </c>
      <c r="D439" s="19" t="s">
        <v>939</v>
      </c>
      <c r="E439" s="20" t="s">
        <v>2393</v>
      </c>
      <c r="F439" s="21" t="s">
        <v>2394</v>
      </c>
      <c r="G439" s="22" t="s">
        <v>42</v>
      </c>
      <c r="H439" s="23" t="s">
        <v>2395</v>
      </c>
      <c r="I439" s="24" t="s">
        <v>20</v>
      </c>
      <c r="J439" s="1" t="s">
        <v>21</v>
      </c>
      <c r="K439" s="25">
        <v>3</v>
      </c>
      <c r="L439" s="1" t="str">
        <f t="shared" si="1"/>
        <v/>
      </c>
      <c r="M439" s="1"/>
      <c r="N439" s="1"/>
      <c r="O439" s="1"/>
      <c r="P439" s="1"/>
      <c r="Q439" s="1"/>
      <c r="R439" s="1"/>
      <c r="S439" s="1"/>
      <c r="T439" s="1"/>
    </row>
    <row r="440" spans="1:20" ht="26.25" customHeight="1">
      <c r="A440" s="17">
        <f t="shared" si="0"/>
        <v>437</v>
      </c>
      <c r="B440" s="18" t="s">
        <v>13</v>
      </c>
      <c r="C440" s="31" t="s">
        <v>1092</v>
      </c>
      <c r="D440" s="19" t="s">
        <v>939</v>
      </c>
      <c r="E440" s="20" t="s">
        <v>1093</v>
      </c>
      <c r="F440" s="32" t="s">
        <v>2396</v>
      </c>
      <c r="G440" s="22" t="s">
        <v>42</v>
      </c>
      <c r="H440" s="23" t="s">
        <v>2397</v>
      </c>
      <c r="I440" s="24" t="s">
        <v>55</v>
      </c>
      <c r="J440" s="1" t="str">
        <f>IFERROR(VLOOKUP(E440,#REF!,8,FALSE),"")</f>
        <v/>
      </c>
      <c r="K440" s="25">
        <v>3</v>
      </c>
      <c r="L440" s="1" t="str">
        <f t="shared" si="1"/>
        <v>2020 FRIC 서양</v>
      </c>
      <c r="M440" s="1"/>
      <c r="N440" s="1"/>
      <c r="O440" s="1"/>
      <c r="P440" s="1"/>
      <c r="Q440" s="1"/>
      <c r="R440" s="1"/>
      <c r="S440" s="1"/>
      <c r="T440" s="1"/>
    </row>
    <row r="441" spans="1:20" ht="26.25" customHeight="1">
      <c r="A441" s="17">
        <f t="shared" si="0"/>
        <v>438</v>
      </c>
      <c r="B441" s="18" t="s">
        <v>37</v>
      </c>
      <c r="C441" s="19" t="s">
        <v>2398</v>
      </c>
      <c r="D441" s="19" t="s">
        <v>2399</v>
      </c>
      <c r="E441" s="20" t="s">
        <v>2400</v>
      </c>
      <c r="F441" s="21" t="s">
        <v>2284</v>
      </c>
      <c r="G441" s="22" t="s">
        <v>63</v>
      </c>
      <c r="H441" s="23" t="s">
        <v>2401</v>
      </c>
      <c r="I441" s="24" t="s">
        <v>20</v>
      </c>
      <c r="J441" s="1" t="s">
        <v>21</v>
      </c>
      <c r="K441" s="25">
        <v>3</v>
      </c>
      <c r="L441" s="1" t="str">
        <f t="shared" si="1"/>
        <v/>
      </c>
      <c r="M441" s="1"/>
      <c r="N441" s="1"/>
      <c r="O441" s="1"/>
      <c r="P441" s="1"/>
      <c r="Q441" s="1"/>
      <c r="R441" s="1"/>
      <c r="S441" s="1"/>
      <c r="T441" s="1"/>
    </row>
    <row r="442" spans="1:20" ht="26.25" customHeight="1">
      <c r="A442" s="17">
        <f t="shared" si="0"/>
        <v>439</v>
      </c>
      <c r="B442" s="18" t="s">
        <v>1197</v>
      </c>
      <c r="C442" s="31" t="s">
        <v>2402</v>
      </c>
      <c r="D442" s="19" t="s">
        <v>1252</v>
      </c>
      <c r="E442" s="20" t="s">
        <v>2403</v>
      </c>
      <c r="F442" s="32" t="s">
        <v>2404</v>
      </c>
      <c r="G442" s="33" t="s">
        <v>42</v>
      </c>
      <c r="H442" s="23" t="s">
        <v>2405</v>
      </c>
      <c r="I442" s="24" t="s">
        <v>55</v>
      </c>
      <c r="J442" s="1" t="str">
        <f t="shared" ref="J442:J443" si="65">IFERROR(VLOOKUP(E442,#REF!,8,FALSE),"")</f>
        <v/>
      </c>
      <c r="K442" s="1"/>
      <c r="L442" s="1" t="str">
        <f t="shared" si="1"/>
        <v/>
      </c>
      <c r="M442" s="1"/>
      <c r="N442" s="1"/>
      <c r="O442" s="1"/>
      <c r="P442" s="1"/>
      <c r="Q442" s="1"/>
      <c r="R442" s="1"/>
      <c r="S442" s="1"/>
      <c r="T442" s="1"/>
    </row>
    <row r="443" spans="1:20" ht="26.25" customHeight="1">
      <c r="A443" s="17">
        <f t="shared" si="0"/>
        <v>440</v>
      </c>
      <c r="B443" s="18" t="s">
        <v>233</v>
      </c>
      <c r="C443" s="31" t="s">
        <v>2406</v>
      </c>
      <c r="D443" s="19" t="s">
        <v>2407</v>
      </c>
      <c r="E443" s="20" t="s">
        <v>2408</v>
      </c>
      <c r="F443" s="32" t="s">
        <v>222</v>
      </c>
      <c r="G443" s="22" t="s">
        <v>31</v>
      </c>
      <c r="H443" s="23" t="s">
        <v>2409</v>
      </c>
      <c r="I443" s="24" t="s">
        <v>55</v>
      </c>
      <c r="J443" s="1" t="str">
        <f t="shared" si="65"/>
        <v/>
      </c>
      <c r="K443" s="1"/>
      <c r="L443" s="1" t="str">
        <f t="shared" si="1"/>
        <v/>
      </c>
      <c r="M443" s="1"/>
      <c r="N443" s="1"/>
      <c r="O443" s="1"/>
      <c r="P443" s="1"/>
      <c r="Q443" s="1"/>
      <c r="R443" s="1"/>
      <c r="S443" s="1"/>
      <c r="T443" s="1"/>
    </row>
    <row r="444" spans="1:20" ht="26.25" customHeight="1">
      <c r="A444" s="17">
        <f t="shared" si="0"/>
        <v>441</v>
      </c>
      <c r="B444" s="18" t="s">
        <v>27</v>
      </c>
      <c r="C444" s="19" t="s">
        <v>2410</v>
      </c>
      <c r="D444" s="19" t="s">
        <v>2411</v>
      </c>
      <c r="E444" s="20" t="s">
        <v>2412</v>
      </c>
      <c r="F444" s="21" t="s">
        <v>905</v>
      </c>
      <c r="G444" s="22" t="s">
        <v>42</v>
      </c>
      <c r="H444" s="23" t="s">
        <v>2413</v>
      </c>
      <c r="I444" s="24" t="s">
        <v>20</v>
      </c>
      <c r="J444" s="1" t="s">
        <v>21</v>
      </c>
      <c r="K444" s="25">
        <v>3</v>
      </c>
      <c r="L444" s="1" t="str">
        <f t="shared" si="1"/>
        <v/>
      </c>
      <c r="M444" s="1"/>
      <c r="N444" s="1"/>
      <c r="O444" s="1"/>
      <c r="P444" s="1"/>
      <c r="Q444" s="1"/>
      <c r="R444" s="1"/>
      <c r="S444" s="1"/>
      <c r="T444" s="1"/>
    </row>
    <row r="445" spans="1:20" ht="26.25" customHeight="1">
      <c r="A445" s="17">
        <f t="shared" si="0"/>
        <v>442</v>
      </c>
      <c r="B445" s="18" t="s">
        <v>27</v>
      </c>
      <c r="C445" s="31" t="s">
        <v>2414</v>
      </c>
      <c r="D445" s="19" t="s">
        <v>277</v>
      </c>
      <c r="E445" s="20" t="s">
        <v>2415</v>
      </c>
      <c r="F445" s="32" t="s">
        <v>2416</v>
      </c>
      <c r="G445" s="22" t="s">
        <v>42</v>
      </c>
      <c r="H445" s="23" t="s">
        <v>2417</v>
      </c>
      <c r="I445" s="24" t="s">
        <v>55</v>
      </c>
      <c r="J445" s="1" t="str">
        <f t="shared" ref="J445:J446" si="66">IFERROR(VLOOKUP(E445,#REF!,8,FALSE),"")</f>
        <v/>
      </c>
      <c r="K445" s="1"/>
      <c r="L445" s="1" t="str">
        <f t="shared" si="1"/>
        <v/>
      </c>
      <c r="M445" s="1"/>
      <c r="N445" s="1"/>
      <c r="O445" s="1"/>
      <c r="P445" s="1"/>
      <c r="Q445" s="1"/>
      <c r="R445" s="1"/>
      <c r="S445" s="1"/>
      <c r="T445" s="1"/>
    </row>
    <row r="446" spans="1:20" ht="26.25" customHeight="1">
      <c r="A446" s="17">
        <f t="shared" si="0"/>
        <v>443</v>
      </c>
      <c r="B446" s="18" t="s">
        <v>867</v>
      </c>
      <c r="C446" s="92" t="s">
        <v>2418</v>
      </c>
      <c r="D446" s="89" t="s">
        <v>2419</v>
      </c>
      <c r="E446" s="90" t="s">
        <v>2420</v>
      </c>
      <c r="F446" s="91" t="s">
        <v>2421</v>
      </c>
      <c r="G446" s="93" t="s">
        <v>42</v>
      </c>
      <c r="H446" s="94" t="s">
        <v>2422</v>
      </c>
      <c r="I446" s="95" t="s">
        <v>55</v>
      </c>
      <c r="J446" s="1" t="str">
        <f t="shared" si="66"/>
        <v/>
      </c>
      <c r="K446" s="1"/>
      <c r="L446" s="1" t="str">
        <f t="shared" si="1"/>
        <v/>
      </c>
      <c r="M446" s="96"/>
      <c r="N446" s="96"/>
      <c r="O446" s="96"/>
      <c r="P446" s="96"/>
      <c r="Q446" s="96"/>
      <c r="R446" s="96"/>
      <c r="S446" s="96"/>
      <c r="T446" s="96"/>
    </row>
    <row r="447" spans="1:20" ht="26.25" customHeight="1">
      <c r="A447" s="17">
        <f t="shared" si="0"/>
        <v>444</v>
      </c>
      <c r="B447" s="18" t="s">
        <v>105</v>
      </c>
      <c r="C447" s="31" t="s">
        <v>2423</v>
      </c>
      <c r="D447" s="19" t="s">
        <v>2424</v>
      </c>
      <c r="E447" s="20" t="s">
        <v>2425</v>
      </c>
      <c r="F447" s="21" t="s">
        <v>2426</v>
      </c>
      <c r="G447" s="33" t="s">
        <v>42</v>
      </c>
      <c r="H447" s="23" t="s">
        <v>2427</v>
      </c>
      <c r="I447" s="34" t="s">
        <v>20</v>
      </c>
      <c r="J447" s="1" t="s">
        <v>87</v>
      </c>
      <c r="K447" s="25">
        <v>4</v>
      </c>
      <c r="L447" s="1" t="str">
        <f t="shared" si="1"/>
        <v/>
      </c>
      <c r="M447" s="25"/>
      <c r="N447" s="25"/>
      <c r="O447" s="25"/>
      <c r="P447" s="25"/>
      <c r="Q447" s="25"/>
      <c r="R447" s="25"/>
      <c r="S447" s="25"/>
      <c r="T447" s="25"/>
    </row>
    <row r="448" spans="1:20" ht="26.25" customHeight="1">
      <c r="A448" s="17">
        <f t="shared" si="0"/>
        <v>445</v>
      </c>
      <c r="B448" s="18" t="s">
        <v>105</v>
      </c>
      <c r="C448" s="19" t="s">
        <v>2428</v>
      </c>
      <c r="D448" s="19" t="s">
        <v>2429</v>
      </c>
      <c r="E448" s="20" t="s">
        <v>2430</v>
      </c>
      <c r="F448" s="21" t="s">
        <v>2431</v>
      </c>
      <c r="G448" s="33" t="s">
        <v>63</v>
      </c>
      <c r="H448" s="23" t="s">
        <v>2432</v>
      </c>
      <c r="I448" s="24" t="s">
        <v>20</v>
      </c>
      <c r="J448" s="1" t="s">
        <v>21</v>
      </c>
      <c r="K448" s="25">
        <v>3</v>
      </c>
      <c r="L448" s="1" t="str">
        <f t="shared" si="1"/>
        <v/>
      </c>
      <c r="M448" s="1"/>
      <c r="N448" s="1"/>
      <c r="O448" s="1"/>
      <c r="P448" s="1"/>
      <c r="Q448" s="1"/>
      <c r="R448" s="1"/>
      <c r="S448" s="1"/>
      <c r="T448" s="1"/>
    </row>
    <row r="449" spans="1:20" ht="26.25" customHeight="1">
      <c r="A449" s="17">
        <f t="shared" si="0"/>
        <v>446</v>
      </c>
      <c r="B449" s="18" t="s">
        <v>81</v>
      </c>
      <c r="C449" s="31" t="s">
        <v>2433</v>
      </c>
      <c r="D449" s="19" t="s">
        <v>83</v>
      </c>
      <c r="E449" s="20" t="s">
        <v>1442</v>
      </c>
      <c r="F449" s="32" t="s">
        <v>2434</v>
      </c>
      <c r="G449" s="33" t="s">
        <v>42</v>
      </c>
      <c r="H449" s="23" t="s">
        <v>2435</v>
      </c>
      <c r="I449" s="34" t="s">
        <v>55</v>
      </c>
      <c r="J449" s="1" t="str">
        <f t="shared" ref="J449:J457" si="67">IFERROR(VLOOKUP(E449,#REF!,8,FALSE),"")</f>
        <v/>
      </c>
      <c r="K449" s="25">
        <v>4</v>
      </c>
      <c r="L449" s="1" t="str">
        <f t="shared" si="1"/>
        <v>2021 과기 서양</v>
      </c>
      <c r="M449" s="25"/>
      <c r="N449" s="25"/>
      <c r="O449" s="25"/>
      <c r="P449" s="25"/>
      <c r="Q449" s="25"/>
      <c r="R449" s="25"/>
      <c r="S449" s="25"/>
      <c r="T449" s="25"/>
    </row>
    <row r="450" spans="1:20" ht="26.25" customHeight="1">
      <c r="A450" s="17">
        <f t="shared" si="0"/>
        <v>447</v>
      </c>
      <c r="B450" s="18" t="s">
        <v>105</v>
      </c>
      <c r="C450" s="31" t="s">
        <v>2436</v>
      </c>
      <c r="D450" s="19" t="s">
        <v>761</v>
      </c>
      <c r="E450" s="20" t="s">
        <v>2437</v>
      </c>
      <c r="F450" s="32" t="s">
        <v>2438</v>
      </c>
      <c r="G450" s="33" t="s">
        <v>42</v>
      </c>
      <c r="H450" s="23" t="s">
        <v>2439</v>
      </c>
      <c r="I450" s="24" t="s">
        <v>55</v>
      </c>
      <c r="J450" s="1" t="str">
        <f t="shared" si="67"/>
        <v/>
      </c>
      <c r="K450" s="1"/>
      <c r="L450" s="1" t="str">
        <f t="shared" si="1"/>
        <v/>
      </c>
      <c r="M450" s="1"/>
      <c r="N450" s="1"/>
      <c r="O450" s="1"/>
      <c r="P450" s="1"/>
      <c r="Q450" s="1"/>
      <c r="R450" s="1"/>
      <c r="S450" s="1"/>
      <c r="T450" s="1"/>
    </row>
    <row r="451" spans="1:20" ht="26.25" customHeight="1">
      <c r="A451" s="17">
        <f t="shared" si="0"/>
        <v>448</v>
      </c>
      <c r="B451" s="18" t="s">
        <v>27</v>
      </c>
      <c r="C451" s="31" t="s">
        <v>2440</v>
      </c>
      <c r="D451" s="19" t="s">
        <v>246</v>
      </c>
      <c r="E451" s="20" t="s">
        <v>2441</v>
      </c>
      <c r="F451" s="32" t="s">
        <v>2442</v>
      </c>
      <c r="G451" s="22" t="s">
        <v>42</v>
      </c>
      <c r="H451" s="23" t="s">
        <v>2443</v>
      </c>
      <c r="I451" s="24" t="s">
        <v>55</v>
      </c>
      <c r="J451" s="1" t="str">
        <f t="shared" si="67"/>
        <v/>
      </c>
      <c r="K451" s="1"/>
      <c r="L451" s="1" t="str">
        <f t="shared" si="1"/>
        <v/>
      </c>
      <c r="M451" s="1"/>
      <c r="N451" s="1"/>
      <c r="O451" s="1"/>
      <c r="P451" s="1"/>
      <c r="Q451" s="1"/>
      <c r="R451" s="1"/>
      <c r="S451" s="1"/>
      <c r="T451" s="1"/>
    </row>
    <row r="452" spans="1:20" ht="26.25" customHeight="1">
      <c r="A452" s="17">
        <f t="shared" si="0"/>
        <v>449</v>
      </c>
      <c r="B452" s="18" t="s">
        <v>105</v>
      </c>
      <c r="C452" s="31" t="s">
        <v>2444</v>
      </c>
      <c r="D452" s="19" t="s">
        <v>2445</v>
      </c>
      <c r="E452" s="20" t="s">
        <v>2446</v>
      </c>
      <c r="F452" s="32" t="s">
        <v>2447</v>
      </c>
      <c r="G452" s="33" t="s">
        <v>42</v>
      </c>
      <c r="H452" s="23" t="s">
        <v>2448</v>
      </c>
      <c r="I452" s="24" t="s">
        <v>55</v>
      </c>
      <c r="J452" s="1" t="str">
        <f t="shared" si="67"/>
        <v/>
      </c>
      <c r="K452" s="1"/>
      <c r="L452" s="1" t="str">
        <f t="shared" si="1"/>
        <v/>
      </c>
      <c r="M452" s="1"/>
      <c r="N452" s="1"/>
      <c r="O452" s="1"/>
      <c r="P452" s="1"/>
      <c r="Q452" s="1"/>
      <c r="R452" s="1"/>
      <c r="S452" s="1"/>
      <c r="T452" s="1"/>
    </row>
    <row r="453" spans="1:20" ht="26.25" customHeight="1">
      <c r="A453" s="17">
        <f t="shared" si="0"/>
        <v>450</v>
      </c>
      <c r="B453" s="18" t="s">
        <v>105</v>
      </c>
      <c r="C453" s="92" t="s">
        <v>2449</v>
      </c>
      <c r="D453" s="89" t="s">
        <v>2450</v>
      </c>
      <c r="E453" s="90" t="s">
        <v>2451</v>
      </c>
      <c r="F453" s="91" t="s">
        <v>2452</v>
      </c>
      <c r="G453" s="93" t="s">
        <v>53</v>
      </c>
      <c r="H453" s="94" t="s">
        <v>2453</v>
      </c>
      <c r="I453" s="95" t="s">
        <v>55</v>
      </c>
      <c r="J453" s="1" t="str">
        <f t="shared" si="67"/>
        <v/>
      </c>
      <c r="K453" s="1"/>
      <c r="L453" s="1" t="str">
        <f t="shared" si="1"/>
        <v/>
      </c>
      <c r="M453" s="96"/>
      <c r="N453" s="96"/>
      <c r="O453" s="96"/>
      <c r="P453" s="96"/>
      <c r="Q453" s="96"/>
      <c r="R453" s="96"/>
      <c r="S453" s="96"/>
      <c r="T453" s="96"/>
    </row>
    <row r="454" spans="1:20" ht="26.25" customHeight="1">
      <c r="A454" s="17">
        <f t="shared" si="0"/>
        <v>451</v>
      </c>
      <c r="B454" s="18" t="s">
        <v>105</v>
      </c>
      <c r="C454" s="31" t="s">
        <v>2454</v>
      </c>
      <c r="D454" s="19" t="s">
        <v>2455</v>
      </c>
      <c r="E454" s="20" t="s">
        <v>2456</v>
      </c>
      <c r="F454" s="32" t="s">
        <v>2457</v>
      </c>
      <c r="G454" s="33" t="s">
        <v>42</v>
      </c>
      <c r="H454" s="23" t="s">
        <v>2458</v>
      </c>
      <c r="I454" s="24" t="s">
        <v>55</v>
      </c>
      <c r="J454" s="1" t="str">
        <f t="shared" si="67"/>
        <v/>
      </c>
      <c r="K454" s="1"/>
      <c r="L454" s="1" t="str">
        <f t="shared" si="1"/>
        <v/>
      </c>
      <c r="M454" s="1"/>
      <c r="N454" s="1"/>
      <c r="O454" s="1"/>
      <c r="P454" s="1"/>
      <c r="Q454" s="1"/>
      <c r="R454" s="1"/>
      <c r="S454" s="1"/>
      <c r="T454" s="1"/>
    </row>
    <row r="455" spans="1:20" ht="26.25" customHeight="1">
      <c r="A455" s="17">
        <f t="shared" si="0"/>
        <v>452</v>
      </c>
      <c r="B455" s="18" t="s">
        <v>105</v>
      </c>
      <c r="C455" s="31" t="s">
        <v>2459</v>
      </c>
      <c r="D455" s="19" t="s">
        <v>2460</v>
      </c>
      <c r="E455" s="20" t="s">
        <v>493</v>
      </c>
      <c r="F455" s="32" t="s">
        <v>2461</v>
      </c>
      <c r="G455" s="33" t="s">
        <v>42</v>
      </c>
      <c r="H455" s="23" t="s">
        <v>2462</v>
      </c>
      <c r="I455" s="24" t="s">
        <v>55</v>
      </c>
      <c r="J455" s="1" t="str">
        <f t="shared" si="67"/>
        <v/>
      </c>
      <c r="K455" s="25">
        <v>4</v>
      </c>
      <c r="L455" s="1" t="str">
        <f t="shared" si="1"/>
        <v>2019 과기 동양</v>
      </c>
      <c r="M455" s="1"/>
      <c r="N455" s="1"/>
      <c r="O455" s="1"/>
      <c r="P455" s="1"/>
      <c r="Q455" s="1"/>
      <c r="R455" s="1"/>
      <c r="S455" s="1"/>
      <c r="T455" s="1"/>
    </row>
    <row r="456" spans="1:20" ht="26.25" customHeight="1">
      <c r="A456" s="17">
        <f t="shared" si="0"/>
        <v>453</v>
      </c>
      <c r="B456" s="18" t="s">
        <v>105</v>
      </c>
      <c r="C456" s="31" t="s">
        <v>2463</v>
      </c>
      <c r="D456" s="19" t="s">
        <v>2464</v>
      </c>
      <c r="E456" s="20" t="s">
        <v>2465</v>
      </c>
      <c r="F456" s="32" t="s">
        <v>2466</v>
      </c>
      <c r="G456" s="33" t="s">
        <v>42</v>
      </c>
      <c r="H456" s="23" t="s">
        <v>2467</v>
      </c>
      <c r="I456" s="24" t="s">
        <v>55</v>
      </c>
      <c r="J456" s="1" t="str">
        <f t="shared" si="67"/>
        <v/>
      </c>
      <c r="K456" s="1"/>
      <c r="L456" s="1" t="str">
        <f t="shared" si="1"/>
        <v/>
      </c>
      <c r="M456" s="1"/>
      <c r="N456" s="1"/>
      <c r="O456" s="1"/>
      <c r="P456" s="1"/>
      <c r="Q456" s="1"/>
      <c r="R456" s="1"/>
      <c r="S456" s="1"/>
      <c r="T456" s="1"/>
    </row>
    <row r="457" spans="1:20" ht="26.25" customHeight="1">
      <c r="A457" s="17">
        <f t="shared" si="0"/>
        <v>454</v>
      </c>
      <c r="B457" s="18" t="s">
        <v>105</v>
      </c>
      <c r="C457" s="31" t="s">
        <v>2468</v>
      </c>
      <c r="D457" s="19" t="s">
        <v>2464</v>
      </c>
      <c r="E457" s="20" t="s">
        <v>2469</v>
      </c>
      <c r="F457" s="32" t="s">
        <v>738</v>
      </c>
      <c r="G457" s="33" t="s">
        <v>42</v>
      </c>
      <c r="H457" s="23" t="s">
        <v>2470</v>
      </c>
      <c r="I457" s="24" t="s">
        <v>55</v>
      </c>
      <c r="J457" s="1" t="str">
        <f t="shared" si="67"/>
        <v/>
      </c>
      <c r="K457" s="1"/>
      <c r="L457" s="1" t="str">
        <f t="shared" si="1"/>
        <v/>
      </c>
      <c r="M457" s="1"/>
      <c r="N457" s="1"/>
      <c r="O457" s="1"/>
      <c r="P457" s="1"/>
      <c r="Q457" s="1"/>
      <c r="R457" s="1"/>
      <c r="S457" s="1"/>
      <c r="T457" s="1"/>
    </row>
    <row r="458" spans="1:20" ht="26.25" customHeight="1">
      <c r="A458" s="17">
        <f t="shared" si="0"/>
        <v>455</v>
      </c>
      <c r="B458" s="18" t="s">
        <v>105</v>
      </c>
      <c r="C458" s="31" t="s">
        <v>2471</v>
      </c>
      <c r="D458" s="19" t="s">
        <v>2472</v>
      </c>
      <c r="E458" s="20" t="s">
        <v>2473</v>
      </c>
      <c r="F458" s="21" t="s">
        <v>2474</v>
      </c>
      <c r="G458" s="33" t="s">
        <v>42</v>
      </c>
      <c r="H458" s="23" t="s">
        <v>2475</v>
      </c>
      <c r="I458" s="34" t="s">
        <v>20</v>
      </c>
      <c r="J458" s="1" t="s">
        <v>87</v>
      </c>
      <c r="K458" s="25">
        <v>4</v>
      </c>
      <c r="L458" s="1" t="str">
        <f t="shared" si="1"/>
        <v/>
      </c>
      <c r="M458" s="25"/>
      <c r="N458" s="25"/>
      <c r="O458" s="25"/>
      <c r="P458" s="25"/>
      <c r="Q458" s="25"/>
      <c r="R458" s="25"/>
      <c r="S458" s="25"/>
      <c r="T458" s="25"/>
    </row>
    <row r="459" spans="1:20" ht="26.25" customHeight="1">
      <c r="A459" s="17">
        <f t="shared" si="0"/>
        <v>456</v>
      </c>
      <c r="B459" s="18" t="s">
        <v>27</v>
      </c>
      <c r="C459" s="31" t="s">
        <v>1096</v>
      </c>
      <c r="D459" s="19" t="s">
        <v>1097</v>
      </c>
      <c r="E459" s="20" t="s">
        <v>1098</v>
      </c>
      <c r="F459" s="32" t="s">
        <v>1033</v>
      </c>
      <c r="G459" s="22" t="s">
        <v>31</v>
      </c>
      <c r="H459" s="23" t="s">
        <v>2476</v>
      </c>
      <c r="I459" s="24" t="s">
        <v>55</v>
      </c>
      <c r="J459" s="1" t="str">
        <f t="shared" ref="J459:J462" si="68">IFERROR(VLOOKUP(E459,#REF!,8,FALSE),"")</f>
        <v/>
      </c>
      <c r="K459" s="25">
        <v>3</v>
      </c>
      <c r="L459" s="1" t="str">
        <f t="shared" si="1"/>
        <v>2020 FRIC 서양</v>
      </c>
      <c r="M459" s="1"/>
      <c r="N459" s="1"/>
      <c r="O459" s="1"/>
      <c r="P459" s="1"/>
      <c r="Q459" s="1"/>
      <c r="R459" s="1"/>
      <c r="S459" s="1"/>
      <c r="T459" s="1"/>
    </row>
    <row r="460" spans="1:20" ht="26.25" customHeight="1">
      <c r="A460" s="17">
        <f t="shared" si="0"/>
        <v>457</v>
      </c>
      <c r="B460" s="18" t="s">
        <v>37</v>
      </c>
      <c r="C460" s="31" t="s">
        <v>367</v>
      </c>
      <c r="D460" s="19" t="s">
        <v>124</v>
      </c>
      <c r="E460" s="20" t="s">
        <v>368</v>
      </c>
      <c r="F460" s="32" t="s">
        <v>163</v>
      </c>
      <c r="G460" s="22" t="s">
        <v>42</v>
      </c>
      <c r="H460" s="23" t="s">
        <v>2477</v>
      </c>
      <c r="I460" s="24" t="s">
        <v>55</v>
      </c>
      <c r="J460" s="1" t="str">
        <f t="shared" si="68"/>
        <v/>
      </c>
      <c r="K460" s="25">
        <v>3</v>
      </c>
      <c r="L460" s="1" t="str">
        <f t="shared" si="1"/>
        <v>2018 FRIC 서양</v>
      </c>
      <c r="M460" s="1"/>
      <c r="N460" s="1"/>
      <c r="O460" s="1"/>
      <c r="P460" s="1"/>
      <c r="Q460" s="1"/>
      <c r="R460" s="1"/>
      <c r="S460" s="1"/>
      <c r="T460" s="1"/>
    </row>
    <row r="461" spans="1:20" ht="26.25" customHeight="1">
      <c r="A461" s="17">
        <f t="shared" si="0"/>
        <v>458</v>
      </c>
      <c r="B461" s="18" t="s">
        <v>105</v>
      </c>
      <c r="C461" s="31" t="s">
        <v>605</v>
      </c>
      <c r="D461" s="19" t="s">
        <v>242</v>
      </c>
      <c r="E461" s="20" t="s">
        <v>606</v>
      </c>
      <c r="F461" s="32" t="s">
        <v>496</v>
      </c>
      <c r="G461" s="33" t="s">
        <v>42</v>
      </c>
      <c r="H461" s="23" t="s">
        <v>2478</v>
      </c>
      <c r="I461" s="24" t="s">
        <v>55</v>
      </c>
      <c r="J461" s="1" t="str">
        <f t="shared" si="68"/>
        <v/>
      </c>
      <c r="K461" s="25">
        <v>3</v>
      </c>
      <c r="L461" s="1" t="str">
        <f t="shared" si="1"/>
        <v>2019 FRIC 서양</v>
      </c>
      <c r="M461" s="1"/>
      <c r="N461" s="1"/>
      <c r="O461" s="1"/>
      <c r="P461" s="1"/>
      <c r="Q461" s="1"/>
      <c r="R461" s="1"/>
      <c r="S461" s="1"/>
      <c r="T461" s="1"/>
    </row>
    <row r="462" spans="1:20" ht="26.25" customHeight="1">
      <c r="A462" s="17">
        <f t="shared" si="0"/>
        <v>459</v>
      </c>
      <c r="B462" s="18" t="s">
        <v>37</v>
      </c>
      <c r="C462" s="31" t="s">
        <v>695</v>
      </c>
      <c r="D462" s="19" t="s">
        <v>141</v>
      </c>
      <c r="E462" s="20" t="s">
        <v>696</v>
      </c>
      <c r="F462" s="32" t="s">
        <v>603</v>
      </c>
      <c r="G462" s="22" t="s">
        <v>42</v>
      </c>
      <c r="H462" s="23" t="s">
        <v>2479</v>
      </c>
      <c r="I462" s="24" t="s">
        <v>55</v>
      </c>
      <c r="J462" s="1" t="str">
        <f t="shared" si="68"/>
        <v/>
      </c>
      <c r="K462" s="25">
        <v>3</v>
      </c>
      <c r="L462" s="1" t="str">
        <f t="shared" si="1"/>
        <v>2019 FRIC 서양</v>
      </c>
      <c r="M462" s="1"/>
      <c r="N462" s="1"/>
      <c r="O462" s="1"/>
      <c r="P462" s="1"/>
      <c r="Q462" s="1"/>
      <c r="R462" s="1"/>
      <c r="S462" s="1"/>
      <c r="T462" s="1"/>
    </row>
    <row r="463" spans="1:20" ht="26.25" customHeight="1">
      <c r="A463" s="17">
        <f t="shared" si="0"/>
        <v>460</v>
      </c>
      <c r="B463" s="18" t="s">
        <v>1197</v>
      </c>
      <c r="C463" s="19" t="s">
        <v>2480</v>
      </c>
      <c r="D463" s="19" t="s">
        <v>124</v>
      </c>
      <c r="E463" s="20" t="s">
        <v>2481</v>
      </c>
      <c r="F463" s="21" t="s">
        <v>905</v>
      </c>
      <c r="G463" s="33" t="s">
        <v>42</v>
      </c>
      <c r="H463" s="23" t="s">
        <v>2482</v>
      </c>
      <c r="I463" s="24" t="s">
        <v>20</v>
      </c>
      <c r="J463" s="1" t="s">
        <v>21</v>
      </c>
      <c r="K463" s="25">
        <v>3</v>
      </c>
      <c r="L463" s="1" t="str">
        <f t="shared" si="1"/>
        <v/>
      </c>
      <c r="M463" s="1"/>
      <c r="N463" s="1"/>
      <c r="O463" s="1"/>
      <c r="P463" s="1"/>
      <c r="Q463" s="1"/>
      <c r="R463" s="1"/>
      <c r="S463" s="1"/>
      <c r="T463" s="1"/>
    </row>
    <row r="464" spans="1:20" ht="26.25" customHeight="1">
      <c r="A464" s="17">
        <f t="shared" si="0"/>
        <v>461</v>
      </c>
      <c r="B464" s="18" t="s">
        <v>13</v>
      </c>
      <c r="C464" s="19" t="s">
        <v>2483</v>
      </c>
      <c r="D464" s="19" t="s">
        <v>939</v>
      </c>
      <c r="E464" s="20" t="s">
        <v>2484</v>
      </c>
      <c r="F464" s="32" t="s">
        <v>2485</v>
      </c>
      <c r="G464" s="22" t="s">
        <v>31</v>
      </c>
      <c r="H464" s="23" t="s">
        <v>2486</v>
      </c>
      <c r="I464" s="34" t="s">
        <v>55</v>
      </c>
      <c r="J464" s="1" t="str">
        <f>IFERROR(VLOOKUP(E464,#REF!,8,FALSE),"")</f>
        <v/>
      </c>
      <c r="K464" s="1"/>
      <c r="L464" s="1" t="str">
        <f t="shared" si="1"/>
        <v/>
      </c>
      <c r="M464" s="25"/>
      <c r="N464" s="25"/>
      <c r="O464" s="25"/>
      <c r="P464" s="25"/>
      <c r="Q464" s="25"/>
      <c r="R464" s="25"/>
      <c r="S464" s="25"/>
      <c r="T464" s="25"/>
    </row>
    <row r="465" spans="1:20" ht="26.25" customHeight="1">
      <c r="A465" s="17">
        <f t="shared" si="0"/>
        <v>462</v>
      </c>
      <c r="B465" s="18" t="s">
        <v>132</v>
      </c>
      <c r="C465" s="19" t="s">
        <v>2487</v>
      </c>
      <c r="D465" s="19" t="s">
        <v>447</v>
      </c>
      <c r="E465" s="20" t="s">
        <v>2488</v>
      </c>
      <c r="F465" s="21" t="s">
        <v>933</v>
      </c>
      <c r="G465" s="22" t="s">
        <v>42</v>
      </c>
      <c r="H465" s="23" t="s">
        <v>2489</v>
      </c>
      <c r="I465" s="24" t="s">
        <v>20</v>
      </c>
      <c r="J465" s="1" t="s">
        <v>21</v>
      </c>
      <c r="K465" s="25">
        <v>3</v>
      </c>
      <c r="L465" s="1" t="str">
        <f t="shared" si="1"/>
        <v/>
      </c>
      <c r="M465" s="1"/>
      <c r="N465" s="1"/>
      <c r="O465" s="1"/>
      <c r="P465" s="1"/>
      <c r="Q465" s="1"/>
      <c r="R465" s="1"/>
      <c r="S465" s="1"/>
      <c r="T465" s="1"/>
    </row>
    <row r="466" spans="1:20" ht="26.25" customHeight="1">
      <c r="A466" s="17">
        <f t="shared" si="0"/>
        <v>463</v>
      </c>
      <c r="B466" s="18" t="s">
        <v>132</v>
      </c>
      <c r="C466" s="19" t="s">
        <v>2490</v>
      </c>
      <c r="D466" s="19" t="s">
        <v>447</v>
      </c>
      <c r="E466" s="20" t="s">
        <v>2491</v>
      </c>
      <c r="F466" s="21" t="s">
        <v>135</v>
      </c>
      <c r="G466" s="22" t="s">
        <v>42</v>
      </c>
      <c r="H466" s="23" t="s">
        <v>2492</v>
      </c>
      <c r="I466" s="24" t="s">
        <v>20</v>
      </c>
      <c r="J466" s="1" t="s">
        <v>21</v>
      </c>
      <c r="K466" s="25">
        <v>3</v>
      </c>
      <c r="L466" s="1" t="str">
        <f t="shared" si="1"/>
        <v/>
      </c>
      <c r="M466" s="1"/>
      <c r="N466" s="1"/>
      <c r="O466" s="1"/>
      <c r="P466" s="1"/>
      <c r="Q466" s="1"/>
      <c r="R466" s="1"/>
      <c r="S466" s="1"/>
      <c r="T466" s="1"/>
    </row>
    <row r="467" spans="1:20" ht="26.25" customHeight="1">
      <c r="A467" s="17">
        <f t="shared" si="0"/>
        <v>464</v>
      </c>
      <c r="B467" s="18" t="s">
        <v>13</v>
      </c>
      <c r="C467" s="19" t="s">
        <v>2493</v>
      </c>
      <c r="D467" s="19" t="s">
        <v>499</v>
      </c>
      <c r="E467" s="20" t="s">
        <v>2494</v>
      </c>
      <c r="F467" s="21" t="s">
        <v>135</v>
      </c>
      <c r="G467" s="22" t="s">
        <v>1086</v>
      </c>
      <c r="H467" s="23" t="s">
        <v>2495</v>
      </c>
      <c r="I467" s="24" t="s">
        <v>20</v>
      </c>
      <c r="J467" s="1" t="s">
        <v>21</v>
      </c>
      <c r="K467" s="25">
        <v>3</v>
      </c>
      <c r="L467" s="1" t="str">
        <f t="shared" si="1"/>
        <v/>
      </c>
      <c r="M467" s="1"/>
      <c r="N467" s="1"/>
      <c r="O467" s="1"/>
      <c r="P467" s="1"/>
      <c r="Q467" s="1"/>
      <c r="R467" s="1"/>
      <c r="S467" s="1"/>
      <c r="T467" s="1"/>
    </row>
    <row r="468" spans="1:20" ht="26.25" customHeight="1">
      <c r="A468" s="17">
        <f t="shared" si="0"/>
        <v>465</v>
      </c>
      <c r="B468" s="18" t="s">
        <v>13</v>
      </c>
      <c r="C468" s="19" t="s">
        <v>2496</v>
      </c>
      <c r="D468" s="19" t="s">
        <v>939</v>
      </c>
      <c r="E468" s="20" t="s">
        <v>2497</v>
      </c>
      <c r="F468" s="21" t="s">
        <v>2498</v>
      </c>
      <c r="G468" s="22" t="s">
        <v>1290</v>
      </c>
      <c r="H468" s="23" t="s">
        <v>2499</v>
      </c>
      <c r="I468" s="24" t="s">
        <v>20</v>
      </c>
      <c r="J468" s="1" t="s">
        <v>21</v>
      </c>
      <c r="K468" s="25">
        <v>3</v>
      </c>
      <c r="L468" s="1" t="str">
        <f t="shared" si="1"/>
        <v/>
      </c>
      <c r="M468" s="1"/>
      <c r="N468" s="1"/>
      <c r="O468" s="1"/>
      <c r="P468" s="1"/>
      <c r="Q468" s="1"/>
      <c r="R468" s="1"/>
      <c r="S468" s="1"/>
      <c r="T468" s="1"/>
    </row>
    <row r="469" spans="1:20" ht="26.25" customHeight="1">
      <c r="A469" s="17">
        <f t="shared" si="0"/>
        <v>466</v>
      </c>
      <c r="B469" s="18" t="s">
        <v>37</v>
      </c>
      <c r="C469" s="19" t="s">
        <v>2500</v>
      </c>
      <c r="D469" s="19" t="s">
        <v>2501</v>
      </c>
      <c r="E469" s="20" t="s">
        <v>1717</v>
      </c>
      <c r="F469" s="32" t="s">
        <v>52</v>
      </c>
      <c r="G469" s="22" t="s">
        <v>42</v>
      </c>
      <c r="H469" s="23" t="s">
        <v>2502</v>
      </c>
      <c r="I469" s="34" t="s">
        <v>55</v>
      </c>
      <c r="J469" s="1" t="str">
        <f t="shared" ref="J469:J471" si="69">IFERROR(VLOOKUP(E469,#REF!,8,FALSE),"")</f>
        <v/>
      </c>
      <c r="K469" s="25">
        <v>3</v>
      </c>
      <c r="L469" s="1" t="str">
        <f t="shared" si="1"/>
        <v>2021 FRIC 서양</v>
      </c>
      <c r="M469" s="25"/>
      <c r="N469" s="25"/>
      <c r="O469" s="25"/>
      <c r="P469" s="25"/>
      <c r="Q469" s="25"/>
      <c r="R469" s="25"/>
      <c r="S469" s="25"/>
      <c r="T469" s="25"/>
    </row>
    <row r="470" spans="1:20" ht="26.25" customHeight="1">
      <c r="A470" s="17">
        <f t="shared" si="0"/>
        <v>467</v>
      </c>
      <c r="B470" s="18" t="s">
        <v>37</v>
      </c>
      <c r="C470" s="19" t="s">
        <v>2503</v>
      </c>
      <c r="D470" s="19" t="s">
        <v>2501</v>
      </c>
      <c r="E470" s="20" t="s">
        <v>1723</v>
      </c>
      <c r="F470" s="32" t="s">
        <v>2504</v>
      </c>
      <c r="G470" s="22" t="s">
        <v>42</v>
      </c>
      <c r="H470" s="23" t="s">
        <v>2505</v>
      </c>
      <c r="I470" s="34" t="s">
        <v>55</v>
      </c>
      <c r="J470" s="1" t="str">
        <f t="shared" si="69"/>
        <v/>
      </c>
      <c r="K470" s="25">
        <v>3</v>
      </c>
      <c r="L470" s="1" t="str">
        <f t="shared" si="1"/>
        <v>2021 FRIC 서양</v>
      </c>
      <c r="M470" s="25"/>
      <c r="N470" s="25"/>
      <c r="O470" s="25"/>
      <c r="P470" s="25"/>
      <c r="Q470" s="25"/>
      <c r="R470" s="25"/>
      <c r="S470" s="25"/>
      <c r="T470" s="25"/>
    </row>
    <row r="471" spans="1:20" ht="26.25" customHeight="1">
      <c r="A471" s="17">
        <f t="shared" si="0"/>
        <v>468</v>
      </c>
      <c r="B471" s="18" t="s">
        <v>105</v>
      </c>
      <c r="C471" s="31" t="s">
        <v>689</v>
      </c>
      <c r="D471" s="19" t="s">
        <v>2506</v>
      </c>
      <c r="E471" s="20" t="s">
        <v>690</v>
      </c>
      <c r="F471" s="32" t="s">
        <v>2507</v>
      </c>
      <c r="G471" s="33" t="s">
        <v>42</v>
      </c>
      <c r="H471" s="23" t="s">
        <v>2508</v>
      </c>
      <c r="I471" s="24" t="s">
        <v>55</v>
      </c>
      <c r="J471" s="1" t="str">
        <f t="shared" si="69"/>
        <v/>
      </c>
      <c r="K471" s="25">
        <v>3</v>
      </c>
      <c r="L471" s="1" t="str">
        <f t="shared" si="1"/>
        <v>2019 FRIC 서양</v>
      </c>
      <c r="M471" s="1"/>
      <c r="N471" s="1"/>
      <c r="O471" s="1"/>
      <c r="P471" s="1"/>
      <c r="Q471" s="1"/>
      <c r="R471" s="1"/>
      <c r="S471" s="1"/>
      <c r="T471" s="1"/>
    </row>
    <row r="472" spans="1:20" ht="26.25" customHeight="1">
      <c r="A472" s="17">
        <f t="shared" si="0"/>
        <v>469</v>
      </c>
      <c r="B472" s="18" t="s">
        <v>132</v>
      </c>
      <c r="C472" s="19" t="s">
        <v>2509</v>
      </c>
      <c r="D472" s="19" t="s">
        <v>447</v>
      </c>
      <c r="E472" s="20" t="s">
        <v>2510</v>
      </c>
      <c r="F472" s="21" t="s">
        <v>135</v>
      </c>
      <c r="G472" s="22" t="s">
        <v>31</v>
      </c>
      <c r="H472" s="23" t="s">
        <v>2511</v>
      </c>
      <c r="I472" s="24" t="s">
        <v>20</v>
      </c>
      <c r="J472" s="1" t="s">
        <v>21</v>
      </c>
      <c r="K472" s="25">
        <v>3</v>
      </c>
      <c r="L472" s="1" t="str">
        <f t="shared" si="1"/>
        <v/>
      </c>
      <c r="M472" s="1"/>
      <c r="N472" s="1"/>
      <c r="O472" s="1"/>
      <c r="P472" s="1"/>
      <c r="Q472" s="1"/>
      <c r="R472" s="1"/>
      <c r="S472" s="1"/>
      <c r="T472" s="1"/>
    </row>
    <row r="473" spans="1:20" ht="26.25" customHeight="1">
      <c r="A473" s="17">
        <f t="shared" si="0"/>
        <v>470</v>
      </c>
      <c r="B473" s="18" t="s">
        <v>105</v>
      </c>
      <c r="C473" s="19" t="s">
        <v>2512</v>
      </c>
      <c r="D473" s="19" t="s">
        <v>141</v>
      </c>
      <c r="E473" s="20" t="s">
        <v>2513</v>
      </c>
      <c r="F473" s="21" t="s">
        <v>905</v>
      </c>
      <c r="G473" s="33" t="s">
        <v>42</v>
      </c>
      <c r="H473" s="23" t="s">
        <v>2514</v>
      </c>
      <c r="I473" s="24" t="s">
        <v>20</v>
      </c>
      <c r="J473" s="1" t="s">
        <v>87</v>
      </c>
      <c r="K473" s="25">
        <v>4</v>
      </c>
      <c r="L473" s="1" t="str">
        <f t="shared" si="1"/>
        <v/>
      </c>
      <c r="M473" s="1"/>
      <c r="N473" s="1"/>
      <c r="O473" s="1"/>
      <c r="P473" s="1"/>
      <c r="Q473" s="1"/>
      <c r="R473" s="1"/>
      <c r="S473" s="1"/>
      <c r="T473" s="1"/>
    </row>
    <row r="474" spans="1:20" ht="26.25" customHeight="1">
      <c r="A474" s="17">
        <f t="shared" si="0"/>
        <v>471</v>
      </c>
      <c r="B474" s="18" t="s">
        <v>13</v>
      </c>
      <c r="C474" s="19" t="s">
        <v>2515</v>
      </c>
      <c r="D474" s="19" t="s">
        <v>939</v>
      </c>
      <c r="E474" s="20" t="s">
        <v>2516</v>
      </c>
      <c r="F474" s="21" t="s">
        <v>135</v>
      </c>
      <c r="G474" s="22" t="s">
        <v>42</v>
      </c>
      <c r="H474" s="23" t="s">
        <v>2517</v>
      </c>
      <c r="I474" s="24" t="s">
        <v>20</v>
      </c>
      <c r="J474" s="1" t="s">
        <v>21</v>
      </c>
      <c r="K474" s="25">
        <v>3</v>
      </c>
      <c r="L474" s="1" t="str">
        <f t="shared" si="1"/>
        <v/>
      </c>
      <c r="M474" s="1"/>
      <c r="N474" s="1"/>
      <c r="O474" s="1"/>
      <c r="P474" s="1"/>
      <c r="Q474" s="1"/>
      <c r="R474" s="1"/>
      <c r="S474" s="1"/>
      <c r="T474" s="1"/>
    </row>
    <row r="475" spans="1:20" ht="26.25" customHeight="1">
      <c r="A475" s="17">
        <f t="shared" si="0"/>
        <v>472</v>
      </c>
      <c r="B475" s="18" t="s">
        <v>105</v>
      </c>
      <c r="C475" s="89" t="s">
        <v>2518</v>
      </c>
      <c r="D475" s="89" t="s">
        <v>2175</v>
      </c>
      <c r="E475" s="90" t="s">
        <v>2519</v>
      </c>
      <c r="F475" s="97" t="s">
        <v>135</v>
      </c>
      <c r="G475" s="33" t="s">
        <v>42</v>
      </c>
      <c r="H475" s="94" t="s">
        <v>2520</v>
      </c>
      <c r="I475" s="24" t="s">
        <v>20</v>
      </c>
      <c r="J475" s="1" t="s">
        <v>87</v>
      </c>
      <c r="K475" s="25">
        <v>4</v>
      </c>
      <c r="L475" s="1" t="str">
        <f t="shared" si="1"/>
        <v/>
      </c>
      <c r="M475" s="1"/>
      <c r="N475" s="1"/>
      <c r="O475" s="1"/>
      <c r="P475" s="1"/>
      <c r="Q475" s="1"/>
      <c r="R475" s="1"/>
      <c r="S475" s="1"/>
      <c r="T475" s="1"/>
    </row>
    <row r="476" spans="1:20" ht="26.25" customHeight="1">
      <c r="A476" s="17">
        <f t="shared" si="0"/>
        <v>473</v>
      </c>
      <c r="B476" s="18" t="s">
        <v>1375</v>
      </c>
      <c r="C476" s="19" t="s">
        <v>2521</v>
      </c>
      <c r="D476" s="19" t="s">
        <v>939</v>
      </c>
      <c r="E476" s="20" t="s">
        <v>2522</v>
      </c>
      <c r="F476" s="21" t="s">
        <v>2523</v>
      </c>
      <c r="G476" s="22" t="s">
        <v>42</v>
      </c>
      <c r="H476" s="23" t="s">
        <v>2524</v>
      </c>
      <c r="I476" s="24" t="s">
        <v>20</v>
      </c>
      <c r="J476" s="1" t="s">
        <v>21</v>
      </c>
      <c r="K476" s="25">
        <v>3</v>
      </c>
      <c r="L476" s="1" t="str">
        <f t="shared" si="1"/>
        <v/>
      </c>
      <c r="M476" s="1"/>
      <c r="N476" s="1"/>
      <c r="O476" s="1"/>
      <c r="P476" s="1"/>
      <c r="Q476" s="1"/>
      <c r="R476" s="1"/>
      <c r="S476" s="1"/>
      <c r="T476" s="1"/>
    </row>
    <row r="477" spans="1:20" ht="26.25" customHeight="1">
      <c r="A477" s="17">
        <f t="shared" si="0"/>
        <v>474</v>
      </c>
      <c r="B477" s="18" t="s">
        <v>27</v>
      </c>
      <c r="C477" s="19" t="s">
        <v>2525</v>
      </c>
      <c r="D477" s="19" t="s">
        <v>124</v>
      </c>
      <c r="E477" s="20" t="s">
        <v>2526</v>
      </c>
      <c r="F477" s="21" t="s">
        <v>905</v>
      </c>
      <c r="G477" s="22" t="s">
        <v>42</v>
      </c>
      <c r="H477" s="23" t="s">
        <v>2527</v>
      </c>
      <c r="I477" s="24" t="s">
        <v>20</v>
      </c>
      <c r="J477" s="1" t="s">
        <v>21</v>
      </c>
      <c r="K477" s="25">
        <v>3</v>
      </c>
      <c r="L477" s="1" t="str">
        <f t="shared" si="1"/>
        <v/>
      </c>
      <c r="M477" s="1"/>
      <c r="N477" s="1"/>
      <c r="O477" s="1"/>
      <c r="P477" s="1"/>
      <c r="Q477" s="1"/>
      <c r="R477" s="1"/>
      <c r="S477" s="1"/>
      <c r="T477" s="1"/>
    </row>
    <row r="478" spans="1:20" ht="26.25" customHeight="1">
      <c r="A478" s="17">
        <f t="shared" si="0"/>
        <v>475</v>
      </c>
      <c r="B478" s="18" t="s">
        <v>248</v>
      </c>
      <c r="C478" s="19" t="s">
        <v>2528</v>
      </c>
      <c r="D478" s="19" t="s">
        <v>1068</v>
      </c>
      <c r="E478" s="20" t="s">
        <v>2529</v>
      </c>
      <c r="F478" s="21" t="s">
        <v>135</v>
      </c>
      <c r="G478" s="33" t="s">
        <v>42</v>
      </c>
      <c r="H478" s="23" t="s">
        <v>2530</v>
      </c>
      <c r="I478" s="24" t="s">
        <v>20</v>
      </c>
      <c r="J478" s="1" t="s">
        <v>21</v>
      </c>
      <c r="K478" s="25">
        <v>3</v>
      </c>
      <c r="L478" s="1" t="str">
        <f t="shared" si="1"/>
        <v/>
      </c>
      <c r="M478" s="1"/>
      <c r="N478" s="1"/>
      <c r="O478" s="1"/>
      <c r="P478" s="1"/>
      <c r="Q478" s="1"/>
      <c r="R478" s="1"/>
      <c r="S478" s="1"/>
      <c r="T478" s="1"/>
    </row>
    <row r="479" spans="1:20" ht="26.25" customHeight="1">
      <c r="A479" s="17">
        <f t="shared" si="0"/>
        <v>476</v>
      </c>
      <c r="B479" s="18" t="s">
        <v>48</v>
      </c>
      <c r="C479" s="19" t="s">
        <v>2531</v>
      </c>
      <c r="D479" s="19" t="s">
        <v>1700</v>
      </c>
      <c r="E479" s="20" t="s">
        <v>2532</v>
      </c>
      <c r="F479" s="21" t="s">
        <v>905</v>
      </c>
      <c r="G479" s="33" t="s">
        <v>42</v>
      </c>
      <c r="H479" s="23" t="s">
        <v>2533</v>
      </c>
      <c r="I479" s="24" t="s">
        <v>20</v>
      </c>
      <c r="J479" s="1" t="s">
        <v>87</v>
      </c>
      <c r="K479" s="25">
        <v>4</v>
      </c>
      <c r="L479" s="1" t="str">
        <f t="shared" si="1"/>
        <v/>
      </c>
      <c r="M479" s="1"/>
      <c r="N479" s="1"/>
      <c r="O479" s="1"/>
      <c r="P479" s="1"/>
      <c r="Q479" s="1"/>
      <c r="R479" s="1"/>
      <c r="S479" s="1"/>
      <c r="T479" s="1"/>
    </row>
    <row r="480" spans="1:20" ht="26.25" customHeight="1">
      <c r="A480" s="17">
        <f t="shared" si="0"/>
        <v>477</v>
      </c>
      <c r="B480" s="18" t="s">
        <v>13</v>
      </c>
      <c r="C480" s="19" t="s">
        <v>2534</v>
      </c>
      <c r="D480" s="19" t="s">
        <v>2535</v>
      </c>
      <c r="E480" s="20" t="s">
        <v>1857</v>
      </c>
      <c r="F480" s="32" t="s">
        <v>178</v>
      </c>
      <c r="G480" s="22" t="s">
        <v>53</v>
      </c>
      <c r="H480" s="23" t="s">
        <v>2536</v>
      </c>
      <c r="I480" s="34" t="s">
        <v>55</v>
      </c>
      <c r="J480" s="1" t="str">
        <f t="shared" ref="J480:J481" si="70">IFERROR(VLOOKUP(E480,#REF!,8,FALSE),"")</f>
        <v/>
      </c>
      <c r="K480" s="25">
        <v>3</v>
      </c>
      <c r="L480" s="1" t="str">
        <f t="shared" si="1"/>
        <v>2021 FRIC 동양</v>
      </c>
      <c r="M480" s="25"/>
      <c r="N480" s="25"/>
      <c r="O480" s="25"/>
      <c r="P480" s="25"/>
      <c r="Q480" s="25"/>
      <c r="R480" s="25"/>
      <c r="S480" s="25"/>
      <c r="T480" s="25"/>
    </row>
    <row r="481" spans="1:20" ht="26.25" customHeight="1">
      <c r="A481" s="17">
        <f t="shared" si="0"/>
        <v>478</v>
      </c>
      <c r="B481" s="18" t="s">
        <v>1375</v>
      </c>
      <c r="C481" s="31" t="s">
        <v>2537</v>
      </c>
      <c r="D481" s="19" t="s">
        <v>2538</v>
      </c>
      <c r="E481" s="20" t="s">
        <v>767</v>
      </c>
      <c r="F481" s="32" t="s">
        <v>1033</v>
      </c>
      <c r="G481" s="22" t="s">
        <v>53</v>
      </c>
      <c r="H481" s="23" t="s">
        <v>2539</v>
      </c>
      <c r="I481" s="24" t="s">
        <v>55</v>
      </c>
      <c r="J481" s="1" t="str">
        <f t="shared" si="70"/>
        <v/>
      </c>
      <c r="K481" s="25">
        <v>3</v>
      </c>
      <c r="L481" s="1" t="str">
        <f t="shared" si="1"/>
        <v>2020 FRIC 동양</v>
      </c>
      <c r="M481" s="1"/>
      <c r="N481" s="1"/>
      <c r="O481" s="1"/>
      <c r="P481" s="1"/>
      <c r="Q481" s="1"/>
      <c r="R481" s="1"/>
      <c r="S481" s="1"/>
      <c r="T481" s="1"/>
    </row>
    <row r="482" spans="1:20" ht="26.25" customHeight="1">
      <c r="A482" s="17">
        <f t="shared" si="0"/>
        <v>479</v>
      </c>
      <c r="B482" s="18" t="s">
        <v>27</v>
      </c>
      <c r="C482" s="19" t="s">
        <v>2540</v>
      </c>
      <c r="D482" s="19" t="s">
        <v>277</v>
      </c>
      <c r="E482" s="20" t="s">
        <v>2541</v>
      </c>
      <c r="F482" s="21" t="s">
        <v>1970</v>
      </c>
      <c r="G482" s="22" t="s">
        <v>42</v>
      </c>
      <c r="H482" s="23" t="s">
        <v>2542</v>
      </c>
      <c r="I482" s="24" t="s">
        <v>20</v>
      </c>
      <c r="J482" s="1" t="s">
        <v>21</v>
      </c>
      <c r="K482" s="25">
        <v>3</v>
      </c>
      <c r="L482" s="1" t="str">
        <f t="shared" si="1"/>
        <v/>
      </c>
      <c r="M482" s="1"/>
      <c r="N482" s="1"/>
      <c r="O482" s="1"/>
      <c r="P482" s="1"/>
      <c r="Q482" s="1"/>
      <c r="R482" s="1"/>
      <c r="S482" s="1"/>
      <c r="T482" s="1"/>
    </row>
    <row r="483" spans="1:20" ht="26.25" customHeight="1">
      <c r="A483" s="17">
        <f t="shared" si="0"/>
        <v>480</v>
      </c>
      <c r="B483" s="18" t="s">
        <v>1197</v>
      </c>
      <c r="C483" s="31" t="s">
        <v>2543</v>
      </c>
      <c r="D483" s="19" t="s">
        <v>2544</v>
      </c>
      <c r="E483" s="20" t="s">
        <v>2545</v>
      </c>
      <c r="F483" s="32" t="s">
        <v>2546</v>
      </c>
      <c r="G483" s="33" t="s">
        <v>350</v>
      </c>
      <c r="H483" s="23" t="s">
        <v>2547</v>
      </c>
      <c r="I483" s="24" t="s">
        <v>55</v>
      </c>
      <c r="J483" s="1" t="str">
        <f t="shared" ref="J483:J488" si="71">IFERROR(VLOOKUP(E483,#REF!,8,FALSE),"")</f>
        <v/>
      </c>
      <c r="K483" s="1"/>
      <c r="L483" s="1" t="str">
        <f t="shared" si="1"/>
        <v/>
      </c>
      <c r="M483" s="1"/>
      <c r="N483" s="1"/>
      <c r="O483" s="1"/>
      <c r="P483" s="1"/>
      <c r="Q483" s="1"/>
      <c r="R483" s="1"/>
      <c r="S483" s="1"/>
      <c r="T483" s="1"/>
    </row>
    <row r="484" spans="1:20" ht="26.25" customHeight="1">
      <c r="A484" s="17">
        <f t="shared" si="0"/>
        <v>481</v>
      </c>
      <c r="B484" s="18" t="s">
        <v>13</v>
      </c>
      <c r="C484" s="31" t="s">
        <v>2548</v>
      </c>
      <c r="D484" s="19" t="s">
        <v>2549</v>
      </c>
      <c r="E484" s="20" t="s">
        <v>2550</v>
      </c>
      <c r="F484" s="32" t="s">
        <v>2551</v>
      </c>
      <c r="G484" s="22" t="s">
        <v>2552</v>
      </c>
      <c r="H484" s="23" t="s">
        <v>2553</v>
      </c>
      <c r="I484" s="24" t="s">
        <v>55</v>
      </c>
      <c r="J484" s="1" t="str">
        <f t="shared" si="71"/>
        <v/>
      </c>
      <c r="K484" s="1"/>
      <c r="L484" s="1" t="str">
        <f t="shared" si="1"/>
        <v/>
      </c>
      <c r="M484" s="1"/>
      <c r="N484" s="1"/>
      <c r="O484" s="1"/>
      <c r="P484" s="1"/>
      <c r="Q484" s="1"/>
      <c r="R484" s="1"/>
      <c r="S484" s="1"/>
      <c r="T484" s="1"/>
    </row>
    <row r="485" spans="1:20" ht="26.25" customHeight="1">
      <c r="A485" s="17">
        <f t="shared" si="0"/>
        <v>482</v>
      </c>
      <c r="B485" s="18" t="s">
        <v>48</v>
      </c>
      <c r="C485" s="31" t="s">
        <v>1448</v>
      </c>
      <c r="D485" s="19" t="s">
        <v>2554</v>
      </c>
      <c r="E485" s="20" t="s">
        <v>1450</v>
      </c>
      <c r="F485" s="32" t="s">
        <v>52</v>
      </c>
      <c r="G485" s="33" t="s">
        <v>42</v>
      </c>
      <c r="H485" s="23" t="s">
        <v>2555</v>
      </c>
      <c r="I485" s="34" t="s">
        <v>55</v>
      </c>
      <c r="J485" s="1" t="str">
        <f t="shared" si="71"/>
        <v/>
      </c>
      <c r="K485" s="25">
        <v>4</v>
      </c>
      <c r="L485" s="1" t="str">
        <f t="shared" si="1"/>
        <v>2021 과기 서양</v>
      </c>
      <c r="M485" s="25"/>
      <c r="N485" s="25"/>
      <c r="O485" s="25"/>
      <c r="P485" s="25"/>
      <c r="Q485" s="25"/>
      <c r="R485" s="25"/>
      <c r="S485" s="25"/>
      <c r="T485" s="25"/>
    </row>
    <row r="486" spans="1:20" ht="26.25" customHeight="1">
      <c r="A486" s="17">
        <f t="shared" si="0"/>
        <v>483</v>
      </c>
      <c r="B486" s="18" t="s">
        <v>248</v>
      </c>
      <c r="C486" s="31" t="s">
        <v>1103</v>
      </c>
      <c r="D486" s="19" t="s">
        <v>124</v>
      </c>
      <c r="E486" s="20" t="s">
        <v>1104</v>
      </c>
      <c r="F486" s="32" t="s">
        <v>2556</v>
      </c>
      <c r="G486" s="33" t="s">
        <v>31</v>
      </c>
      <c r="H486" s="23" t="s">
        <v>2557</v>
      </c>
      <c r="I486" s="24" t="s">
        <v>55</v>
      </c>
      <c r="J486" s="1" t="str">
        <f t="shared" si="71"/>
        <v/>
      </c>
      <c r="K486" s="25">
        <v>3</v>
      </c>
      <c r="L486" s="1" t="str">
        <f t="shared" si="1"/>
        <v>2020 FRIC 서양</v>
      </c>
      <c r="M486" s="1"/>
      <c r="N486" s="1"/>
      <c r="O486" s="1"/>
      <c r="P486" s="1"/>
      <c r="Q486" s="1"/>
      <c r="R486" s="1"/>
      <c r="S486" s="1"/>
      <c r="T486" s="1"/>
    </row>
    <row r="487" spans="1:20" ht="26.25" customHeight="1">
      <c r="A487" s="17">
        <f t="shared" si="0"/>
        <v>484</v>
      </c>
      <c r="B487" s="18" t="s">
        <v>105</v>
      </c>
      <c r="C487" s="31" t="s">
        <v>2558</v>
      </c>
      <c r="D487" s="19" t="s">
        <v>308</v>
      </c>
      <c r="E487" s="20" t="s">
        <v>2559</v>
      </c>
      <c r="F487" s="32" t="s">
        <v>2560</v>
      </c>
      <c r="G487" s="33" t="s">
        <v>42</v>
      </c>
      <c r="H487" s="23" t="s">
        <v>2561</v>
      </c>
      <c r="I487" s="24" t="s">
        <v>55</v>
      </c>
      <c r="J487" s="1" t="str">
        <f t="shared" si="71"/>
        <v/>
      </c>
      <c r="K487" s="1"/>
      <c r="L487" s="1" t="str">
        <f t="shared" si="1"/>
        <v/>
      </c>
      <c r="M487" s="1"/>
      <c r="N487" s="1"/>
      <c r="O487" s="1"/>
      <c r="P487" s="1"/>
      <c r="Q487" s="1"/>
      <c r="R487" s="1"/>
      <c r="S487" s="1"/>
      <c r="T487" s="1"/>
    </row>
    <row r="488" spans="1:20" ht="26.25" customHeight="1">
      <c r="A488" s="17">
        <f t="shared" si="0"/>
        <v>485</v>
      </c>
      <c r="B488" s="18" t="s">
        <v>175</v>
      </c>
      <c r="C488" s="31" t="s">
        <v>2562</v>
      </c>
      <c r="D488" s="19" t="s">
        <v>308</v>
      </c>
      <c r="E488" s="20" t="s">
        <v>2563</v>
      </c>
      <c r="F488" s="32" t="s">
        <v>2564</v>
      </c>
      <c r="G488" s="33" t="s">
        <v>42</v>
      </c>
      <c r="H488" s="23" t="s">
        <v>2565</v>
      </c>
      <c r="I488" s="24" t="s">
        <v>55</v>
      </c>
      <c r="J488" s="1" t="str">
        <f t="shared" si="71"/>
        <v/>
      </c>
      <c r="K488" s="1"/>
      <c r="L488" s="1" t="str">
        <f t="shared" si="1"/>
        <v/>
      </c>
      <c r="M488" s="1"/>
      <c r="N488" s="1"/>
      <c r="O488" s="1"/>
      <c r="P488" s="1"/>
      <c r="Q488" s="1"/>
      <c r="R488" s="1"/>
      <c r="S488" s="1"/>
      <c r="T488" s="1"/>
    </row>
    <row r="489" spans="1:20" ht="26.25" customHeight="1">
      <c r="A489" s="17">
        <f t="shared" si="0"/>
        <v>486</v>
      </c>
      <c r="B489" s="18" t="s">
        <v>132</v>
      </c>
      <c r="C489" s="19" t="s">
        <v>2566</v>
      </c>
      <c r="D489" s="19" t="s">
        <v>370</v>
      </c>
      <c r="E489" s="20" t="s">
        <v>2567</v>
      </c>
      <c r="F489" s="21" t="s">
        <v>2568</v>
      </c>
      <c r="G489" s="22" t="s">
        <v>53</v>
      </c>
      <c r="H489" s="23" t="s">
        <v>2569</v>
      </c>
      <c r="I489" s="24" t="s">
        <v>20</v>
      </c>
      <c r="J489" s="1" t="s">
        <v>21</v>
      </c>
      <c r="K489" s="25">
        <v>3</v>
      </c>
      <c r="L489" s="1" t="str">
        <f t="shared" si="1"/>
        <v/>
      </c>
      <c r="M489" s="1"/>
      <c r="N489" s="1"/>
      <c r="O489" s="1"/>
      <c r="P489" s="1"/>
      <c r="Q489" s="1"/>
      <c r="R489" s="1"/>
      <c r="S489" s="1"/>
      <c r="T489" s="1"/>
    </row>
    <row r="490" spans="1:20" ht="26.25" customHeight="1">
      <c r="A490" s="17">
        <f t="shared" si="0"/>
        <v>487</v>
      </c>
      <c r="B490" s="18" t="s">
        <v>132</v>
      </c>
      <c r="C490" s="31" t="s">
        <v>1110</v>
      </c>
      <c r="D490" s="19" t="s">
        <v>1111</v>
      </c>
      <c r="E490" s="20" t="s">
        <v>1112</v>
      </c>
      <c r="F490" s="32" t="s">
        <v>170</v>
      </c>
      <c r="G490" s="22" t="s">
        <v>53</v>
      </c>
      <c r="H490" s="23" t="s">
        <v>2570</v>
      </c>
      <c r="I490" s="24" t="s">
        <v>55</v>
      </c>
      <c r="J490" s="1" t="str">
        <f>IFERROR(VLOOKUP(E490,#REF!,8,FALSE),"")</f>
        <v/>
      </c>
      <c r="K490" s="25">
        <v>3</v>
      </c>
      <c r="L490" s="1" t="str">
        <f t="shared" si="1"/>
        <v>2020 FRIC 서양</v>
      </c>
      <c r="M490" s="1"/>
      <c r="N490" s="1"/>
      <c r="O490" s="1"/>
      <c r="P490" s="1"/>
      <c r="Q490" s="1"/>
      <c r="R490" s="1"/>
      <c r="S490" s="1"/>
      <c r="T490" s="1"/>
    </row>
    <row r="491" spans="1:20" ht="26.25" customHeight="1">
      <c r="A491" s="17">
        <f t="shared" si="0"/>
        <v>488</v>
      </c>
      <c r="B491" s="18" t="s">
        <v>132</v>
      </c>
      <c r="C491" s="19" t="s">
        <v>2571</v>
      </c>
      <c r="D491" s="19" t="s">
        <v>124</v>
      </c>
      <c r="E491" s="20" t="s">
        <v>2572</v>
      </c>
      <c r="F491" s="21" t="s">
        <v>135</v>
      </c>
      <c r="G491" s="22" t="s">
        <v>42</v>
      </c>
      <c r="H491" s="23" t="s">
        <v>2573</v>
      </c>
      <c r="I491" s="24" t="s">
        <v>20</v>
      </c>
      <c r="J491" s="1" t="s">
        <v>21</v>
      </c>
      <c r="K491" s="25">
        <v>3</v>
      </c>
      <c r="L491" s="1" t="str">
        <f t="shared" si="1"/>
        <v/>
      </c>
      <c r="M491" s="1"/>
      <c r="N491" s="1"/>
      <c r="O491" s="1"/>
      <c r="P491" s="1"/>
      <c r="Q491" s="1"/>
      <c r="R491" s="1"/>
      <c r="S491" s="1"/>
      <c r="T491" s="1"/>
    </row>
    <row r="492" spans="1:20" ht="26.25" customHeight="1">
      <c r="A492" s="17">
        <f t="shared" si="0"/>
        <v>489</v>
      </c>
      <c r="B492" s="18" t="s">
        <v>13</v>
      </c>
      <c r="C492" s="19" t="s">
        <v>2574</v>
      </c>
      <c r="D492" s="19" t="s">
        <v>199</v>
      </c>
      <c r="E492" s="20" t="s">
        <v>2575</v>
      </c>
      <c r="F492" s="21" t="s">
        <v>135</v>
      </c>
      <c r="G492" s="22" t="s">
        <v>42</v>
      </c>
      <c r="H492" s="23" t="s">
        <v>2576</v>
      </c>
      <c r="I492" s="24" t="s">
        <v>20</v>
      </c>
      <c r="J492" s="1" t="s">
        <v>21</v>
      </c>
      <c r="K492" s="25">
        <v>3</v>
      </c>
      <c r="L492" s="1" t="str">
        <f t="shared" si="1"/>
        <v/>
      </c>
      <c r="M492" s="1"/>
      <c r="N492" s="1"/>
      <c r="O492" s="1"/>
      <c r="P492" s="1"/>
      <c r="Q492" s="1"/>
      <c r="R492" s="1"/>
      <c r="S492" s="1"/>
      <c r="T492" s="1"/>
    </row>
    <row r="493" spans="1:20" ht="26.25" customHeight="1">
      <c r="A493" s="17">
        <f t="shared" si="0"/>
        <v>490</v>
      </c>
      <c r="B493" s="18" t="s">
        <v>81</v>
      </c>
      <c r="C493" s="31" t="s">
        <v>2577</v>
      </c>
      <c r="D493" s="19" t="s">
        <v>2578</v>
      </c>
      <c r="E493" s="20" t="s">
        <v>2579</v>
      </c>
      <c r="F493" s="32" t="s">
        <v>2580</v>
      </c>
      <c r="G493" s="33" t="s">
        <v>1893</v>
      </c>
      <c r="H493" s="23" t="s">
        <v>2581</v>
      </c>
      <c r="I493" s="24" t="s">
        <v>55</v>
      </c>
      <c r="J493" s="1" t="str">
        <f t="shared" ref="J493:J497" si="72">IFERROR(VLOOKUP(E493,#REF!,8,FALSE),"")</f>
        <v/>
      </c>
      <c r="K493" s="1"/>
      <c r="L493" s="1" t="str">
        <f t="shared" si="1"/>
        <v/>
      </c>
      <c r="M493" s="1"/>
      <c r="N493" s="1"/>
      <c r="O493" s="1"/>
      <c r="P493" s="1"/>
      <c r="Q493" s="1"/>
      <c r="R493" s="1"/>
      <c r="S493" s="1"/>
      <c r="T493" s="1"/>
    </row>
    <row r="494" spans="1:20" ht="26.25" customHeight="1">
      <c r="A494" s="17">
        <f t="shared" si="0"/>
        <v>491</v>
      </c>
      <c r="B494" s="18" t="s">
        <v>248</v>
      </c>
      <c r="C494" s="31" t="s">
        <v>1117</v>
      </c>
      <c r="D494" s="19" t="s">
        <v>1118</v>
      </c>
      <c r="E494" s="20" t="s">
        <v>1119</v>
      </c>
      <c r="F494" s="32" t="s">
        <v>2582</v>
      </c>
      <c r="G494" s="33" t="s">
        <v>31</v>
      </c>
      <c r="H494" s="23" t="s">
        <v>2583</v>
      </c>
      <c r="I494" s="24" t="s">
        <v>55</v>
      </c>
      <c r="J494" s="1" t="str">
        <f t="shared" si="72"/>
        <v/>
      </c>
      <c r="K494" s="25">
        <v>3</v>
      </c>
      <c r="L494" s="1" t="str">
        <f t="shared" si="1"/>
        <v>2020 FRIC 서양</v>
      </c>
      <c r="M494" s="1"/>
      <c r="N494" s="1"/>
      <c r="O494" s="1"/>
      <c r="P494" s="1"/>
      <c r="Q494" s="1"/>
      <c r="R494" s="1"/>
      <c r="S494" s="1"/>
      <c r="T494" s="1"/>
    </row>
    <row r="495" spans="1:20" ht="26.25" customHeight="1">
      <c r="A495" s="17">
        <f t="shared" si="0"/>
        <v>492</v>
      </c>
      <c r="B495" s="18" t="s">
        <v>1375</v>
      </c>
      <c r="C495" s="31" t="s">
        <v>2584</v>
      </c>
      <c r="D495" s="19" t="s">
        <v>2585</v>
      </c>
      <c r="E495" s="20" t="s">
        <v>2586</v>
      </c>
      <c r="F495" s="32" t="s">
        <v>428</v>
      </c>
      <c r="G495" s="22" t="s">
        <v>53</v>
      </c>
      <c r="H495" s="23" t="s">
        <v>2587</v>
      </c>
      <c r="I495" s="24" t="s">
        <v>55</v>
      </c>
      <c r="J495" s="1" t="str">
        <f t="shared" si="72"/>
        <v/>
      </c>
      <c r="K495" s="1"/>
      <c r="L495" s="1" t="str">
        <f t="shared" si="1"/>
        <v/>
      </c>
      <c r="M495" s="1"/>
      <c r="N495" s="1"/>
      <c r="O495" s="1"/>
      <c r="P495" s="1"/>
      <c r="Q495" s="1"/>
      <c r="R495" s="1"/>
      <c r="S495" s="1"/>
      <c r="T495" s="1"/>
    </row>
    <row r="496" spans="1:20" ht="26.25" customHeight="1">
      <c r="A496" s="17">
        <f t="shared" si="0"/>
        <v>493</v>
      </c>
      <c r="B496" s="18" t="s">
        <v>1375</v>
      </c>
      <c r="C496" s="31" t="s">
        <v>2588</v>
      </c>
      <c r="D496" s="19" t="s">
        <v>2589</v>
      </c>
      <c r="E496" s="20" t="s">
        <v>264</v>
      </c>
      <c r="F496" s="32" t="s">
        <v>142</v>
      </c>
      <c r="G496" s="22" t="s">
        <v>63</v>
      </c>
      <c r="H496" s="23" t="s">
        <v>2590</v>
      </c>
      <c r="I496" s="24" t="s">
        <v>55</v>
      </c>
      <c r="J496" s="1" t="str">
        <f t="shared" si="72"/>
        <v/>
      </c>
      <c r="K496" s="25">
        <v>3</v>
      </c>
      <c r="L496" s="1" t="str">
        <f t="shared" si="1"/>
        <v>2017 FRIC 서양</v>
      </c>
      <c r="M496" s="1"/>
      <c r="N496" s="1"/>
      <c r="O496" s="1"/>
      <c r="P496" s="1"/>
      <c r="Q496" s="1"/>
      <c r="R496" s="1"/>
      <c r="S496" s="1"/>
      <c r="T496" s="1"/>
    </row>
    <row r="497" spans="1:20" ht="26.25" customHeight="1">
      <c r="A497" s="17">
        <f t="shared" si="0"/>
        <v>494</v>
      </c>
      <c r="B497" s="18" t="s">
        <v>1375</v>
      </c>
      <c r="C497" s="31" t="s">
        <v>2591</v>
      </c>
      <c r="D497" s="19" t="s">
        <v>2592</v>
      </c>
      <c r="E497" s="20" t="s">
        <v>2593</v>
      </c>
      <c r="F497" s="32">
        <v>2013</v>
      </c>
      <c r="G497" s="22" t="s">
        <v>53</v>
      </c>
      <c r="H497" s="23" t="s">
        <v>2594</v>
      </c>
      <c r="I497" s="24" t="s">
        <v>55</v>
      </c>
      <c r="J497" s="1" t="str">
        <f t="shared" si="72"/>
        <v/>
      </c>
      <c r="K497" s="1"/>
      <c r="L497" s="1" t="str">
        <f t="shared" si="1"/>
        <v/>
      </c>
      <c r="M497" s="1"/>
      <c r="N497" s="1"/>
      <c r="O497" s="1"/>
      <c r="P497" s="1"/>
      <c r="Q497" s="1"/>
      <c r="R497" s="1"/>
      <c r="S497" s="1"/>
      <c r="T497" s="1"/>
    </row>
    <row r="498" spans="1:20" ht="26.25" customHeight="1">
      <c r="A498" s="17">
        <f t="shared" si="0"/>
        <v>495</v>
      </c>
      <c r="B498" s="18" t="s">
        <v>1375</v>
      </c>
      <c r="C498" s="19" t="s">
        <v>2595</v>
      </c>
      <c r="D498" s="19" t="s">
        <v>2377</v>
      </c>
      <c r="E498" s="20" t="s">
        <v>2596</v>
      </c>
      <c r="F498" s="21" t="s">
        <v>135</v>
      </c>
      <c r="G498" s="22" t="s">
        <v>53</v>
      </c>
      <c r="H498" s="23" t="s">
        <v>2597</v>
      </c>
      <c r="I498" s="24" t="s">
        <v>20</v>
      </c>
      <c r="J498" s="1" t="s">
        <v>21</v>
      </c>
      <c r="K498" s="25">
        <v>3</v>
      </c>
      <c r="L498" s="1" t="str">
        <f t="shared" si="1"/>
        <v/>
      </c>
      <c r="M498" s="1"/>
      <c r="N498" s="1"/>
      <c r="O498" s="1"/>
      <c r="P498" s="1"/>
      <c r="Q498" s="1"/>
      <c r="R498" s="1"/>
      <c r="S498" s="1"/>
      <c r="T498" s="1"/>
    </row>
    <row r="499" spans="1:20" ht="26.25" customHeight="1">
      <c r="A499" s="17">
        <f t="shared" si="0"/>
        <v>496</v>
      </c>
      <c r="B499" s="18" t="s">
        <v>1375</v>
      </c>
      <c r="C499" s="31" t="s">
        <v>1124</v>
      </c>
      <c r="D499" s="19" t="s">
        <v>2598</v>
      </c>
      <c r="E499" s="20" t="s">
        <v>1126</v>
      </c>
      <c r="F499" s="32" t="s">
        <v>170</v>
      </c>
      <c r="G499" s="22" t="s">
        <v>42</v>
      </c>
      <c r="H499" s="23" t="s">
        <v>2599</v>
      </c>
      <c r="I499" s="24" t="s">
        <v>55</v>
      </c>
      <c r="J499" s="1" t="str">
        <f t="shared" ref="J499:J500" si="73">IFERROR(VLOOKUP(E499,#REF!,8,FALSE),"")</f>
        <v/>
      </c>
      <c r="K499" s="25">
        <v>3</v>
      </c>
      <c r="L499" s="1" t="str">
        <f t="shared" si="1"/>
        <v>2020 FRIC 서양</v>
      </c>
      <c r="M499" s="1"/>
      <c r="N499" s="1"/>
      <c r="O499" s="1"/>
      <c r="P499" s="1"/>
      <c r="Q499" s="1"/>
      <c r="R499" s="1"/>
      <c r="S499" s="1"/>
      <c r="T499" s="1"/>
    </row>
    <row r="500" spans="1:20" ht="26.25" customHeight="1">
      <c r="A500" s="17">
        <f t="shared" si="0"/>
        <v>497</v>
      </c>
      <c r="B500" s="18" t="s">
        <v>37</v>
      </c>
      <c r="C500" s="31" t="s">
        <v>319</v>
      </c>
      <c r="D500" s="19" t="s">
        <v>2600</v>
      </c>
      <c r="E500" s="20" t="s">
        <v>321</v>
      </c>
      <c r="F500" s="32" t="s">
        <v>163</v>
      </c>
      <c r="G500" s="22" t="s">
        <v>42</v>
      </c>
      <c r="H500" s="23" t="s">
        <v>2601</v>
      </c>
      <c r="I500" s="24" t="s">
        <v>55</v>
      </c>
      <c r="J500" s="1" t="str">
        <f t="shared" si="73"/>
        <v/>
      </c>
      <c r="K500" s="25">
        <v>3</v>
      </c>
      <c r="L500" s="1" t="str">
        <f t="shared" si="1"/>
        <v>2018 FRIC 서양</v>
      </c>
      <c r="M500" s="1"/>
      <c r="N500" s="1"/>
      <c r="O500" s="1"/>
      <c r="P500" s="1"/>
      <c r="Q500" s="1"/>
      <c r="R500" s="1"/>
      <c r="S500" s="1"/>
      <c r="T500" s="1"/>
    </row>
    <row r="501" spans="1:20" ht="26.25" customHeight="1">
      <c r="A501" s="17">
        <f t="shared" si="0"/>
        <v>498</v>
      </c>
      <c r="B501" s="18" t="s">
        <v>37</v>
      </c>
      <c r="C501" s="19" t="s">
        <v>2602</v>
      </c>
      <c r="D501" s="19" t="s">
        <v>2603</v>
      </c>
      <c r="E501" s="20" t="s">
        <v>2604</v>
      </c>
      <c r="F501" s="21" t="s">
        <v>293</v>
      </c>
      <c r="G501" s="22" t="s">
        <v>42</v>
      </c>
      <c r="H501" s="23" t="s">
        <v>2605</v>
      </c>
      <c r="I501" s="24" t="s">
        <v>20</v>
      </c>
      <c r="J501" s="1" t="s">
        <v>87</v>
      </c>
      <c r="K501" s="25">
        <v>4</v>
      </c>
      <c r="L501" s="1" t="str">
        <f t="shared" si="1"/>
        <v/>
      </c>
      <c r="M501" s="1"/>
      <c r="N501" s="1"/>
      <c r="O501" s="1"/>
      <c r="P501" s="1"/>
      <c r="Q501" s="1"/>
      <c r="R501" s="1"/>
      <c r="S501" s="1"/>
      <c r="T501" s="1"/>
    </row>
    <row r="502" spans="1:20" ht="26.25" customHeight="1">
      <c r="A502" s="17">
        <f t="shared" si="0"/>
        <v>499</v>
      </c>
      <c r="B502" s="18" t="s">
        <v>37</v>
      </c>
      <c r="C502" s="19" t="s">
        <v>2606</v>
      </c>
      <c r="D502" s="19" t="s">
        <v>124</v>
      </c>
      <c r="E502" s="20" t="s">
        <v>2607</v>
      </c>
      <c r="F502" s="21" t="s">
        <v>135</v>
      </c>
      <c r="G502" s="22" t="s">
        <v>42</v>
      </c>
      <c r="H502" s="23" t="s">
        <v>2608</v>
      </c>
      <c r="I502" s="24" t="s">
        <v>20</v>
      </c>
      <c r="J502" s="1" t="s">
        <v>21</v>
      </c>
      <c r="K502" s="25">
        <v>3</v>
      </c>
      <c r="L502" s="1" t="str">
        <f t="shared" si="1"/>
        <v/>
      </c>
      <c r="M502" s="1"/>
      <c r="N502" s="1"/>
      <c r="O502" s="1"/>
      <c r="P502" s="1"/>
      <c r="Q502" s="1"/>
      <c r="R502" s="1"/>
      <c r="S502" s="1"/>
      <c r="T502" s="1"/>
    </row>
    <row r="503" spans="1:20" ht="26.25" customHeight="1">
      <c r="A503" s="17">
        <f t="shared" si="0"/>
        <v>500</v>
      </c>
      <c r="B503" s="18" t="s">
        <v>13</v>
      </c>
      <c r="C503" s="31" t="s">
        <v>2609</v>
      </c>
      <c r="D503" s="19" t="s">
        <v>2610</v>
      </c>
      <c r="E503" s="20" t="s">
        <v>2611</v>
      </c>
      <c r="F503" s="32" t="s">
        <v>222</v>
      </c>
      <c r="G503" s="22" t="s">
        <v>42</v>
      </c>
      <c r="H503" s="23" t="s">
        <v>2612</v>
      </c>
      <c r="I503" s="24" t="s">
        <v>55</v>
      </c>
      <c r="J503" s="1" t="str">
        <f>IFERROR(VLOOKUP(E503,#REF!,8,FALSE),"")</f>
        <v/>
      </c>
      <c r="K503" s="1"/>
      <c r="L503" s="1" t="str">
        <f t="shared" si="1"/>
        <v/>
      </c>
      <c r="M503" s="1"/>
      <c r="N503" s="1"/>
      <c r="O503" s="1"/>
      <c r="P503" s="1"/>
      <c r="Q503" s="1"/>
      <c r="R503" s="1"/>
      <c r="S503" s="1"/>
      <c r="T503" s="1"/>
    </row>
    <row r="504" spans="1:20" ht="26.25" customHeight="1">
      <c r="A504" s="17">
        <f t="shared" si="0"/>
        <v>501</v>
      </c>
      <c r="B504" s="18" t="s">
        <v>37</v>
      </c>
      <c r="C504" s="19" t="s">
        <v>2613</v>
      </c>
      <c r="D504" s="19" t="s">
        <v>124</v>
      </c>
      <c r="E504" s="20" t="s">
        <v>2614</v>
      </c>
      <c r="F504" s="21" t="s">
        <v>135</v>
      </c>
      <c r="G504" s="22" t="s">
        <v>42</v>
      </c>
      <c r="H504" s="23" t="s">
        <v>2615</v>
      </c>
      <c r="I504" s="24" t="s">
        <v>20</v>
      </c>
      <c r="J504" s="1" t="s">
        <v>21</v>
      </c>
      <c r="K504" s="25">
        <v>3</v>
      </c>
      <c r="L504" s="1" t="str">
        <f t="shared" si="1"/>
        <v/>
      </c>
      <c r="M504" s="1"/>
      <c r="N504" s="1"/>
      <c r="O504" s="1"/>
      <c r="P504" s="1"/>
      <c r="Q504" s="1"/>
      <c r="R504" s="1"/>
      <c r="S504" s="1"/>
      <c r="T504" s="1"/>
    </row>
    <row r="505" spans="1:20" ht="26.25" customHeight="1">
      <c r="A505" s="17">
        <f t="shared" si="0"/>
        <v>502</v>
      </c>
      <c r="B505" s="18" t="s">
        <v>37</v>
      </c>
      <c r="C505" s="19" t="s">
        <v>2616</v>
      </c>
      <c r="D505" s="19" t="s">
        <v>2617</v>
      </c>
      <c r="E505" s="20" t="s">
        <v>2618</v>
      </c>
      <c r="F505" s="21" t="s">
        <v>1970</v>
      </c>
      <c r="G505" s="22" t="s">
        <v>31</v>
      </c>
      <c r="H505" s="23" t="s">
        <v>2619</v>
      </c>
      <c r="I505" s="24" t="s">
        <v>20</v>
      </c>
      <c r="J505" s="1" t="s">
        <v>21</v>
      </c>
      <c r="K505" s="25">
        <v>3</v>
      </c>
      <c r="L505" s="1" t="str">
        <f t="shared" si="1"/>
        <v/>
      </c>
      <c r="M505" s="1"/>
      <c r="N505" s="1"/>
      <c r="O505" s="1"/>
      <c r="P505" s="1"/>
      <c r="Q505" s="1"/>
      <c r="R505" s="1"/>
      <c r="S505" s="1"/>
      <c r="T505" s="1"/>
    </row>
    <row r="506" spans="1:20" ht="26.25" customHeight="1">
      <c r="A506" s="17">
        <f t="shared" si="0"/>
        <v>503</v>
      </c>
      <c r="B506" s="18" t="s">
        <v>37</v>
      </c>
      <c r="C506" s="31" t="s">
        <v>1132</v>
      </c>
      <c r="D506" s="19" t="s">
        <v>1106</v>
      </c>
      <c r="E506" s="20" t="s">
        <v>1134</v>
      </c>
      <c r="F506" s="32" t="s">
        <v>2582</v>
      </c>
      <c r="G506" s="22" t="s">
        <v>31</v>
      </c>
      <c r="H506" s="23" t="s">
        <v>2620</v>
      </c>
      <c r="I506" s="24" t="s">
        <v>55</v>
      </c>
      <c r="J506" s="1" t="str">
        <f>IFERROR(VLOOKUP(E506,#REF!,8,FALSE),"")</f>
        <v/>
      </c>
      <c r="K506" s="25">
        <v>3</v>
      </c>
      <c r="L506" s="1" t="str">
        <f t="shared" si="1"/>
        <v>2020 FRIC 서양</v>
      </c>
      <c r="M506" s="1"/>
      <c r="N506" s="1"/>
      <c r="O506" s="1"/>
      <c r="P506" s="1"/>
      <c r="Q506" s="1"/>
      <c r="R506" s="1"/>
      <c r="S506" s="1"/>
      <c r="T506" s="1"/>
    </row>
    <row r="507" spans="1:20" ht="26.25" customHeight="1">
      <c r="A507" s="17">
        <f t="shared" si="0"/>
        <v>504</v>
      </c>
      <c r="B507" s="18" t="s">
        <v>37</v>
      </c>
      <c r="C507" s="98" t="s">
        <v>2621</v>
      </c>
      <c r="D507" s="19" t="s">
        <v>173</v>
      </c>
      <c r="E507" s="20" t="s">
        <v>2622</v>
      </c>
      <c r="F507" s="21" t="s">
        <v>905</v>
      </c>
      <c r="G507" s="22" t="s">
        <v>42</v>
      </c>
      <c r="H507" s="23" t="s">
        <v>2623</v>
      </c>
      <c r="I507" s="24" t="s">
        <v>20</v>
      </c>
      <c r="J507" s="1" t="s">
        <v>21</v>
      </c>
      <c r="K507" s="25">
        <v>3</v>
      </c>
      <c r="L507" s="1" t="str">
        <f t="shared" si="1"/>
        <v/>
      </c>
      <c r="M507" s="1"/>
      <c r="N507" s="1"/>
      <c r="O507" s="1"/>
      <c r="P507" s="1"/>
      <c r="Q507" s="1"/>
      <c r="R507" s="1"/>
      <c r="S507" s="1"/>
      <c r="T507" s="1"/>
    </row>
    <row r="508" spans="1:20" ht="26.25" customHeight="1">
      <c r="A508" s="17">
        <f t="shared" si="0"/>
        <v>505</v>
      </c>
      <c r="B508" s="18" t="s">
        <v>27</v>
      </c>
      <c r="C508" s="19" t="s">
        <v>2624</v>
      </c>
      <c r="D508" s="99" t="s">
        <v>440</v>
      </c>
      <c r="E508" s="20" t="s">
        <v>2625</v>
      </c>
      <c r="F508" s="21" t="s">
        <v>135</v>
      </c>
      <c r="G508" s="22" t="s">
        <v>63</v>
      </c>
      <c r="H508" s="23" t="s">
        <v>2626</v>
      </c>
      <c r="I508" s="24" t="s">
        <v>20</v>
      </c>
      <c r="J508" s="1" t="s">
        <v>21</v>
      </c>
      <c r="K508" s="25">
        <v>3</v>
      </c>
      <c r="L508" s="1" t="str">
        <f t="shared" si="1"/>
        <v/>
      </c>
      <c r="M508" s="1"/>
      <c r="N508" s="1"/>
      <c r="O508" s="1"/>
      <c r="P508" s="1"/>
      <c r="Q508" s="1"/>
      <c r="R508" s="1"/>
      <c r="S508" s="1"/>
      <c r="T508" s="1"/>
    </row>
    <row r="509" spans="1:20" ht="26.25" customHeight="1">
      <c r="A509" s="17">
        <f t="shared" si="0"/>
        <v>506</v>
      </c>
      <c r="B509" s="18" t="s">
        <v>37</v>
      </c>
      <c r="C509" s="19" t="s">
        <v>2627</v>
      </c>
      <c r="D509" s="19" t="s">
        <v>124</v>
      </c>
      <c r="E509" s="20" t="s">
        <v>2628</v>
      </c>
      <c r="F509" s="21" t="s">
        <v>135</v>
      </c>
      <c r="G509" s="22" t="s">
        <v>42</v>
      </c>
      <c r="H509" s="23" t="s">
        <v>2629</v>
      </c>
      <c r="I509" s="24" t="s">
        <v>20</v>
      </c>
      <c r="J509" s="1" t="s">
        <v>21</v>
      </c>
      <c r="K509" s="25">
        <v>3</v>
      </c>
      <c r="L509" s="1" t="str">
        <f t="shared" si="1"/>
        <v/>
      </c>
      <c r="M509" s="1"/>
      <c r="N509" s="1"/>
      <c r="O509" s="1"/>
      <c r="P509" s="1"/>
      <c r="Q509" s="1"/>
      <c r="R509" s="1"/>
      <c r="S509" s="1"/>
      <c r="T509" s="1"/>
    </row>
    <row r="510" spans="1:20" ht="26.25" customHeight="1">
      <c r="A510" s="17">
        <f t="shared" si="0"/>
        <v>507</v>
      </c>
      <c r="B510" s="18" t="s">
        <v>37</v>
      </c>
      <c r="C510" s="19" t="s">
        <v>2630</v>
      </c>
      <c r="D510" s="19" t="s">
        <v>2631</v>
      </c>
      <c r="E510" s="20" t="s">
        <v>2632</v>
      </c>
      <c r="F510" s="21" t="s">
        <v>135</v>
      </c>
      <c r="G510" s="22" t="s">
        <v>42</v>
      </c>
      <c r="H510" s="23" t="s">
        <v>2633</v>
      </c>
      <c r="I510" s="24" t="s">
        <v>20</v>
      </c>
      <c r="J510" s="1" t="s">
        <v>21</v>
      </c>
      <c r="K510" s="25">
        <v>3</v>
      </c>
      <c r="L510" s="1" t="str">
        <f t="shared" si="1"/>
        <v/>
      </c>
      <c r="M510" s="1"/>
      <c r="N510" s="1"/>
      <c r="O510" s="1"/>
      <c r="P510" s="1"/>
      <c r="Q510" s="1"/>
      <c r="R510" s="1"/>
      <c r="S510" s="1"/>
      <c r="T510" s="1"/>
    </row>
    <row r="511" spans="1:20" ht="26.25" customHeight="1">
      <c r="A511" s="17">
        <f t="shared" si="0"/>
        <v>508</v>
      </c>
      <c r="B511" s="18" t="s">
        <v>105</v>
      </c>
      <c r="C511" s="31" t="s">
        <v>683</v>
      </c>
      <c r="D511" s="19" t="s">
        <v>141</v>
      </c>
      <c r="E511" s="20" t="s">
        <v>684</v>
      </c>
      <c r="F511" s="32" t="s">
        <v>603</v>
      </c>
      <c r="G511" s="33" t="s">
        <v>42</v>
      </c>
      <c r="H511" s="23" t="s">
        <v>2634</v>
      </c>
      <c r="I511" s="24" t="s">
        <v>55</v>
      </c>
      <c r="J511" s="1" t="str">
        <f>IFERROR(VLOOKUP(E511,#REF!,8,FALSE),"")</f>
        <v/>
      </c>
      <c r="K511" s="25">
        <v>3</v>
      </c>
      <c r="L511" s="1" t="str">
        <f t="shared" si="1"/>
        <v>2019 FRIC 서양</v>
      </c>
      <c r="M511" s="1"/>
      <c r="N511" s="1"/>
      <c r="O511" s="1"/>
      <c r="P511" s="1"/>
      <c r="Q511" s="1"/>
      <c r="R511" s="1"/>
      <c r="S511" s="1"/>
      <c r="T511" s="1"/>
    </row>
    <row r="512" spans="1:20" ht="26.25" customHeight="1">
      <c r="A512" s="17">
        <f t="shared" si="0"/>
        <v>509</v>
      </c>
      <c r="B512" s="18" t="s">
        <v>105</v>
      </c>
      <c r="C512" s="31" t="s">
        <v>2635</v>
      </c>
      <c r="D512" s="19" t="s">
        <v>2636</v>
      </c>
      <c r="E512" s="20" t="s">
        <v>2637</v>
      </c>
      <c r="F512" s="21" t="s">
        <v>2638</v>
      </c>
      <c r="G512" s="33" t="s">
        <v>63</v>
      </c>
      <c r="H512" s="23" t="s">
        <v>2639</v>
      </c>
      <c r="I512" s="34" t="s">
        <v>20</v>
      </c>
      <c r="J512" s="1" t="s">
        <v>87</v>
      </c>
      <c r="K512" s="25">
        <v>4</v>
      </c>
      <c r="L512" s="1" t="str">
        <f t="shared" si="1"/>
        <v/>
      </c>
      <c r="M512" s="25"/>
      <c r="N512" s="25"/>
      <c r="O512" s="25"/>
      <c r="P512" s="25"/>
      <c r="Q512" s="25"/>
      <c r="R512" s="25"/>
      <c r="S512" s="25"/>
      <c r="T512" s="25"/>
    </row>
    <row r="513" spans="1:20" ht="26.25" customHeight="1">
      <c r="A513" s="17">
        <f t="shared" si="0"/>
        <v>510</v>
      </c>
      <c r="B513" s="18" t="s">
        <v>105</v>
      </c>
      <c r="C513" s="31" t="s">
        <v>732</v>
      </c>
      <c r="D513" s="19" t="s">
        <v>733</v>
      </c>
      <c r="E513" s="20" t="s">
        <v>734</v>
      </c>
      <c r="F513" s="32" t="s">
        <v>2640</v>
      </c>
      <c r="G513" s="33" t="s">
        <v>53</v>
      </c>
      <c r="H513" s="23" t="s">
        <v>2641</v>
      </c>
      <c r="I513" s="24" t="s">
        <v>55</v>
      </c>
      <c r="J513" s="1" t="str">
        <f t="shared" ref="J513:J519" si="74">IFERROR(VLOOKUP(E513,#REF!,8,FALSE),"")</f>
        <v/>
      </c>
      <c r="K513" s="25">
        <v>4</v>
      </c>
      <c r="L513" s="1" t="str">
        <f t="shared" si="1"/>
        <v>2020 과기 서양</v>
      </c>
      <c r="M513" s="1"/>
      <c r="N513" s="1"/>
      <c r="O513" s="1"/>
      <c r="P513" s="1"/>
      <c r="Q513" s="1"/>
      <c r="R513" s="1"/>
      <c r="S513" s="1"/>
      <c r="T513" s="1"/>
    </row>
    <row r="514" spans="1:20" ht="26.25" customHeight="1">
      <c r="A514" s="17">
        <f t="shared" si="0"/>
        <v>511</v>
      </c>
      <c r="B514" s="18" t="s">
        <v>105</v>
      </c>
      <c r="C514" s="31" t="s">
        <v>740</v>
      </c>
      <c r="D514" s="19" t="s">
        <v>2642</v>
      </c>
      <c r="E514" s="20" t="s">
        <v>741</v>
      </c>
      <c r="F514" s="32" t="s">
        <v>170</v>
      </c>
      <c r="G514" s="33" t="s">
        <v>53</v>
      </c>
      <c r="H514" s="23" t="s">
        <v>2643</v>
      </c>
      <c r="I514" s="24" t="s">
        <v>55</v>
      </c>
      <c r="J514" s="1" t="str">
        <f t="shared" si="74"/>
        <v/>
      </c>
      <c r="K514" s="25">
        <v>4</v>
      </c>
      <c r="L514" s="1" t="str">
        <f t="shared" si="1"/>
        <v>2020 과기 서양</v>
      </c>
      <c r="M514" s="1"/>
      <c r="N514" s="1"/>
      <c r="O514" s="1"/>
      <c r="P514" s="1"/>
      <c r="Q514" s="1"/>
      <c r="R514" s="1"/>
      <c r="S514" s="1"/>
      <c r="T514" s="1"/>
    </row>
    <row r="515" spans="1:20" ht="26.25" customHeight="1">
      <c r="A515" s="17">
        <f t="shared" si="0"/>
        <v>512</v>
      </c>
      <c r="B515" s="18" t="s">
        <v>105</v>
      </c>
      <c r="C515" s="31" t="s">
        <v>2644</v>
      </c>
      <c r="D515" s="19" t="s">
        <v>196</v>
      </c>
      <c r="E515" s="20" t="s">
        <v>2645</v>
      </c>
      <c r="F515" s="32" t="s">
        <v>1101</v>
      </c>
      <c r="G515" s="33" t="s">
        <v>42</v>
      </c>
      <c r="H515" s="23" t="s">
        <v>2646</v>
      </c>
      <c r="I515" s="24" t="s">
        <v>55</v>
      </c>
      <c r="J515" s="1" t="str">
        <f t="shared" si="74"/>
        <v/>
      </c>
      <c r="K515" s="1"/>
      <c r="L515" s="1" t="str">
        <f t="shared" si="1"/>
        <v/>
      </c>
      <c r="M515" s="1"/>
      <c r="N515" s="1"/>
      <c r="O515" s="1"/>
      <c r="P515" s="1"/>
      <c r="Q515" s="1"/>
      <c r="R515" s="1"/>
      <c r="S515" s="1"/>
      <c r="T515" s="1"/>
    </row>
    <row r="516" spans="1:20" ht="26.25" customHeight="1">
      <c r="A516" s="17">
        <f t="shared" si="0"/>
        <v>513</v>
      </c>
      <c r="B516" s="18" t="s">
        <v>105</v>
      </c>
      <c r="C516" s="31" t="s">
        <v>2647</v>
      </c>
      <c r="D516" s="19" t="s">
        <v>196</v>
      </c>
      <c r="E516" s="20" t="s">
        <v>2648</v>
      </c>
      <c r="F516" s="32" t="s">
        <v>519</v>
      </c>
      <c r="G516" s="33" t="s">
        <v>42</v>
      </c>
      <c r="H516" s="23" t="s">
        <v>2649</v>
      </c>
      <c r="I516" s="24" t="s">
        <v>55</v>
      </c>
      <c r="J516" s="1" t="str">
        <f t="shared" si="74"/>
        <v/>
      </c>
      <c r="K516" s="1"/>
      <c r="L516" s="1" t="str">
        <f t="shared" si="1"/>
        <v/>
      </c>
      <c r="M516" s="1"/>
      <c r="N516" s="1"/>
      <c r="O516" s="1"/>
      <c r="P516" s="1"/>
      <c r="Q516" s="1"/>
      <c r="R516" s="1"/>
      <c r="S516" s="1"/>
      <c r="T516" s="1"/>
    </row>
    <row r="517" spans="1:20" ht="26.25" customHeight="1">
      <c r="A517" s="17">
        <f t="shared" si="0"/>
        <v>514</v>
      </c>
      <c r="B517" s="18" t="s">
        <v>105</v>
      </c>
      <c r="C517" s="31" t="s">
        <v>1455</v>
      </c>
      <c r="D517" s="19" t="s">
        <v>141</v>
      </c>
      <c r="E517" s="20" t="s">
        <v>1457</v>
      </c>
      <c r="F517" s="32" t="s">
        <v>52</v>
      </c>
      <c r="G517" s="33" t="s">
        <v>42</v>
      </c>
      <c r="H517" s="23" t="s">
        <v>2650</v>
      </c>
      <c r="I517" s="34" t="s">
        <v>55</v>
      </c>
      <c r="J517" s="1" t="str">
        <f t="shared" si="74"/>
        <v/>
      </c>
      <c r="K517" s="25">
        <v>4</v>
      </c>
      <c r="L517" s="1" t="str">
        <f t="shared" si="1"/>
        <v>2021 과기 서양</v>
      </c>
      <c r="M517" s="25"/>
      <c r="N517" s="25"/>
      <c r="O517" s="25"/>
      <c r="P517" s="25"/>
      <c r="Q517" s="25"/>
      <c r="R517" s="25"/>
      <c r="S517" s="25"/>
      <c r="T517" s="25"/>
    </row>
    <row r="518" spans="1:20" ht="26.25" customHeight="1">
      <c r="A518" s="17">
        <f t="shared" si="0"/>
        <v>515</v>
      </c>
      <c r="B518" s="18" t="s">
        <v>132</v>
      </c>
      <c r="C518" s="31" t="s">
        <v>2651</v>
      </c>
      <c r="D518" s="19" t="s">
        <v>2652</v>
      </c>
      <c r="E518" s="20" t="s">
        <v>2653</v>
      </c>
      <c r="F518" s="32" t="s">
        <v>2654</v>
      </c>
      <c r="G518" s="22" t="s">
        <v>31</v>
      </c>
      <c r="H518" s="23" t="s">
        <v>2655</v>
      </c>
      <c r="I518" s="24" t="s">
        <v>55</v>
      </c>
      <c r="J518" s="1" t="str">
        <f t="shared" si="74"/>
        <v/>
      </c>
      <c r="K518" s="1"/>
      <c r="L518" s="1" t="str">
        <f t="shared" si="1"/>
        <v/>
      </c>
      <c r="M518" s="1"/>
      <c r="N518" s="1"/>
      <c r="O518" s="1"/>
      <c r="P518" s="1"/>
      <c r="Q518" s="1"/>
      <c r="R518" s="1"/>
      <c r="S518" s="1"/>
      <c r="T518" s="1"/>
    </row>
    <row r="519" spans="1:20" ht="26.25" customHeight="1">
      <c r="A519" s="17">
        <f t="shared" si="0"/>
        <v>516</v>
      </c>
      <c r="B519" s="18" t="s">
        <v>132</v>
      </c>
      <c r="C519" s="19" t="s">
        <v>1728</v>
      </c>
      <c r="D519" s="19" t="s">
        <v>124</v>
      </c>
      <c r="E519" s="20" t="s">
        <v>1729</v>
      </c>
      <c r="F519" s="32" t="s">
        <v>2656</v>
      </c>
      <c r="G519" s="22" t="s">
        <v>42</v>
      </c>
      <c r="H519" s="23" t="s">
        <v>2657</v>
      </c>
      <c r="I519" s="34" t="s">
        <v>55</v>
      </c>
      <c r="J519" s="1" t="str">
        <f t="shared" si="74"/>
        <v/>
      </c>
      <c r="K519" s="25">
        <v>3</v>
      </c>
      <c r="L519" s="1" t="str">
        <f t="shared" si="1"/>
        <v>2021 FRIC 서양</v>
      </c>
      <c r="M519" s="25"/>
      <c r="N519" s="25"/>
      <c r="O519" s="25"/>
      <c r="P519" s="25"/>
      <c r="Q519" s="25"/>
      <c r="R519" s="25"/>
      <c r="S519" s="25"/>
      <c r="T519" s="25"/>
    </row>
    <row r="520" spans="1:20" ht="26.25" customHeight="1">
      <c r="A520" s="17">
        <f t="shared" si="0"/>
        <v>517</v>
      </c>
      <c r="B520" s="18" t="s">
        <v>132</v>
      </c>
      <c r="C520" s="19" t="s">
        <v>2658</v>
      </c>
      <c r="D520" s="19" t="s">
        <v>124</v>
      </c>
      <c r="E520" s="20" t="s">
        <v>2659</v>
      </c>
      <c r="F520" s="21" t="s">
        <v>135</v>
      </c>
      <c r="G520" s="22" t="s">
        <v>31</v>
      </c>
      <c r="H520" s="23" t="s">
        <v>2660</v>
      </c>
      <c r="I520" s="24" t="s">
        <v>20</v>
      </c>
      <c r="J520" s="1" t="s">
        <v>21</v>
      </c>
      <c r="K520" s="25">
        <v>3</v>
      </c>
      <c r="L520" s="1" t="str">
        <f t="shared" si="1"/>
        <v/>
      </c>
      <c r="M520" s="1"/>
      <c r="N520" s="1"/>
      <c r="O520" s="1"/>
      <c r="P520" s="1"/>
      <c r="Q520" s="1"/>
      <c r="R520" s="1"/>
      <c r="S520" s="1"/>
      <c r="T520" s="1"/>
    </row>
    <row r="521" spans="1:20" ht="26.25" customHeight="1">
      <c r="A521" s="17">
        <f t="shared" si="0"/>
        <v>518</v>
      </c>
      <c r="B521" s="18" t="s">
        <v>132</v>
      </c>
      <c r="C521" s="31" t="s">
        <v>872</v>
      </c>
      <c r="D521" s="19" t="s">
        <v>2661</v>
      </c>
      <c r="E521" s="20" t="s">
        <v>873</v>
      </c>
      <c r="F521" s="32" t="s">
        <v>2662</v>
      </c>
      <c r="G521" s="22" t="s">
        <v>31</v>
      </c>
      <c r="H521" s="23" t="s">
        <v>2663</v>
      </c>
      <c r="I521" s="24" t="s">
        <v>55</v>
      </c>
      <c r="J521" s="1" t="str">
        <f t="shared" ref="J521:J522" si="75">IFERROR(VLOOKUP(E521,#REF!,8,FALSE),"")</f>
        <v/>
      </c>
      <c r="K521" s="25">
        <v>3</v>
      </c>
      <c r="L521" s="1" t="str">
        <f t="shared" si="1"/>
        <v>2020 FRIC 서양</v>
      </c>
      <c r="M521" s="1"/>
      <c r="N521" s="1"/>
      <c r="O521" s="1"/>
      <c r="P521" s="1"/>
      <c r="Q521" s="1"/>
      <c r="R521" s="1"/>
      <c r="S521" s="1"/>
      <c r="T521" s="1"/>
    </row>
    <row r="522" spans="1:20" ht="26.25" customHeight="1">
      <c r="A522" s="17">
        <f t="shared" si="0"/>
        <v>519</v>
      </c>
      <c r="B522" s="18" t="s">
        <v>37</v>
      </c>
      <c r="C522" s="70" t="s">
        <v>1139</v>
      </c>
      <c r="D522" s="39" t="s">
        <v>2664</v>
      </c>
      <c r="E522" s="20" t="s">
        <v>1141</v>
      </c>
      <c r="F522" s="44">
        <v>2019</v>
      </c>
      <c r="G522" s="22" t="s">
        <v>53</v>
      </c>
      <c r="H522" s="41" t="s">
        <v>2665</v>
      </c>
      <c r="I522" s="24" t="s">
        <v>55</v>
      </c>
      <c r="J522" s="1" t="str">
        <f t="shared" si="75"/>
        <v/>
      </c>
      <c r="K522" s="25">
        <v>3</v>
      </c>
      <c r="L522" s="1" t="str">
        <f t="shared" si="1"/>
        <v>2020 FRIC 서양</v>
      </c>
      <c r="M522" s="1"/>
      <c r="N522" s="1"/>
      <c r="O522" s="1"/>
      <c r="P522" s="1"/>
      <c r="Q522" s="1"/>
      <c r="R522" s="1"/>
      <c r="S522" s="1"/>
      <c r="T522" s="1"/>
    </row>
    <row r="523" spans="1:20" ht="26.25" customHeight="1">
      <c r="A523" s="17">
        <f t="shared" si="0"/>
        <v>520</v>
      </c>
      <c r="B523" s="18" t="s">
        <v>37</v>
      </c>
      <c r="C523" s="19" t="s">
        <v>2666</v>
      </c>
      <c r="D523" s="19" t="s">
        <v>2667</v>
      </c>
      <c r="E523" s="20" t="s">
        <v>2668</v>
      </c>
      <c r="F523" s="21" t="s">
        <v>2669</v>
      </c>
      <c r="G523" s="22" t="s">
        <v>53</v>
      </c>
      <c r="H523" s="23" t="s">
        <v>2670</v>
      </c>
      <c r="I523" s="24" t="s">
        <v>20</v>
      </c>
      <c r="J523" s="1" t="s">
        <v>21</v>
      </c>
      <c r="K523" s="25">
        <v>3</v>
      </c>
      <c r="L523" s="1" t="str">
        <f t="shared" si="1"/>
        <v/>
      </c>
      <c r="M523" s="1"/>
      <c r="N523" s="1"/>
      <c r="O523" s="1"/>
      <c r="P523" s="1"/>
      <c r="Q523" s="1"/>
      <c r="R523" s="1"/>
      <c r="S523" s="1"/>
      <c r="T523" s="1"/>
    </row>
    <row r="524" spans="1:20" ht="26.25" customHeight="1">
      <c r="A524" s="17">
        <f t="shared" si="0"/>
        <v>521</v>
      </c>
      <c r="B524" s="18" t="s">
        <v>37</v>
      </c>
      <c r="C524" s="19" t="s">
        <v>2671</v>
      </c>
      <c r="D524" s="19" t="s">
        <v>2667</v>
      </c>
      <c r="E524" s="20" t="s">
        <v>2672</v>
      </c>
      <c r="F524" s="21" t="s">
        <v>2673</v>
      </c>
      <c r="G524" s="22" t="s">
        <v>53</v>
      </c>
      <c r="H524" s="23" t="s">
        <v>2674</v>
      </c>
      <c r="I524" s="24" t="s">
        <v>20</v>
      </c>
      <c r="J524" s="1" t="s">
        <v>21</v>
      </c>
      <c r="K524" s="25">
        <v>3</v>
      </c>
      <c r="L524" s="1" t="str">
        <f t="shared" si="1"/>
        <v/>
      </c>
      <c r="M524" s="1"/>
      <c r="N524" s="1"/>
      <c r="O524" s="1"/>
      <c r="P524" s="1"/>
      <c r="Q524" s="1"/>
      <c r="R524" s="1"/>
      <c r="S524" s="1"/>
      <c r="T524" s="1"/>
    </row>
    <row r="525" spans="1:20" ht="26.25" customHeight="1">
      <c r="A525" s="17">
        <f t="shared" si="0"/>
        <v>522</v>
      </c>
      <c r="B525" s="18" t="s">
        <v>37</v>
      </c>
      <c r="C525" s="31" t="s">
        <v>2675</v>
      </c>
      <c r="D525" s="19" t="s">
        <v>2676</v>
      </c>
      <c r="E525" s="20" t="s">
        <v>1148</v>
      </c>
      <c r="F525" s="32" t="s">
        <v>170</v>
      </c>
      <c r="G525" s="22" t="s">
        <v>63</v>
      </c>
      <c r="H525" s="23" t="s">
        <v>2677</v>
      </c>
      <c r="I525" s="24" t="s">
        <v>55</v>
      </c>
      <c r="J525" s="1" t="str">
        <f t="shared" ref="J525:J526" si="76">IFERROR(VLOOKUP(E525,#REF!,8,FALSE),"")</f>
        <v/>
      </c>
      <c r="K525" s="25">
        <v>3</v>
      </c>
      <c r="L525" s="1" t="str">
        <f t="shared" si="1"/>
        <v>2020 FRIC 서양</v>
      </c>
      <c r="M525" s="1"/>
      <c r="N525" s="1"/>
      <c r="O525" s="1"/>
      <c r="P525" s="1"/>
      <c r="Q525" s="1"/>
      <c r="R525" s="1"/>
      <c r="S525" s="1"/>
      <c r="T525" s="1"/>
    </row>
    <row r="526" spans="1:20" ht="26.25" customHeight="1">
      <c r="A526" s="17">
        <f t="shared" si="0"/>
        <v>523</v>
      </c>
      <c r="B526" s="18" t="s">
        <v>37</v>
      </c>
      <c r="C526" s="31" t="s">
        <v>2678</v>
      </c>
      <c r="D526" s="19" t="s">
        <v>277</v>
      </c>
      <c r="E526" s="20" t="s">
        <v>2679</v>
      </c>
      <c r="F526" s="32" t="s">
        <v>2257</v>
      </c>
      <c r="G526" s="22" t="s">
        <v>42</v>
      </c>
      <c r="H526" s="23" t="s">
        <v>2680</v>
      </c>
      <c r="I526" s="24" t="s">
        <v>55</v>
      </c>
      <c r="J526" s="1" t="str">
        <f t="shared" si="76"/>
        <v/>
      </c>
      <c r="K526" s="1"/>
      <c r="L526" s="1" t="str">
        <f t="shared" si="1"/>
        <v/>
      </c>
      <c r="M526" s="1"/>
      <c r="N526" s="1"/>
      <c r="O526" s="1"/>
      <c r="P526" s="1"/>
      <c r="Q526" s="1"/>
      <c r="R526" s="1"/>
      <c r="S526" s="1"/>
      <c r="T526" s="1"/>
    </row>
    <row r="527" spans="1:20" ht="26.25" customHeight="1">
      <c r="A527" s="17">
        <f t="shared" si="0"/>
        <v>524</v>
      </c>
      <c r="B527" s="18" t="s">
        <v>37</v>
      </c>
      <c r="C527" s="19" t="s">
        <v>2681</v>
      </c>
      <c r="D527" s="19" t="s">
        <v>277</v>
      </c>
      <c r="E527" s="20" t="s">
        <v>2682</v>
      </c>
      <c r="F527" s="21" t="s">
        <v>2683</v>
      </c>
      <c r="G527" s="22" t="s">
        <v>42</v>
      </c>
      <c r="H527" s="23" t="s">
        <v>2684</v>
      </c>
      <c r="I527" s="24" t="s">
        <v>20</v>
      </c>
      <c r="J527" s="1" t="s">
        <v>87</v>
      </c>
      <c r="K527" s="25">
        <v>4</v>
      </c>
      <c r="L527" s="1" t="str">
        <f t="shared" si="1"/>
        <v/>
      </c>
      <c r="M527" s="1"/>
      <c r="N527" s="1"/>
      <c r="O527" s="1"/>
      <c r="P527" s="1"/>
      <c r="Q527" s="1"/>
      <c r="R527" s="1"/>
      <c r="S527" s="1"/>
      <c r="T527" s="1"/>
    </row>
    <row r="528" spans="1:20" ht="26.25" customHeight="1">
      <c r="A528" s="17">
        <f t="shared" si="0"/>
        <v>525</v>
      </c>
      <c r="B528" s="18" t="s">
        <v>27</v>
      </c>
      <c r="C528" s="31" t="s">
        <v>2685</v>
      </c>
      <c r="D528" s="19" t="s">
        <v>808</v>
      </c>
      <c r="E528" s="20" t="s">
        <v>2686</v>
      </c>
      <c r="F528" s="32" t="s">
        <v>1947</v>
      </c>
      <c r="G528" s="22" t="s">
        <v>53</v>
      </c>
      <c r="H528" s="23" t="s">
        <v>2687</v>
      </c>
      <c r="I528" s="24" t="s">
        <v>55</v>
      </c>
      <c r="J528" s="1" t="str">
        <f t="shared" ref="J528:J529" si="77">IFERROR(VLOOKUP(E528,#REF!,8,FALSE),"")</f>
        <v/>
      </c>
      <c r="K528" s="1"/>
      <c r="L528" s="1" t="str">
        <f t="shared" si="1"/>
        <v/>
      </c>
      <c r="M528" s="1"/>
      <c r="N528" s="1"/>
      <c r="O528" s="1"/>
      <c r="P528" s="1"/>
      <c r="Q528" s="1"/>
      <c r="R528" s="1"/>
      <c r="S528" s="1"/>
      <c r="T528" s="1"/>
    </row>
    <row r="529" spans="1:20" ht="26.25" customHeight="1">
      <c r="A529" s="17">
        <f t="shared" si="0"/>
        <v>526</v>
      </c>
      <c r="B529" s="18" t="s">
        <v>175</v>
      </c>
      <c r="C529" s="31" t="s">
        <v>2688</v>
      </c>
      <c r="D529" s="19" t="s">
        <v>277</v>
      </c>
      <c r="E529" s="20" t="s">
        <v>2689</v>
      </c>
      <c r="F529" s="32" t="s">
        <v>252</v>
      </c>
      <c r="G529" s="33" t="s">
        <v>42</v>
      </c>
      <c r="H529" s="23" t="s">
        <v>2690</v>
      </c>
      <c r="I529" s="24" t="s">
        <v>55</v>
      </c>
      <c r="J529" s="1" t="str">
        <f t="shared" si="77"/>
        <v/>
      </c>
      <c r="K529" s="1"/>
      <c r="L529" s="1" t="str">
        <f t="shared" si="1"/>
        <v/>
      </c>
      <c r="M529" s="1"/>
      <c r="N529" s="1"/>
      <c r="O529" s="1"/>
      <c r="P529" s="1"/>
      <c r="Q529" s="1"/>
      <c r="R529" s="1"/>
      <c r="S529" s="1"/>
      <c r="T529" s="1"/>
    </row>
    <row r="530" spans="1:20" ht="26.25" customHeight="1">
      <c r="A530" s="17">
        <f t="shared" si="0"/>
        <v>527</v>
      </c>
      <c r="B530" s="18" t="s">
        <v>175</v>
      </c>
      <c r="C530" s="19" t="s">
        <v>2691</v>
      </c>
      <c r="D530" s="19" t="s">
        <v>45</v>
      </c>
      <c r="E530" s="20" t="s">
        <v>2692</v>
      </c>
      <c r="F530" s="21" t="s">
        <v>905</v>
      </c>
      <c r="G530" s="33" t="s">
        <v>42</v>
      </c>
      <c r="H530" s="23" t="s">
        <v>2693</v>
      </c>
      <c r="I530" s="24" t="s">
        <v>20</v>
      </c>
      <c r="J530" s="1" t="s">
        <v>87</v>
      </c>
      <c r="K530" s="25">
        <v>4</v>
      </c>
      <c r="L530" s="1" t="str">
        <f t="shared" si="1"/>
        <v/>
      </c>
      <c r="M530" s="1"/>
      <c r="N530" s="1"/>
      <c r="O530" s="1"/>
      <c r="P530" s="1"/>
      <c r="Q530" s="1"/>
      <c r="R530" s="1"/>
      <c r="S530" s="1"/>
      <c r="T530" s="1"/>
    </row>
    <row r="531" spans="1:20" ht="26.25" customHeight="1">
      <c r="A531" s="17">
        <f t="shared" si="0"/>
        <v>528</v>
      </c>
      <c r="B531" s="18" t="s">
        <v>48</v>
      </c>
      <c r="C531" s="31" t="s">
        <v>2694</v>
      </c>
      <c r="D531" s="19" t="s">
        <v>370</v>
      </c>
      <c r="E531" s="20" t="s">
        <v>2695</v>
      </c>
      <c r="F531" s="32" t="s">
        <v>2696</v>
      </c>
      <c r="G531" s="33" t="s">
        <v>53</v>
      </c>
      <c r="H531" s="23" t="s">
        <v>2697</v>
      </c>
      <c r="I531" s="24" t="s">
        <v>55</v>
      </c>
      <c r="J531" s="1" t="str">
        <f>IFERROR(VLOOKUP(E531,#REF!,8,FALSE),"")</f>
        <v/>
      </c>
      <c r="K531" s="1"/>
      <c r="L531" s="1" t="str">
        <f t="shared" si="1"/>
        <v/>
      </c>
      <c r="M531" s="1"/>
      <c r="N531" s="1"/>
      <c r="O531" s="1"/>
      <c r="P531" s="1"/>
      <c r="Q531" s="1"/>
      <c r="R531" s="1"/>
      <c r="S531" s="1"/>
      <c r="T531" s="1"/>
    </row>
    <row r="532" spans="1:20" ht="26.25" customHeight="1">
      <c r="A532" s="17">
        <f t="shared" si="0"/>
        <v>529</v>
      </c>
      <c r="B532" s="18" t="s">
        <v>105</v>
      </c>
      <c r="C532" s="19" t="s">
        <v>2698</v>
      </c>
      <c r="D532" s="19" t="s">
        <v>124</v>
      </c>
      <c r="E532" s="20" t="s">
        <v>2699</v>
      </c>
      <c r="F532" s="21" t="s">
        <v>905</v>
      </c>
      <c r="G532" s="33" t="s">
        <v>42</v>
      </c>
      <c r="H532" s="23" t="s">
        <v>2700</v>
      </c>
      <c r="I532" s="24" t="s">
        <v>20</v>
      </c>
      <c r="J532" s="1" t="s">
        <v>21</v>
      </c>
      <c r="K532" s="25">
        <v>3</v>
      </c>
      <c r="L532" s="1" t="str">
        <f t="shared" si="1"/>
        <v/>
      </c>
      <c r="M532" s="1"/>
      <c r="N532" s="1"/>
      <c r="O532" s="1"/>
      <c r="P532" s="1"/>
      <c r="Q532" s="1"/>
      <c r="R532" s="1"/>
      <c r="S532" s="1"/>
      <c r="T532" s="1"/>
    </row>
    <row r="533" spans="1:20" ht="26.25" customHeight="1">
      <c r="A533" s="17">
        <f t="shared" si="0"/>
        <v>530</v>
      </c>
      <c r="B533" s="18" t="s">
        <v>105</v>
      </c>
      <c r="C533" s="19" t="s">
        <v>2701</v>
      </c>
      <c r="D533" s="19" t="s">
        <v>196</v>
      </c>
      <c r="E533" s="100" t="s">
        <v>2702</v>
      </c>
      <c r="F533" s="32" t="s">
        <v>178</v>
      </c>
      <c r="G533" s="33" t="s">
        <v>42</v>
      </c>
      <c r="H533" s="23" t="s">
        <v>2703</v>
      </c>
      <c r="I533" s="34" t="s">
        <v>55</v>
      </c>
      <c r="J533" s="1" t="str">
        <f t="shared" ref="J533:J534" si="78">IFERROR(VLOOKUP(E533,#REF!,8,FALSE),"")</f>
        <v/>
      </c>
      <c r="K533" s="1"/>
      <c r="L533" s="1" t="str">
        <f t="shared" si="1"/>
        <v/>
      </c>
      <c r="M533" s="25"/>
      <c r="N533" s="25"/>
      <c r="O533" s="25"/>
      <c r="P533" s="25"/>
      <c r="Q533" s="25"/>
      <c r="R533" s="25"/>
      <c r="S533" s="25"/>
      <c r="T533" s="25"/>
    </row>
    <row r="534" spans="1:20" ht="26.25" customHeight="1">
      <c r="A534" s="17">
        <f t="shared" si="0"/>
        <v>531</v>
      </c>
      <c r="B534" s="18" t="s">
        <v>1368</v>
      </c>
      <c r="C534" s="31" t="s">
        <v>1568</v>
      </c>
      <c r="D534" s="19" t="s">
        <v>2704</v>
      </c>
      <c r="E534" s="43"/>
      <c r="F534" s="21" t="s">
        <v>2705</v>
      </c>
      <c r="G534" s="33" t="s">
        <v>53</v>
      </c>
      <c r="H534" s="59" t="s">
        <v>2706</v>
      </c>
      <c r="I534" s="34" t="s">
        <v>55</v>
      </c>
      <c r="J534" s="1" t="str">
        <f t="shared" si="78"/>
        <v/>
      </c>
      <c r="K534" s="1"/>
      <c r="L534" s="1" t="str">
        <f t="shared" si="1"/>
        <v/>
      </c>
      <c r="M534" s="25"/>
      <c r="N534" s="25"/>
      <c r="O534" s="25"/>
      <c r="P534" s="25"/>
      <c r="Q534" s="25"/>
      <c r="R534" s="25"/>
      <c r="S534" s="25"/>
      <c r="T534" s="25"/>
    </row>
    <row r="535" spans="1:20" ht="26.25" customHeight="1">
      <c r="A535" s="17">
        <f t="shared" si="0"/>
        <v>532</v>
      </c>
      <c r="B535" s="18" t="s">
        <v>37</v>
      </c>
      <c r="C535" s="19" t="s">
        <v>2707</v>
      </c>
      <c r="D535" s="19" t="s">
        <v>1804</v>
      </c>
      <c r="E535" s="20" t="s">
        <v>2708</v>
      </c>
      <c r="F535" s="21" t="s">
        <v>2709</v>
      </c>
      <c r="G535" s="22" t="s">
        <v>53</v>
      </c>
      <c r="H535" s="23" t="s">
        <v>2710</v>
      </c>
      <c r="I535" s="24" t="s">
        <v>20</v>
      </c>
      <c r="J535" s="1" t="s">
        <v>21</v>
      </c>
      <c r="K535" s="25">
        <v>3</v>
      </c>
      <c r="L535" s="1" t="str">
        <f t="shared" si="1"/>
        <v/>
      </c>
      <c r="M535" s="1"/>
      <c r="N535" s="1"/>
      <c r="O535" s="1"/>
      <c r="P535" s="1"/>
      <c r="Q535" s="1"/>
      <c r="R535" s="1"/>
      <c r="S535" s="1"/>
      <c r="T535" s="1"/>
    </row>
    <row r="536" spans="1:20" ht="26.25" customHeight="1">
      <c r="A536" s="17">
        <f t="shared" si="0"/>
        <v>533</v>
      </c>
      <c r="B536" s="18" t="s">
        <v>175</v>
      </c>
      <c r="C536" s="31" t="s">
        <v>2711</v>
      </c>
      <c r="D536" s="19" t="s">
        <v>196</v>
      </c>
      <c r="E536" s="20" t="s">
        <v>2712</v>
      </c>
      <c r="F536" s="32" t="s">
        <v>2713</v>
      </c>
      <c r="G536" s="33" t="s">
        <v>42</v>
      </c>
      <c r="H536" s="23" t="s">
        <v>2714</v>
      </c>
      <c r="I536" s="24" t="s">
        <v>55</v>
      </c>
      <c r="J536" s="1" t="str">
        <f t="shared" ref="J536:J538" si="79">IFERROR(VLOOKUP(E536,#REF!,8,FALSE),"")</f>
        <v/>
      </c>
      <c r="K536" s="1"/>
      <c r="L536" s="1" t="str">
        <f t="shared" si="1"/>
        <v/>
      </c>
      <c r="M536" s="1"/>
      <c r="N536" s="1"/>
      <c r="O536" s="1"/>
      <c r="P536" s="1"/>
      <c r="Q536" s="1"/>
      <c r="R536" s="1"/>
      <c r="S536" s="1"/>
      <c r="T536" s="1"/>
    </row>
    <row r="537" spans="1:20" ht="26.25" customHeight="1">
      <c r="A537" s="17">
        <f t="shared" si="0"/>
        <v>534</v>
      </c>
      <c r="B537" s="18" t="s">
        <v>175</v>
      </c>
      <c r="C537" s="31" t="s">
        <v>2715</v>
      </c>
      <c r="D537" s="19" t="s">
        <v>2716</v>
      </c>
      <c r="E537" s="20" t="s">
        <v>2717</v>
      </c>
      <c r="F537" s="32" t="s">
        <v>2718</v>
      </c>
      <c r="G537" s="33" t="s">
        <v>42</v>
      </c>
      <c r="H537" s="23" t="s">
        <v>2719</v>
      </c>
      <c r="I537" s="24" t="s">
        <v>55</v>
      </c>
      <c r="J537" s="1" t="str">
        <f t="shared" si="79"/>
        <v/>
      </c>
      <c r="K537" s="1"/>
      <c r="L537" s="1" t="str">
        <f t="shared" si="1"/>
        <v/>
      </c>
      <c r="M537" s="1"/>
      <c r="N537" s="1"/>
      <c r="O537" s="1"/>
      <c r="P537" s="1"/>
      <c r="Q537" s="1"/>
      <c r="R537" s="1"/>
      <c r="S537" s="1"/>
      <c r="T537" s="1"/>
    </row>
    <row r="538" spans="1:20" ht="26.25" customHeight="1">
      <c r="A538" s="17">
        <f t="shared" si="0"/>
        <v>535</v>
      </c>
      <c r="B538" s="18" t="s">
        <v>132</v>
      </c>
      <c r="C538" s="31" t="s">
        <v>1157</v>
      </c>
      <c r="D538" s="19" t="s">
        <v>2720</v>
      </c>
      <c r="E538" s="20" t="s">
        <v>1158</v>
      </c>
      <c r="F538" s="32" t="s">
        <v>170</v>
      </c>
      <c r="G538" s="22" t="s">
        <v>53</v>
      </c>
      <c r="H538" s="23" t="s">
        <v>2721</v>
      </c>
      <c r="I538" s="24" t="s">
        <v>55</v>
      </c>
      <c r="J538" s="1" t="str">
        <f t="shared" si="79"/>
        <v/>
      </c>
      <c r="K538" s="25">
        <v>3</v>
      </c>
      <c r="L538" s="1" t="str">
        <f t="shared" si="1"/>
        <v>2020 FRIC 서양</v>
      </c>
      <c r="M538" s="1"/>
      <c r="N538" s="1"/>
      <c r="O538" s="1"/>
      <c r="P538" s="1"/>
      <c r="Q538" s="1"/>
      <c r="R538" s="1"/>
      <c r="S538" s="1"/>
      <c r="T538" s="1"/>
    </row>
    <row r="539" spans="1:20" ht="26.25" customHeight="1">
      <c r="A539" s="17">
        <f t="shared" si="0"/>
        <v>536</v>
      </c>
      <c r="B539" s="18" t="s">
        <v>37</v>
      </c>
      <c r="C539" s="19" t="s">
        <v>2722</v>
      </c>
      <c r="D539" s="19" t="s">
        <v>45</v>
      </c>
      <c r="E539" s="20" t="s">
        <v>2723</v>
      </c>
      <c r="F539" s="21" t="s">
        <v>1970</v>
      </c>
      <c r="G539" s="22" t="s">
        <v>42</v>
      </c>
      <c r="H539" s="23" t="s">
        <v>2724</v>
      </c>
      <c r="I539" s="24" t="s">
        <v>20</v>
      </c>
      <c r="J539" s="1" t="s">
        <v>21</v>
      </c>
      <c r="K539" s="25">
        <v>3</v>
      </c>
      <c r="L539" s="1" t="str">
        <f t="shared" si="1"/>
        <v/>
      </c>
      <c r="M539" s="1"/>
      <c r="N539" s="1"/>
      <c r="O539" s="1"/>
      <c r="P539" s="1"/>
      <c r="Q539" s="1"/>
      <c r="R539" s="1"/>
      <c r="S539" s="1"/>
      <c r="T539" s="1"/>
    </row>
    <row r="540" spans="1:20" ht="26.25" customHeight="1">
      <c r="A540" s="17">
        <f t="shared" si="0"/>
        <v>537</v>
      </c>
      <c r="B540" s="18" t="s">
        <v>175</v>
      </c>
      <c r="C540" s="31" t="s">
        <v>2725</v>
      </c>
      <c r="D540" s="19" t="s">
        <v>124</v>
      </c>
      <c r="E540" s="20" t="s">
        <v>2726</v>
      </c>
      <c r="F540" s="32" t="s">
        <v>2727</v>
      </c>
      <c r="G540" s="33" t="s">
        <v>42</v>
      </c>
      <c r="H540" s="23" t="s">
        <v>2728</v>
      </c>
      <c r="I540" s="24" t="s">
        <v>55</v>
      </c>
      <c r="J540" s="1" t="str">
        <f t="shared" ref="J540:J548" si="80">IFERROR(VLOOKUP(E540,#REF!,8,FALSE),"")</f>
        <v/>
      </c>
      <c r="K540" s="1"/>
      <c r="L540" s="1" t="str">
        <f t="shared" si="1"/>
        <v/>
      </c>
      <c r="M540" s="1"/>
      <c r="N540" s="1"/>
      <c r="O540" s="1"/>
      <c r="P540" s="1"/>
      <c r="Q540" s="1"/>
      <c r="R540" s="1"/>
      <c r="S540" s="1"/>
      <c r="T540" s="1"/>
    </row>
    <row r="541" spans="1:20" ht="26.25" customHeight="1">
      <c r="A541" s="17">
        <f t="shared" si="0"/>
        <v>538</v>
      </c>
      <c r="B541" s="18" t="s">
        <v>175</v>
      </c>
      <c r="C541" s="31" t="s">
        <v>2729</v>
      </c>
      <c r="D541" s="19" t="s">
        <v>227</v>
      </c>
      <c r="E541" s="20" t="s">
        <v>2730</v>
      </c>
      <c r="F541" s="32" t="s">
        <v>2731</v>
      </c>
      <c r="G541" s="33" t="s">
        <v>42</v>
      </c>
      <c r="H541" s="23" t="s">
        <v>2732</v>
      </c>
      <c r="I541" s="24" t="s">
        <v>55</v>
      </c>
      <c r="J541" s="1" t="str">
        <f t="shared" si="80"/>
        <v/>
      </c>
      <c r="K541" s="1"/>
      <c r="L541" s="1" t="str">
        <f t="shared" si="1"/>
        <v/>
      </c>
      <c r="M541" s="1"/>
      <c r="N541" s="1"/>
      <c r="O541" s="1"/>
      <c r="P541" s="1"/>
      <c r="Q541" s="1"/>
      <c r="R541" s="1"/>
      <c r="S541" s="1"/>
      <c r="T541" s="1"/>
    </row>
    <row r="542" spans="1:20" ht="26.25" customHeight="1">
      <c r="A542" s="17">
        <f t="shared" si="0"/>
        <v>539</v>
      </c>
      <c r="B542" s="18" t="s">
        <v>37</v>
      </c>
      <c r="C542" s="31" t="s">
        <v>2733</v>
      </c>
      <c r="D542" s="19" t="s">
        <v>748</v>
      </c>
      <c r="E542" s="20" t="s">
        <v>2734</v>
      </c>
      <c r="F542" s="32" t="s">
        <v>209</v>
      </c>
      <c r="G542" s="22" t="s">
        <v>42</v>
      </c>
      <c r="H542" s="23" t="s">
        <v>2735</v>
      </c>
      <c r="I542" s="24" t="s">
        <v>55</v>
      </c>
      <c r="J542" s="1" t="str">
        <f t="shared" si="80"/>
        <v/>
      </c>
      <c r="K542" s="1"/>
      <c r="L542" s="1" t="str">
        <f t="shared" si="1"/>
        <v/>
      </c>
      <c r="M542" s="1"/>
      <c r="N542" s="1"/>
      <c r="O542" s="1"/>
      <c r="P542" s="1"/>
      <c r="Q542" s="1"/>
      <c r="R542" s="1"/>
      <c r="S542" s="1"/>
      <c r="T542" s="1"/>
    </row>
    <row r="543" spans="1:20" ht="26.25" customHeight="1">
      <c r="A543" s="17">
        <f t="shared" si="0"/>
        <v>540</v>
      </c>
      <c r="B543" s="18" t="s">
        <v>37</v>
      </c>
      <c r="C543" s="31" t="s">
        <v>2736</v>
      </c>
      <c r="D543" s="19" t="s">
        <v>808</v>
      </c>
      <c r="E543" s="20" t="s">
        <v>2737</v>
      </c>
      <c r="F543" s="32" t="s">
        <v>209</v>
      </c>
      <c r="G543" s="22" t="s">
        <v>42</v>
      </c>
      <c r="H543" s="23" t="s">
        <v>2738</v>
      </c>
      <c r="I543" s="24" t="s">
        <v>55</v>
      </c>
      <c r="J543" s="1" t="str">
        <f t="shared" si="80"/>
        <v/>
      </c>
      <c r="K543" s="1"/>
      <c r="L543" s="1" t="str">
        <f t="shared" si="1"/>
        <v/>
      </c>
      <c r="M543" s="1"/>
      <c r="N543" s="1"/>
      <c r="O543" s="1"/>
      <c r="P543" s="1"/>
      <c r="Q543" s="1"/>
      <c r="R543" s="1"/>
      <c r="S543" s="1"/>
      <c r="T543" s="1"/>
    </row>
    <row r="544" spans="1:20" ht="26.25" customHeight="1">
      <c r="A544" s="17">
        <f t="shared" si="0"/>
        <v>541</v>
      </c>
      <c r="B544" s="18" t="s">
        <v>248</v>
      </c>
      <c r="C544" s="101" t="s">
        <v>2739</v>
      </c>
      <c r="D544" s="101" t="s">
        <v>168</v>
      </c>
      <c r="E544" s="84" t="s">
        <v>1735</v>
      </c>
      <c r="F544" s="44" t="s">
        <v>2740</v>
      </c>
      <c r="G544" s="22" t="s">
        <v>31</v>
      </c>
      <c r="H544" s="102" t="s">
        <v>2741</v>
      </c>
      <c r="I544" s="34" t="s">
        <v>55</v>
      </c>
      <c r="J544" s="1" t="str">
        <f t="shared" si="80"/>
        <v/>
      </c>
      <c r="K544" s="25">
        <v>3</v>
      </c>
      <c r="L544" s="1" t="str">
        <f t="shared" si="1"/>
        <v>2021 FRIC 서양</v>
      </c>
      <c r="M544" s="25"/>
      <c r="N544" s="25"/>
      <c r="O544" s="25"/>
      <c r="P544" s="25"/>
      <c r="Q544" s="25"/>
      <c r="R544" s="25"/>
      <c r="S544" s="25"/>
      <c r="T544" s="25"/>
    </row>
    <row r="545" spans="1:20" ht="26.25" customHeight="1">
      <c r="A545" s="17">
        <f t="shared" si="0"/>
        <v>542</v>
      </c>
      <c r="B545" s="18" t="s">
        <v>37</v>
      </c>
      <c r="C545" s="31" t="s">
        <v>878</v>
      </c>
      <c r="D545" s="19" t="s">
        <v>2742</v>
      </c>
      <c r="E545" s="20" t="s">
        <v>879</v>
      </c>
      <c r="F545" s="32" t="s">
        <v>2100</v>
      </c>
      <c r="G545" s="22" t="s">
        <v>1846</v>
      </c>
      <c r="H545" s="23" t="s">
        <v>2743</v>
      </c>
      <c r="I545" s="24" t="s">
        <v>55</v>
      </c>
      <c r="J545" s="1" t="str">
        <f t="shared" si="80"/>
        <v/>
      </c>
      <c r="K545" s="25">
        <v>3</v>
      </c>
      <c r="L545" s="1" t="str">
        <f t="shared" si="1"/>
        <v>2020 FRIC 서양</v>
      </c>
      <c r="M545" s="1"/>
      <c r="N545" s="1"/>
      <c r="O545" s="1"/>
      <c r="P545" s="1"/>
      <c r="Q545" s="1"/>
      <c r="R545" s="1"/>
      <c r="S545" s="1"/>
      <c r="T545" s="1"/>
    </row>
    <row r="546" spans="1:20" ht="26.25" customHeight="1">
      <c r="A546" s="17">
        <f t="shared" si="0"/>
        <v>543</v>
      </c>
      <c r="B546" s="18" t="s">
        <v>27</v>
      </c>
      <c r="C546" s="31" t="s">
        <v>2744</v>
      </c>
      <c r="D546" s="19" t="s">
        <v>808</v>
      </c>
      <c r="E546" s="20" t="s">
        <v>2745</v>
      </c>
      <c r="F546" s="32" t="s">
        <v>2746</v>
      </c>
      <c r="G546" s="22" t="s">
        <v>42</v>
      </c>
      <c r="H546" s="23" t="s">
        <v>2747</v>
      </c>
      <c r="I546" s="24" t="s">
        <v>55</v>
      </c>
      <c r="J546" s="1" t="str">
        <f t="shared" si="80"/>
        <v/>
      </c>
      <c r="K546" s="1"/>
      <c r="L546" s="1" t="str">
        <f t="shared" si="1"/>
        <v/>
      </c>
      <c r="M546" s="1"/>
      <c r="N546" s="1"/>
      <c r="O546" s="1"/>
      <c r="P546" s="1"/>
      <c r="Q546" s="1"/>
      <c r="R546" s="1"/>
      <c r="S546" s="1"/>
      <c r="T546" s="1"/>
    </row>
    <row r="547" spans="1:20" ht="26.25" customHeight="1">
      <c r="A547" s="17">
        <f t="shared" si="0"/>
        <v>544</v>
      </c>
      <c r="B547" s="18" t="s">
        <v>105</v>
      </c>
      <c r="C547" s="31" t="s">
        <v>2748</v>
      </c>
      <c r="D547" s="19" t="s">
        <v>2164</v>
      </c>
      <c r="E547" s="20" t="s">
        <v>2749</v>
      </c>
      <c r="F547" s="32" t="s">
        <v>2750</v>
      </c>
      <c r="G547" s="33" t="s">
        <v>42</v>
      </c>
      <c r="H547" s="23" t="s">
        <v>2751</v>
      </c>
      <c r="I547" s="24" t="s">
        <v>55</v>
      </c>
      <c r="J547" s="1" t="str">
        <f t="shared" si="80"/>
        <v/>
      </c>
      <c r="K547" s="1"/>
      <c r="L547" s="1" t="str">
        <f t="shared" si="1"/>
        <v/>
      </c>
      <c r="M547" s="1"/>
      <c r="N547" s="1"/>
      <c r="O547" s="1"/>
      <c r="P547" s="1"/>
      <c r="Q547" s="1"/>
      <c r="R547" s="1"/>
      <c r="S547" s="1"/>
      <c r="T547" s="1"/>
    </row>
    <row r="548" spans="1:20" ht="26.25" customHeight="1">
      <c r="A548" s="17">
        <f t="shared" si="0"/>
        <v>545</v>
      </c>
      <c r="B548" s="18" t="s">
        <v>175</v>
      </c>
      <c r="C548" s="31" t="s">
        <v>2752</v>
      </c>
      <c r="D548" s="19" t="s">
        <v>196</v>
      </c>
      <c r="E548" s="20" t="s">
        <v>2753</v>
      </c>
      <c r="F548" s="32" t="s">
        <v>2754</v>
      </c>
      <c r="G548" s="33" t="s">
        <v>42</v>
      </c>
      <c r="H548" s="23" t="s">
        <v>2755</v>
      </c>
      <c r="I548" s="24" t="s">
        <v>55</v>
      </c>
      <c r="J548" s="1" t="str">
        <f t="shared" si="80"/>
        <v/>
      </c>
      <c r="K548" s="1"/>
      <c r="L548" s="1" t="str">
        <f t="shared" si="1"/>
        <v/>
      </c>
      <c r="M548" s="1"/>
      <c r="N548" s="1"/>
      <c r="O548" s="1"/>
      <c r="P548" s="1"/>
      <c r="Q548" s="1"/>
      <c r="R548" s="1"/>
      <c r="S548" s="1"/>
      <c r="T548" s="1"/>
    </row>
    <row r="549" spans="1:20" ht="26.25" customHeight="1">
      <c r="A549" s="17">
        <f t="shared" si="0"/>
        <v>546</v>
      </c>
      <c r="B549" s="18" t="s">
        <v>1375</v>
      </c>
      <c r="C549" s="19" t="s">
        <v>2756</v>
      </c>
      <c r="D549" s="19" t="s">
        <v>2757</v>
      </c>
      <c r="E549" s="20" t="s">
        <v>2758</v>
      </c>
      <c r="F549" s="21" t="s">
        <v>135</v>
      </c>
      <c r="G549" s="22" t="s">
        <v>53</v>
      </c>
      <c r="H549" s="23" t="s">
        <v>2759</v>
      </c>
      <c r="I549" s="24" t="s">
        <v>20</v>
      </c>
      <c r="J549" s="1" t="s">
        <v>21</v>
      </c>
      <c r="K549" s="25">
        <v>3</v>
      </c>
      <c r="L549" s="1" t="str">
        <f t="shared" si="1"/>
        <v/>
      </c>
      <c r="M549" s="1"/>
      <c r="N549" s="1"/>
      <c r="O549" s="1"/>
      <c r="P549" s="1"/>
      <c r="Q549" s="1"/>
      <c r="R549" s="1"/>
      <c r="S549" s="1"/>
      <c r="T549" s="1"/>
    </row>
    <row r="550" spans="1:20" ht="26.25" customHeight="1">
      <c r="A550" s="17">
        <f t="shared" si="0"/>
        <v>547</v>
      </c>
      <c r="B550" s="18" t="s">
        <v>1368</v>
      </c>
      <c r="C550" s="31" t="s">
        <v>661</v>
      </c>
      <c r="D550" s="19" t="s">
        <v>662</v>
      </c>
      <c r="E550" s="20" t="s">
        <v>663</v>
      </c>
      <c r="F550" s="32" t="s">
        <v>496</v>
      </c>
      <c r="G550" s="33" t="s">
        <v>53</v>
      </c>
      <c r="H550" s="23" t="s">
        <v>2760</v>
      </c>
      <c r="I550" s="24" t="s">
        <v>55</v>
      </c>
      <c r="J550" s="1" t="str">
        <f t="shared" ref="J550:J551" si="81">IFERROR(VLOOKUP(E550,#REF!,8,FALSE),"")</f>
        <v/>
      </c>
      <c r="K550" s="25">
        <v>3</v>
      </c>
      <c r="L550" s="1" t="str">
        <f t="shared" si="1"/>
        <v>2019 FRIC 서양</v>
      </c>
      <c r="M550" s="1"/>
      <c r="N550" s="1"/>
      <c r="O550" s="1"/>
      <c r="P550" s="1"/>
      <c r="Q550" s="1"/>
      <c r="R550" s="1"/>
      <c r="S550" s="1"/>
      <c r="T550" s="1"/>
    </row>
    <row r="551" spans="1:20" ht="26.25" customHeight="1">
      <c r="A551" s="17">
        <f t="shared" si="0"/>
        <v>548</v>
      </c>
      <c r="B551" s="18" t="s">
        <v>105</v>
      </c>
      <c r="C551" s="31" t="s">
        <v>2761</v>
      </c>
      <c r="D551" s="19" t="s">
        <v>733</v>
      </c>
      <c r="E551" s="20" t="s">
        <v>2762</v>
      </c>
      <c r="F551" s="32" t="s">
        <v>2763</v>
      </c>
      <c r="G551" s="33" t="s">
        <v>53</v>
      </c>
      <c r="H551" s="23" t="s">
        <v>2764</v>
      </c>
      <c r="I551" s="24" t="s">
        <v>55</v>
      </c>
      <c r="J551" s="1" t="str">
        <f t="shared" si="81"/>
        <v/>
      </c>
      <c r="K551" s="1"/>
      <c r="L551" s="1" t="str">
        <f t="shared" si="1"/>
        <v/>
      </c>
      <c r="M551" s="1"/>
      <c r="N551" s="1"/>
      <c r="O551" s="1"/>
      <c r="P551" s="1"/>
      <c r="Q551" s="1"/>
      <c r="R551" s="1"/>
      <c r="S551" s="1"/>
      <c r="T551" s="1"/>
    </row>
    <row r="552" spans="1:20" ht="26.25" customHeight="1">
      <c r="A552" s="17">
        <f t="shared" si="0"/>
        <v>549</v>
      </c>
      <c r="B552" s="18" t="s">
        <v>37</v>
      </c>
      <c r="C552" s="19" t="s">
        <v>2765</v>
      </c>
      <c r="D552" s="19" t="s">
        <v>2766</v>
      </c>
      <c r="E552" s="20" t="s">
        <v>2767</v>
      </c>
      <c r="F552" s="21" t="s">
        <v>2768</v>
      </c>
      <c r="G552" s="22" t="s">
        <v>42</v>
      </c>
      <c r="H552" s="23" t="s">
        <v>2769</v>
      </c>
      <c r="I552" s="24" t="s">
        <v>20</v>
      </c>
      <c r="J552" s="1" t="s">
        <v>21</v>
      </c>
      <c r="K552" s="25">
        <v>3</v>
      </c>
      <c r="L552" s="1" t="str">
        <f t="shared" si="1"/>
        <v/>
      </c>
      <c r="M552" s="1"/>
      <c r="N552" s="1"/>
      <c r="O552" s="1"/>
      <c r="P552" s="1"/>
      <c r="Q552" s="1"/>
      <c r="R552" s="1"/>
      <c r="S552" s="1"/>
      <c r="T552" s="1"/>
    </row>
    <row r="553" spans="1:20" ht="26.25" customHeight="1">
      <c r="A553" s="17">
        <f t="shared" si="0"/>
        <v>550</v>
      </c>
      <c r="B553" s="18" t="s">
        <v>105</v>
      </c>
      <c r="C553" s="31" t="s">
        <v>2770</v>
      </c>
      <c r="D553" s="19" t="s">
        <v>2771</v>
      </c>
      <c r="E553" s="20" t="s">
        <v>1167</v>
      </c>
      <c r="F553" s="32" t="s">
        <v>170</v>
      </c>
      <c r="G553" s="33" t="s">
        <v>63</v>
      </c>
      <c r="H553" s="23" t="s">
        <v>2772</v>
      </c>
      <c r="I553" s="24" t="s">
        <v>55</v>
      </c>
      <c r="J553" s="1" t="str">
        <f t="shared" ref="J553:J556" si="82">IFERROR(VLOOKUP(E553,#REF!,8,FALSE),"")</f>
        <v/>
      </c>
      <c r="K553" s="25">
        <v>3</v>
      </c>
      <c r="L553" s="1" t="str">
        <f t="shared" si="1"/>
        <v>2020 FRIC 서양</v>
      </c>
      <c r="M553" s="1"/>
      <c r="N553" s="1"/>
      <c r="O553" s="1"/>
      <c r="P553" s="1"/>
      <c r="Q553" s="1"/>
      <c r="R553" s="1"/>
      <c r="S553" s="1"/>
      <c r="T553" s="1"/>
    </row>
    <row r="554" spans="1:20" ht="26.25" customHeight="1">
      <c r="A554" s="17">
        <f t="shared" si="0"/>
        <v>551</v>
      </c>
      <c r="B554" s="18" t="s">
        <v>132</v>
      </c>
      <c r="C554" s="19" t="s">
        <v>1697</v>
      </c>
      <c r="D554" s="19" t="s">
        <v>124</v>
      </c>
      <c r="E554" s="20" t="s">
        <v>1698</v>
      </c>
      <c r="F554" s="32" t="s">
        <v>52</v>
      </c>
      <c r="G554" s="22" t="s">
        <v>42</v>
      </c>
      <c r="H554" s="23" t="s">
        <v>2773</v>
      </c>
      <c r="I554" s="34" t="s">
        <v>55</v>
      </c>
      <c r="J554" s="1" t="str">
        <f t="shared" si="82"/>
        <v/>
      </c>
      <c r="K554" s="25">
        <v>3</v>
      </c>
      <c r="L554" s="1" t="str">
        <f t="shared" si="1"/>
        <v>2021 FRIC 서양</v>
      </c>
      <c r="M554" s="25"/>
      <c r="N554" s="25"/>
      <c r="O554" s="25"/>
      <c r="P554" s="25"/>
      <c r="Q554" s="25"/>
      <c r="R554" s="25"/>
      <c r="S554" s="25"/>
      <c r="T554" s="25"/>
    </row>
    <row r="555" spans="1:20" ht="26.25" customHeight="1">
      <c r="A555" s="17">
        <f t="shared" si="0"/>
        <v>552</v>
      </c>
      <c r="B555" s="18" t="s">
        <v>105</v>
      </c>
      <c r="C555" s="31" t="s">
        <v>2774</v>
      </c>
      <c r="D555" s="19" t="s">
        <v>112</v>
      </c>
      <c r="E555" s="20" t="s">
        <v>130</v>
      </c>
      <c r="F555" s="32" t="s">
        <v>962</v>
      </c>
      <c r="G555" s="33" t="s">
        <v>42</v>
      </c>
      <c r="H555" s="23" t="s">
        <v>2775</v>
      </c>
      <c r="I555" s="24" t="s">
        <v>55</v>
      </c>
      <c r="J555" s="1" t="str">
        <f t="shared" si="82"/>
        <v/>
      </c>
      <c r="K555" s="25">
        <v>3</v>
      </c>
      <c r="L555" s="1" t="str">
        <f t="shared" si="1"/>
        <v>2016 FRIC 서양</v>
      </c>
      <c r="M555" s="1"/>
      <c r="N555" s="1"/>
      <c r="O555" s="1"/>
      <c r="P555" s="1"/>
      <c r="Q555" s="1"/>
      <c r="R555" s="1"/>
      <c r="S555" s="1"/>
      <c r="T555" s="1"/>
    </row>
    <row r="556" spans="1:20" ht="26.25" customHeight="1">
      <c r="A556" s="17">
        <f t="shared" si="0"/>
        <v>553</v>
      </c>
      <c r="B556" s="18" t="s">
        <v>175</v>
      </c>
      <c r="C556" s="31" t="s">
        <v>2776</v>
      </c>
      <c r="D556" s="19" t="s">
        <v>374</v>
      </c>
      <c r="E556" s="20" t="s">
        <v>2777</v>
      </c>
      <c r="F556" s="32" t="s">
        <v>2778</v>
      </c>
      <c r="G556" s="33" t="s">
        <v>42</v>
      </c>
      <c r="H556" s="23" t="s">
        <v>2779</v>
      </c>
      <c r="I556" s="24" t="s">
        <v>55</v>
      </c>
      <c r="J556" s="1" t="str">
        <f t="shared" si="82"/>
        <v/>
      </c>
      <c r="K556" s="1"/>
      <c r="L556" s="1" t="str">
        <f t="shared" si="1"/>
        <v/>
      </c>
      <c r="M556" s="1"/>
      <c r="N556" s="1"/>
      <c r="O556" s="1"/>
      <c r="P556" s="1"/>
      <c r="Q556" s="1"/>
      <c r="R556" s="1"/>
      <c r="S556" s="1"/>
      <c r="T556" s="1"/>
    </row>
    <row r="557" spans="1:20" ht="26.25" customHeight="1">
      <c r="A557" s="17">
        <f t="shared" si="0"/>
        <v>554</v>
      </c>
      <c r="B557" s="18" t="s">
        <v>132</v>
      </c>
      <c r="C557" s="19" t="s">
        <v>2780</v>
      </c>
      <c r="D557" s="19" t="s">
        <v>124</v>
      </c>
      <c r="E557" s="20" t="s">
        <v>2781</v>
      </c>
      <c r="F557" s="21" t="s">
        <v>1011</v>
      </c>
      <c r="G557" s="22" t="s">
        <v>42</v>
      </c>
      <c r="H557" s="23" t="s">
        <v>2782</v>
      </c>
      <c r="I557" s="24" t="s">
        <v>20</v>
      </c>
      <c r="J557" s="1" t="s">
        <v>21</v>
      </c>
      <c r="K557" s="25">
        <v>3</v>
      </c>
      <c r="L557" s="1" t="str">
        <f t="shared" si="1"/>
        <v/>
      </c>
      <c r="M557" s="1"/>
      <c r="N557" s="1"/>
      <c r="O557" s="1"/>
      <c r="P557" s="1"/>
      <c r="Q557" s="1"/>
      <c r="R557" s="1"/>
      <c r="S557" s="1"/>
      <c r="T557" s="1"/>
    </row>
    <row r="558" spans="1:20" ht="26.25" customHeight="1">
      <c r="A558" s="17">
        <f t="shared" si="0"/>
        <v>555</v>
      </c>
      <c r="B558" s="18" t="s">
        <v>132</v>
      </c>
      <c r="C558" s="19" t="s">
        <v>2783</v>
      </c>
      <c r="D558" s="19" t="s">
        <v>124</v>
      </c>
      <c r="E558" s="20" t="s">
        <v>2784</v>
      </c>
      <c r="F558" s="21" t="s">
        <v>1011</v>
      </c>
      <c r="G558" s="22" t="s">
        <v>42</v>
      </c>
      <c r="H558" s="23" t="s">
        <v>2785</v>
      </c>
      <c r="I558" s="24" t="s">
        <v>20</v>
      </c>
      <c r="J558" s="1" t="s">
        <v>21</v>
      </c>
      <c r="K558" s="25">
        <v>3</v>
      </c>
      <c r="L558" s="1" t="str">
        <f t="shared" si="1"/>
        <v/>
      </c>
      <c r="M558" s="1"/>
      <c r="N558" s="1"/>
      <c r="O558" s="1"/>
      <c r="P558" s="1"/>
      <c r="Q558" s="1"/>
      <c r="R558" s="1"/>
      <c r="S558" s="1"/>
      <c r="T558" s="1"/>
    </row>
    <row r="559" spans="1:20" ht="26.25" customHeight="1">
      <c r="A559" s="17">
        <f t="shared" si="0"/>
        <v>556</v>
      </c>
      <c r="B559" s="18" t="s">
        <v>105</v>
      </c>
      <c r="C559" s="31" t="s">
        <v>1173</v>
      </c>
      <c r="D559" s="19" t="s">
        <v>2786</v>
      </c>
      <c r="E559" s="20" t="s">
        <v>1175</v>
      </c>
      <c r="F559" s="32" t="s">
        <v>170</v>
      </c>
      <c r="G559" s="33" t="s">
        <v>53</v>
      </c>
      <c r="H559" s="23" t="s">
        <v>2787</v>
      </c>
      <c r="I559" s="24" t="s">
        <v>55</v>
      </c>
      <c r="J559" s="1" t="str">
        <f t="shared" ref="J559:J567" si="83">IFERROR(VLOOKUP(E559,#REF!,8,FALSE),"")</f>
        <v/>
      </c>
      <c r="K559" s="25">
        <v>3</v>
      </c>
      <c r="L559" s="1" t="str">
        <f t="shared" si="1"/>
        <v>2020 FRIC 서양</v>
      </c>
      <c r="M559" s="1"/>
      <c r="N559" s="1"/>
      <c r="O559" s="1"/>
      <c r="P559" s="1"/>
      <c r="Q559" s="1"/>
      <c r="R559" s="1"/>
      <c r="S559" s="1"/>
      <c r="T559" s="1"/>
    </row>
    <row r="560" spans="1:20" ht="26.25" customHeight="1">
      <c r="A560" s="17">
        <f t="shared" si="0"/>
        <v>557</v>
      </c>
      <c r="B560" s="18" t="s">
        <v>146</v>
      </c>
      <c r="C560" s="31" t="s">
        <v>621</v>
      </c>
      <c r="D560" s="19" t="s">
        <v>2788</v>
      </c>
      <c r="E560" s="20" t="s">
        <v>623</v>
      </c>
      <c r="F560" s="32" t="s">
        <v>1033</v>
      </c>
      <c r="G560" s="33" t="s">
        <v>63</v>
      </c>
      <c r="H560" s="23" t="s">
        <v>2789</v>
      </c>
      <c r="I560" s="24" t="s">
        <v>55</v>
      </c>
      <c r="J560" s="1" t="str">
        <f t="shared" si="83"/>
        <v/>
      </c>
      <c r="K560" s="25">
        <v>3</v>
      </c>
      <c r="L560" s="1" t="str">
        <f t="shared" si="1"/>
        <v>2019 FRIC 서양</v>
      </c>
      <c r="M560" s="1"/>
      <c r="N560" s="1"/>
      <c r="O560" s="1"/>
      <c r="P560" s="1"/>
      <c r="Q560" s="1"/>
      <c r="R560" s="1"/>
      <c r="S560" s="1"/>
      <c r="T560" s="1"/>
    </row>
    <row r="561" spans="1:20" ht="26.25" customHeight="1">
      <c r="A561" s="17">
        <f t="shared" si="0"/>
        <v>558</v>
      </c>
      <c r="B561" s="18" t="s">
        <v>27</v>
      </c>
      <c r="C561" s="31" t="s">
        <v>1188</v>
      </c>
      <c r="D561" s="19" t="s">
        <v>2790</v>
      </c>
      <c r="E561" s="20" t="s">
        <v>1190</v>
      </c>
      <c r="F561" s="32" t="s">
        <v>170</v>
      </c>
      <c r="G561" s="22" t="s">
        <v>31</v>
      </c>
      <c r="H561" s="23" t="s">
        <v>2791</v>
      </c>
      <c r="I561" s="24" t="s">
        <v>55</v>
      </c>
      <c r="J561" s="1" t="str">
        <f t="shared" si="83"/>
        <v/>
      </c>
      <c r="K561" s="25">
        <v>3</v>
      </c>
      <c r="L561" s="1" t="str">
        <f t="shared" si="1"/>
        <v>2020 FRIC 서양</v>
      </c>
      <c r="M561" s="1"/>
      <c r="N561" s="1"/>
      <c r="O561" s="1"/>
      <c r="P561" s="1"/>
      <c r="Q561" s="1"/>
      <c r="R561" s="1"/>
      <c r="S561" s="1"/>
      <c r="T561" s="1"/>
    </row>
    <row r="562" spans="1:20" ht="26.25" customHeight="1">
      <c r="A562" s="17">
        <f t="shared" si="0"/>
        <v>559</v>
      </c>
      <c r="B562" s="18" t="s">
        <v>13</v>
      </c>
      <c r="C562" s="31" t="s">
        <v>2792</v>
      </c>
      <c r="D562" s="19" t="s">
        <v>2793</v>
      </c>
      <c r="E562" s="20" t="s">
        <v>1196</v>
      </c>
      <c r="F562" s="32" t="s">
        <v>170</v>
      </c>
      <c r="G562" s="22" t="s">
        <v>53</v>
      </c>
      <c r="H562" s="23" t="s">
        <v>2794</v>
      </c>
      <c r="I562" s="24" t="s">
        <v>55</v>
      </c>
      <c r="J562" s="1" t="str">
        <f t="shared" si="83"/>
        <v/>
      </c>
      <c r="K562" s="25">
        <v>3</v>
      </c>
      <c r="L562" s="1" t="str">
        <f t="shared" si="1"/>
        <v>2020 FRIC 서양</v>
      </c>
      <c r="M562" s="1"/>
      <c r="N562" s="1"/>
      <c r="O562" s="1"/>
      <c r="P562" s="1"/>
      <c r="Q562" s="1"/>
      <c r="R562" s="1"/>
      <c r="S562" s="1"/>
      <c r="T562" s="1"/>
    </row>
    <row r="563" spans="1:20" ht="26.25" customHeight="1">
      <c r="A563" s="17">
        <f t="shared" si="0"/>
        <v>560</v>
      </c>
      <c r="B563" s="18" t="s">
        <v>81</v>
      </c>
      <c r="C563" s="31" t="s">
        <v>2795</v>
      </c>
      <c r="D563" s="19" t="s">
        <v>1776</v>
      </c>
      <c r="E563" s="20" t="s">
        <v>2796</v>
      </c>
      <c r="F563" s="32" t="s">
        <v>222</v>
      </c>
      <c r="G563" s="33" t="s">
        <v>42</v>
      </c>
      <c r="H563" s="23" t="s">
        <v>2797</v>
      </c>
      <c r="I563" s="24" t="s">
        <v>55</v>
      </c>
      <c r="J563" s="1" t="str">
        <f t="shared" si="83"/>
        <v/>
      </c>
      <c r="K563" s="1"/>
      <c r="L563" s="1" t="str">
        <f t="shared" si="1"/>
        <v/>
      </c>
      <c r="M563" s="1"/>
      <c r="N563" s="1"/>
      <c r="O563" s="1"/>
      <c r="P563" s="1"/>
      <c r="Q563" s="1"/>
      <c r="R563" s="1"/>
      <c r="S563" s="1"/>
      <c r="T563" s="1"/>
    </row>
    <row r="564" spans="1:20" ht="26.25" customHeight="1">
      <c r="A564" s="17">
        <f t="shared" si="0"/>
        <v>561</v>
      </c>
      <c r="B564" s="18" t="s">
        <v>81</v>
      </c>
      <c r="C564" s="31" t="s">
        <v>2798</v>
      </c>
      <c r="D564" s="19" t="s">
        <v>2799</v>
      </c>
      <c r="E564" s="20" t="s">
        <v>2800</v>
      </c>
      <c r="F564" s="32" t="s">
        <v>2801</v>
      </c>
      <c r="G564" s="33" t="s">
        <v>53</v>
      </c>
      <c r="H564" s="23" t="s">
        <v>2802</v>
      </c>
      <c r="I564" s="24" t="s">
        <v>55</v>
      </c>
      <c r="J564" s="1" t="str">
        <f t="shared" si="83"/>
        <v/>
      </c>
      <c r="K564" s="1"/>
      <c r="L564" s="1" t="str">
        <f t="shared" si="1"/>
        <v/>
      </c>
      <c r="M564" s="1"/>
      <c r="N564" s="1"/>
      <c r="O564" s="1"/>
      <c r="P564" s="1"/>
      <c r="Q564" s="1"/>
      <c r="R564" s="1"/>
      <c r="S564" s="1"/>
      <c r="T564" s="1"/>
    </row>
    <row r="565" spans="1:20" ht="26.25" customHeight="1">
      <c r="A565" s="17">
        <f t="shared" si="0"/>
        <v>562</v>
      </c>
      <c r="B565" s="18" t="s">
        <v>81</v>
      </c>
      <c r="C565" s="31" t="s">
        <v>2803</v>
      </c>
      <c r="D565" s="19" t="s">
        <v>1693</v>
      </c>
      <c r="E565" s="20" t="s">
        <v>2804</v>
      </c>
      <c r="F565" s="32" t="s">
        <v>2805</v>
      </c>
      <c r="G565" s="33" t="s">
        <v>1290</v>
      </c>
      <c r="H565" s="23" t="s">
        <v>2806</v>
      </c>
      <c r="I565" s="24" t="s">
        <v>55</v>
      </c>
      <c r="J565" s="1" t="str">
        <f t="shared" si="83"/>
        <v/>
      </c>
      <c r="K565" s="1"/>
      <c r="L565" s="1" t="str">
        <f t="shared" si="1"/>
        <v/>
      </c>
      <c r="M565" s="1"/>
      <c r="N565" s="1"/>
      <c r="O565" s="1"/>
      <c r="P565" s="1"/>
      <c r="Q565" s="1"/>
      <c r="R565" s="1"/>
      <c r="S565" s="1"/>
      <c r="T565" s="1"/>
    </row>
    <row r="566" spans="1:20" ht="26.25" customHeight="1">
      <c r="A566" s="17">
        <f t="shared" si="0"/>
        <v>563</v>
      </c>
      <c r="B566" s="18" t="s">
        <v>105</v>
      </c>
      <c r="C566" s="31" t="s">
        <v>824</v>
      </c>
      <c r="D566" s="19" t="s">
        <v>2267</v>
      </c>
      <c r="E566" s="20" t="s">
        <v>826</v>
      </c>
      <c r="F566" s="32" t="s">
        <v>2807</v>
      </c>
      <c r="G566" s="33" t="s">
        <v>42</v>
      </c>
      <c r="H566" s="23" t="s">
        <v>2808</v>
      </c>
      <c r="I566" s="24" t="s">
        <v>55</v>
      </c>
      <c r="J566" s="1" t="str">
        <f t="shared" si="83"/>
        <v/>
      </c>
      <c r="K566" s="25">
        <v>3</v>
      </c>
      <c r="L566" s="1" t="str">
        <f t="shared" si="1"/>
        <v>2020 FRIC 서양</v>
      </c>
      <c r="M566" s="1"/>
      <c r="N566" s="1"/>
      <c r="O566" s="1"/>
      <c r="P566" s="1"/>
      <c r="Q566" s="1"/>
      <c r="R566" s="1"/>
      <c r="S566" s="1"/>
      <c r="T566" s="1"/>
    </row>
    <row r="567" spans="1:20" ht="26.25" customHeight="1">
      <c r="A567" s="17">
        <f t="shared" si="0"/>
        <v>564</v>
      </c>
      <c r="B567" s="18" t="s">
        <v>105</v>
      </c>
      <c r="C567" s="31" t="s">
        <v>2809</v>
      </c>
      <c r="D567" s="19" t="s">
        <v>808</v>
      </c>
      <c r="E567" s="20" t="s">
        <v>2810</v>
      </c>
      <c r="F567" s="32" t="s">
        <v>2811</v>
      </c>
      <c r="G567" s="33" t="s">
        <v>42</v>
      </c>
      <c r="H567" s="23" t="s">
        <v>2812</v>
      </c>
      <c r="I567" s="24" t="s">
        <v>55</v>
      </c>
      <c r="J567" s="1" t="str">
        <f t="shared" si="83"/>
        <v/>
      </c>
      <c r="K567" s="1"/>
      <c r="L567" s="1" t="str">
        <f t="shared" si="1"/>
        <v/>
      </c>
      <c r="M567" s="1"/>
      <c r="N567" s="1"/>
      <c r="O567" s="1"/>
      <c r="P567" s="1"/>
      <c r="Q567" s="1"/>
      <c r="R567" s="1"/>
      <c r="S567" s="1"/>
      <c r="T567" s="1"/>
    </row>
    <row r="568" spans="1:20" ht="26.25" customHeight="1">
      <c r="A568" s="17">
        <f t="shared" si="0"/>
        <v>565</v>
      </c>
      <c r="B568" s="18" t="s">
        <v>27</v>
      </c>
      <c r="C568" s="31" t="s">
        <v>2813</v>
      </c>
      <c r="D568" s="19" t="s">
        <v>124</v>
      </c>
      <c r="E568" s="20" t="s">
        <v>2814</v>
      </c>
      <c r="F568" s="21" t="s">
        <v>2815</v>
      </c>
      <c r="G568" s="22" t="s">
        <v>42</v>
      </c>
      <c r="H568" s="23" t="s">
        <v>2816</v>
      </c>
      <c r="I568" s="34" t="s">
        <v>20</v>
      </c>
      <c r="J568" s="1" t="s">
        <v>87</v>
      </c>
      <c r="K568" s="25">
        <v>4</v>
      </c>
      <c r="L568" s="1" t="str">
        <f t="shared" si="1"/>
        <v/>
      </c>
      <c r="M568" s="25"/>
      <c r="N568" s="25"/>
      <c r="O568" s="25"/>
      <c r="P568" s="25"/>
      <c r="Q568" s="25"/>
      <c r="R568" s="25"/>
      <c r="S568" s="25"/>
      <c r="T568" s="25"/>
    </row>
    <row r="569" spans="1:20" ht="26.25" customHeight="1">
      <c r="A569" s="17">
        <f t="shared" si="0"/>
        <v>566</v>
      </c>
      <c r="B569" s="18" t="s">
        <v>13</v>
      </c>
      <c r="C569" s="31" t="s">
        <v>2817</v>
      </c>
      <c r="D569" s="19" t="s">
        <v>2818</v>
      </c>
      <c r="E569" s="20" t="s">
        <v>2819</v>
      </c>
      <c r="F569" s="32" t="s">
        <v>2820</v>
      </c>
      <c r="G569" s="22" t="s">
        <v>31</v>
      </c>
      <c r="H569" s="23" t="s">
        <v>2821</v>
      </c>
      <c r="I569" s="24" t="s">
        <v>55</v>
      </c>
      <c r="J569" s="1" t="str">
        <f t="shared" ref="J569:J576" si="84">IFERROR(VLOOKUP(E569,#REF!,8,FALSE),"")</f>
        <v/>
      </c>
      <c r="K569" s="1"/>
      <c r="L569" s="1" t="str">
        <f t="shared" si="1"/>
        <v/>
      </c>
      <c r="M569" s="1"/>
      <c r="N569" s="1"/>
      <c r="O569" s="1"/>
      <c r="P569" s="1"/>
      <c r="Q569" s="1"/>
      <c r="R569" s="1"/>
      <c r="S569" s="1"/>
      <c r="T569" s="1"/>
    </row>
    <row r="570" spans="1:20" ht="26.25" customHeight="1">
      <c r="A570" s="17">
        <f t="shared" si="0"/>
        <v>567</v>
      </c>
      <c r="B570" s="18" t="s">
        <v>105</v>
      </c>
      <c r="C570" s="31" t="s">
        <v>2822</v>
      </c>
      <c r="D570" s="19" t="s">
        <v>2445</v>
      </c>
      <c r="E570" s="20" t="s">
        <v>2823</v>
      </c>
      <c r="F570" s="32" t="s">
        <v>222</v>
      </c>
      <c r="G570" s="33" t="s">
        <v>42</v>
      </c>
      <c r="H570" s="23" t="s">
        <v>2824</v>
      </c>
      <c r="I570" s="24" t="s">
        <v>55</v>
      </c>
      <c r="J570" s="1" t="str">
        <f t="shared" si="84"/>
        <v/>
      </c>
      <c r="K570" s="1"/>
      <c r="L570" s="1" t="str">
        <f t="shared" si="1"/>
        <v/>
      </c>
      <c r="M570" s="1"/>
      <c r="N570" s="1"/>
      <c r="O570" s="1"/>
      <c r="P570" s="1"/>
      <c r="Q570" s="1"/>
      <c r="R570" s="1"/>
      <c r="S570" s="1"/>
      <c r="T570" s="1"/>
    </row>
    <row r="571" spans="1:20" ht="26.25" customHeight="1">
      <c r="A571" s="17">
        <f t="shared" si="0"/>
        <v>568</v>
      </c>
      <c r="B571" s="18" t="s">
        <v>27</v>
      </c>
      <c r="C571" s="31" t="s">
        <v>2825</v>
      </c>
      <c r="D571" s="19" t="s">
        <v>124</v>
      </c>
      <c r="E571" s="20" t="s">
        <v>2826</v>
      </c>
      <c r="F571" s="32">
        <v>2010</v>
      </c>
      <c r="G571" s="33" t="s">
        <v>42</v>
      </c>
      <c r="H571" s="23" t="s">
        <v>2827</v>
      </c>
      <c r="I571" s="24" t="s">
        <v>55</v>
      </c>
      <c r="J571" s="1" t="str">
        <f t="shared" si="84"/>
        <v/>
      </c>
      <c r="K571" s="1"/>
      <c r="L571" s="1" t="str">
        <f t="shared" si="1"/>
        <v/>
      </c>
      <c r="M571" s="1"/>
      <c r="N571" s="1"/>
      <c r="O571" s="1"/>
      <c r="P571" s="1"/>
      <c r="Q571" s="1"/>
      <c r="R571" s="1"/>
      <c r="S571" s="1"/>
      <c r="T571" s="1"/>
    </row>
    <row r="572" spans="1:20" ht="26.25" customHeight="1">
      <c r="A572" s="17">
        <f t="shared" si="0"/>
        <v>569</v>
      </c>
      <c r="B572" s="18" t="s">
        <v>105</v>
      </c>
      <c r="C572" s="31" t="s">
        <v>1203</v>
      </c>
      <c r="D572" s="19" t="s">
        <v>1204</v>
      </c>
      <c r="E572" s="20" t="s">
        <v>1205</v>
      </c>
      <c r="F572" s="32" t="s">
        <v>170</v>
      </c>
      <c r="G572" s="33" t="s">
        <v>42</v>
      </c>
      <c r="H572" s="23" t="s">
        <v>2828</v>
      </c>
      <c r="I572" s="24" t="s">
        <v>55</v>
      </c>
      <c r="J572" s="1" t="str">
        <f t="shared" si="84"/>
        <v/>
      </c>
      <c r="K572" s="25">
        <v>3</v>
      </c>
      <c r="L572" s="1" t="str">
        <f t="shared" si="1"/>
        <v>2020 FRIC 서양</v>
      </c>
      <c r="M572" s="1"/>
      <c r="N572" s="1"/>
      <c r="O572" s="1"/>
      <c r="P572" s="1"/>
      <c r="Q572" s="1"/>
      <c r="R572" s="1"/>
      <c r="S572" s="1"/>
      <c r="T572" s="1"/>
    </row>
    <row r="573" spans="1:20" ht="26.25" customHeight="1">
      <c r="A573" s="17">
        <f t="shared" si="0"/>
        <v>570</v>
      </c>
      <c r="B573" s="18" t="s">
        <v>175</v>
      </c>
      <c r="C573" s="31" t="s">
        <v>2829</v>
      </c>
      <c r="D573" s="19" t="s">
        <v>2830</v>
      </c>
      <c r="E573" s="20" t="s">
        <v>2831</v>
      </c>
      <c r="F573" s="32" t="s">
        <v>2832</v>
      </c>
      <c r="G573" s="33" t="s">
        <v>42</v>
      </c>
      <c r="H573" s="23" t="s">
        <v>2833</v>
      </c>
      <c r="I573" s="24" t="s">
        <v>55</v>
      </c>
      <c r="J573" s="1" t="str">
        <f t="shared" si="84"/>
        <v/>
      </c>
      <c r="K573" s="1"/>
      <c r="L573" s="1" t="str">
        <f t="shared" si="1"/>
        <v/>
      </c>
      <c r="M573" s="1"/>
      <c r="N573" s="1"/>
      <c r="O573" s="1"/>
      <c r="P573" s="1"/>
      <c r="Q573" s="1"/>
      <c r="R573" s="1"/>
      <c r="S573" s="1"/>
      <c r="T573" s="1"/>
    </row>
    <row r="574" spans="1:20" ht="26.25" customHeight="1">
      <c r="A574" s="17">
        <f t="shared" si="0"/>
        <v>571</v>
      </c>
      <c r="B574" s="18" t="s">
        <v>105</v>
      </c>
      <c r="C574" s="31" t="s">
        <v>1525</v>
      </c>
      <c r="D574" s="19" t="s">
        <v>124</v>
      </c>
      <c r="E574" s="20" t="s">
        <v>1526</v>
      </c>
      <c r="F574" s="21" t="s">
        <v>2834</v>
      </c>
      <c r="G574" s="33" t="s">
        <v>42</v>
      </c>
      <c r="H574" s="23" t="s">
        <v>2835</v>
      </c>
      <c r="I574" s="34" t="s">
        <v>55</v>
      </c>
      <c r="J574" s="1" t="str">
        <f t="shared" si="84"/>
        <v/>
      </c>
      <c r="K574" s="25">
        <v>4</v>
      </c>
      <c r="L574" s="1" t="str">
        <f t="shared" si="1"/>
        <v>2021 과기 서양</v>
      </c>
      <c r="M574" s="25"/>
      <c r="N574" s="25"/>
      <c r="O574" s="25"/>
      <c r="P574" s="25"/>
      <c r="Q574" s="25"/>
      <c r="R574" s="25"/>
      <c r="S574" s="25"/>
      <c r="T574" s="25"/>
    </row>
    <row r="575" spans="1:20" ht="26.25" customHeight="1">
      <c r="A575" s="17">
        <f t="shared" si="0"/>
        <v>572</v>
      </c>
      <c r="B575" s="18" t="s">
        <v>27</v>
      </c>
      <c r="C575" s="31" t="s">
        <v>2836</v>
      </c>
      <c r="D575" s="19" t="s">
        <v>808</v>
      </c>
      <c r="E575" s="20" t="s">
        <v>2837</v>
      </c>
      <c r="F575" s="32" t="s">
        <v>2838</v>
      </c>
      <c r="G575" s="33" t="s">
        <v>42</v>
      </c>
      <c r="H575" s="23" t="s">
        <v>2839</v>
      </c>
      <c r="I575" s="24" t="s">
        <v>55</v>
      </c>
      <c r="J575" s="1" t="str">
        <f t="shared" si="84"/>
        <v/>
      </c>
      <c r="K575" s="1"/>
      <c r="L575" s="1" t="str">
        <f t="shared" si="1"/>
        <v/>
      </c>
      <c r="M575" s="1"/>
      <c r="N575" s="1"/>
      <c r="O575" s="1"/>
      <c r="P575" s="1"/>
      <c r="Q575" s="1"/>
      <c r="R575" s="1"/>
      <c r="S575" s="1"/>
      <c r="T575" s="1"/>
    </row>
    <row r="576" spans="1:20" ht="26.25" customHeight="1">
      <c r="A576" s="17">
        <f t="shared" si="0"/>
        <v>573</v>
      </c>
      <c r="B576" s="18" t="s">
        <v>27</v>
      </c>
      <c r="C576" s="31" t="s">
        <v>2840</v>
      </c>
      <c r="D576" s="19" t="s">
        <v>808</v>
      </c>
      <c r="E576" s="20" t="s">
        <v>2841</v>
      </c>
      <c r="F576" s="32" t="s">
        <v>2842</v>
      </c>
      <c r="G576" s="33" t="s">
        <v>42</v>
      </c>
      <c r="H576" s="23" t="s">
        <v>2843</v>
      </c>
      <c r="I576" s="24" t="s">
        <v>55</v>
      </c>
      <c r="J576" s="1" t="str">
        <f t="shared" si="84"/>
        <v/>
      </c>
      <c r="K576" s="1"/>
      <c r="L576" s="1" t="str">
        <f t="shared" si="1"/>
        <v/>
      </c>
      <c r="M576" s="1"/>
      <c r="N576" s="1"/>
      <c r="O576" s="1"/>
      <c r="P576" s="1"/>
      <c r="Q576" s="1"/>
      <c r="R576" s="1"/>
      <c r="S576" s="1"/>
      <c r="T576" s="1"/>
    </row>
    <row r="577" spans="1:20" ht="26.25" customHeight="1">
      <c r="A577" s="17">
        <f t="shared" si="0"/>
        <v>574</v>
      </c>
      <c r="B577" s="18" t="s">
        <v>105</v>
      </c>
      <c r="C577" s="19" t="s">
        <v>2844</v>
      </c>
      <c r="D577" s="19" t="s">
        <v>124</v>
      </c>
      <c r="E577" s="20" t="s">
        <v>2845</v>
      </c>
      <c r="F577" s="21" t="s">
        <v>933</v>
      </c>
      <c r="G577" s="33" t="s">
        <v>42</v>
      </c>
      <c r="H577" s="23" t="s">
        <v>2846</v>
      </c>
      <c r="I577" s="24" t="s">
        <v>20</v>
      </c>
      <c r="J577" s="1" t="s">
        <v>21</v>
      </c>
      <c r="K577" s="25">
        <v>3</v>
      </c>
      <c r="L577" s="1" t="str">
        <f t="shared" si="1"/>
        <v/>
      </c>
      <c r="M577" s="1"/>
      <c r="N577" s="1"/>
      <c r="O577" s="1"/>
      <c r="P577" s="1"/>
      <c r="Q577" s="1"/>
      <c r="R577" s="1"/>
      <c r="S577" s="1"/>
      <c r="T577" s="1"/>
    </row>
    <row r="578" spans="1:20" ht="26.25" customHeight="1">
      <c r="A578" s="17">
        <f t="shared" si="0"/>
        <v>575</v>
      </c>
      <c r="B578" s="18" t="s">
        <v>27</v>
      </c>
      <c r="C578" s="31" t="s">
        <v>2847</v>
      </c>
      <c r="D578" s="19" t="s">
        <v>1320</v>
      </c>
      <c r="E578" s="20" t="s">
        <v>2848</v>
      </c>
      <c r="F578" s="32" t="s">
        <v>2849</v>
      </c>
      <c r="G578" s="22" t="s">
        <v>53</v>
      </c>
      <c r="H578" s="23" t="s">
        <v>2850</v>
      </c>
      <c r="I578" s="24" t="s">
        <v>55</v>
      </c>
      <c r="J578" s="1" t="str">
        <f t="shared" ref="J578:J584" si="85">IFERROR(VLOOKUP(E578,#REF!,8,FALSE),"")</f>
        <v/>
      </c>
      <c r="K578" s="1"/>
      <c r="L578" s="1" t="str">
        <f t="shared" si="1"/>
        <v/>
      </c>
      <c r="M578" s="1"/>
      <c r="N578" s="1"/>
      <c r="O578" s="1"/>
      <c r="P578" s="1"/>
      <c r="Q578" s="1"/>
      <c r="R578" s="1"/>
      <c r="S578" s="1"/>
      <c r="T578" s="1"/>
    </row>
    <row r="579" spans="1:20" ht="26.25" customHeight="1">
      <c r="A579" s="17">
        <f t="shared" si="0"/>
        <v>576</v>
      </c>
      <c r="B579" s="18" t="s">
        <v>175</v>
      </c>
      <c r="C579" s="31" t="s">
        <v>2851</v>
      </c>
      <c r="D579" s="19" t="s">
        <v>1338</v>
      </c>
      <c r="E579" s="20" t="s">
        <v>297</v>
      </c>
      <c r="F579" s="32" t="s">
        <v>2852</v>
      </c>
      <c r="G579" s="33" t="s">
        <v>42</v>
      </c>
      <c r="H579" s="23" t="s">
        <v>2853</v>
      </c>
      <c r="I579" s="24" t="s">
        <v>55</v>
      </c>
      <c r="J579" s="1" t="str">
        <f t="shared" si="85"/>
        <v/>
      </c>
      <c r="K579" s="25">
        <v>4</v>
      </c>
      <c r="L579" s="1" t="str">
        <f t="shared" si="1"/>
        <v>2018 과기 서양</v>
      </c>
      <c r="M579" s="1"/>
      <c r="N579" s="1"/>
      <c r="O579" s="1"/>
      <c r="P579" s="1"/>
      <c r="Q579" s="1"/>
      <c r="R579" s="1"/>
      <c r="S579" s="1"/>
      <c r="T579" s="1"/>
    </row>
    <row r="580" spans="1:20" ht="26.25" customHeight="1">
      <c r="A580" s="17">
        <f t="shared" si="0"/>
        <v>577</v>
      </c>
      <c r="B580" s="18" t="s">
        <v>175</v>
      </c>
      <c r="C580" s="31" t="s">
        <v>2854</v>
      </c>
      <c r="D580" s="19" t="s">
        <v>722</v>
      </c>
      <c r="E580" s="20" t="s">
        <v>2855</v>
      </c>
      <c r="F580" s="32" t="s">
        <v>252</v>
      </c>
      <c r="G580" s="33" t="s">
        <v>42</v>
      </c>
      <c r="H580" s="23" t="s">
        <v>2856</v>
      </c>
      <c r="I580" s="24" t="s">
        <v>55</v>
      </c>
      <c r="J580" s="1" t="str">
        <f t="shared" si="85"/>
        <v/>
      </c>
      <c r="K580" s="1"/>
      <c r="L580" s="1" t="str">
        <f t="shared" si="1"/>
        <v/>
      </c>
      <c r="M580" s="1"/>
      <c r="N580" s="1"/>
      <c r="O580" s="1"/>
      <c r="P580" s="1"/>
      <c r="Q580" s="1"/>
      <c r="R580" s="1"/>
      <c r="S580" s="1"/>
      <c r="T580" s="1"/>
    </row>
    <row r="581" spans="1:20" ht="26.25" customHeight="1">
      <c r="A581" s="17">
        <f t="shared" si="0"/>
        <v>578</v>
      </c>
      <c r="B581" s="18" t="s">
        <v>175</v>
      </c>
      <c r="C581" s="31" t="s">
        <v>2857</v>
      </c>
      <c r="D581" s="19" t="s">
        <v>2858</v>
      </c>
      <c r="E581" s="20" t="s">
        <v>2859</v>
      </c>
      <c r="F581" s="32" t="s">
        <v>2860</v>
      </c>
      <c r="G581" s="33" t="s">
        <v>42</v>
      </c>
      <c r="H581" s="23" t="s">
        <v>2861</v>
      </c>
      <c r="I581" s="24" t="s">
        <v>55</v>
      </c>
      <c r="J581" s="1" t="str">
        <f t="shared" si="85"/>
        <v/>
      </c>
      <c r="K581" s="1"/>
      <c r="L581" s="1" t="str">
        <f t="shared" si="1"/>
        <v/>
      </c>
      <c r="M581" s="1"/>
      <c r="N581" s="1"/>
      <c r="O581" s="1"/>
      <c r="P581" s="1"/>
      <c r="Q581" s="1"/>
      <c r="R581" s="1"/>
      <c r="S581" s="1"/>
      <c r="T581" s="1"/>
    </row>
    <row r="582" spans="1:20" ht="26.25" customHeight="1">
      <c r="A582" s="17">
        <f t="shared" si="0"/>
        <v>579</v>
      </c>
      <c r="B582" s="18" t="s">
        <v>175</v>
      </c>
      <c r="C582" s="31" t="s">
        <v>2862</v>
      </c>
      <c r="D582" s="19" t="s">
        <v>2863</v>
      </c>
      <c r="E582" s="20" t="s">
        <v>2864</v>
      </c>
      <c r="F582" s="32" t="s">
        <v>252</v>
      </c>
      <c r="G582" s="33" t="s">
        <v>53</v>
      </c>
      <c r="H582" s="23" t="s">
        <v>2865</v>
      </c>
      <c r="I582" s="24" t="s">
        <v>55</v>
      </c>
      <c r="J582" s="1" t="str">
        <f t="shared" si="85"/>
        <v/>
      </c>
      <c r="K582" s="1"/>
      <c r="L582" s="1" t="str">
        <f t="shared" si="1"/>
        <v/>
      </c>
      <c r="M582" s="1"/>
      <c r="N582" s="1"/>
      <c r="O582" s="1"/>
      <c r="P582" s="1"/>
      <c r="Q582" s="1"/>
      <c r="R582" s="1"/>
      <c r="S582" s="1"/>
      <c r="T582" s="1"/>
    </row>
    <row r="583" spans="1:20" ht="26.25" customHeight="1">
      <c r="A583" s="17">
        <f t="shared" si="0"/>
        <v>580</v>
      </c>
      <c r="B583" s="18" t="s">
        <v>175</v>
      </c>
      <c r="C583" s="31" t="s">
        <v>2866</v>
      </c>
      <c r="D583" s="19" t="s">
        <v>196</v>
      </c>
      <c r="E583" s="20" t="s">
        <v>2867</v>
      </c>
      <c r="F583" s="32" t="s">
        <v>2868</v>
      </c>
      <c r="G583" s="33" t="s">
        <v>42</v>
      </c>
      <c r="H583" s="23" t="s">
        <v>2869</v>
      </c>
      <c r="I583" s="24" t="s">
        <v>55</v>
      </c>
      <c r="J583" s="1" t="str">
        <f t="shared" si="85"/>
        <v/>
      </c>
      <c r="K583" s="1"/>
      <c r="L583" s="1" t="str">
        <f t="shared" si="1"/>
        <v/>
      </c>
      <c r="M583" s="1"/>
      <c r="N583" s="1"/>
      <c r="O583" s="1"/>
      <c r="P583" s="1"/>
      <c r="Q583" s="1"/>
      <c r="R583" s="1"/>
      <c r="S583" s="1"/>
      <c r="T583" s="1"/>
    </row>
    <row r="584" spans="1:20" ht="26.25" customHeight="1">
      <c r="A584" s="17">
        <f t="shared" si="0"/>
        <v>581</v>
      </c>
      <c r="B584" s="18" t="s">
        <v>105</v>
      </c>
      <c r="C584" s="31" t="s">
        <v>2870</v>
      </c>
      <c r="D584" s="19" t="s">
        <v>2501</v>
      </c>
      <c r="E584" s="20" t="s">
        <v>2871</v>
      </c>
      <c r="F584" s="32" t="s">
        <v>738</v>
      </c>
      <c r="G584" s="33" t="s">
        <v>42</v>
      </c>
      <c r="H584" s="23" t="s">
        <v>2872</v>
      </c>
      <c r="I584" s="24" t="s">
        <v>55</v>
      </c>
      <c r="J584" s="1" t="str">
        <f t="shared" si="85"/>
        <v/>
      </c>
      <c r="K584" s="1"/>
      <c r="L584" s="1" t="str">
        <f t="shared" si="1"/>
        <v/>
      </c>
      <c r="M584" s="1"/>
      <c r="N584" s="1"/>
      <c r="O584" s="1"/>
      <c r="P584" s="1"/>
      <c r="Q584" s="1"/>
      <c r="R584" s="1"/>
      <c r="S584" s="1"/>
      <c r="T584" s="1"/>
    </row>
    <row r="585" spans="1:20" ht="26.25" customHeight="1">
      <c r="A585" s="17">
        <f t="shared" si="0"/>
        <v>582</v>
      </c>
      <c r="B585" s="18" t="s">
        <v>37</v>
      </c>
      <c r="C585" s="19" t="s">
        <v>2873</v>
      </c>
      <c r="D585" s="19" t="s">
        <v>173</v>
      </c>
      <c r="E585" s="20" t="s">
        <v>2874</v>
      </c>
      <c r="F585" s="21" t="s">
        <v>135</v>
      </c>
      <c r="G585" s="22" t="s">
        <v>42</v>
      </c>
      <c r="H585" s="23" t="s">
        <v>2875</v>
      </c>
      <c r="I585" s="24" t="s">
        <v>20</v>
      </c>
      <c r="J585" s="1" t="s">
        <v>21</v>
      </c>
      <c r="K585" s="25">
        <v>3</v>
      </c>
      <c r="L585" s="1" t="str">
        <f t="shared" si="1"/>
        <v/>
      </c>
      <c r="M585" s="1"/>
      <c r="N585" s="1"/>
      <c r="O585" s="1"/>
      <c r="P585" s="1"/>
      <c r="Q585" s="1"/>
      <c r="R585" s="1"/>
      <c r="S585" s="1"/>
      <c r="T585" s="1"/>
    </row>
    <row r="586" spans="1:20" ht="26.25" customHeight="1">
      <c r="A586" s="17">
        <f t="shared" si="0"/>
        <v>583</v>
      </c>
      <c r="B586" s="18" t="s">
        <v>27</v>
      </c>
      <c r="C586" s="19" t="s">
        <v>2876</v>
      </c>
      <c r="D586" s="19" t="s">
        <v>196</v>
      </c>
      <c r="E586" s="20" t="s">
        <v>2877</v>
      </c>
      <c r="F586" s="21" t="s">
        <v>1363</v>
      </c>
      <c r="G586" s="22" t="s">
        <v>42</v>
      </c>
      <c r="H586" s="23" t="s">
        <v>2878</v>
      </c>
      <c r="I586" s="24" t="s">
        <v>20</v>
      </c>
      <c r="J586" s="1" t="s">
        <v>21</v>
      </c>
      <c r="K586" s="25">
        <v>3</v>
      </c>
      <c r="L586" s="1" t="str">
        <f t="shared" si="1"/>
        <v/>
      </c>
      <c r="M586" s="1"/>
      <c r="N586" s="1"/>
      <c r="O586" s="1"/>
      <c r="P586" s="1"/>
      <c r="Q586" s="1"/>
      <c r="R586" s="1"/>
      <c r="S586" s="1"/>
      <c r="T586" s="1"/>
    </row>
    <row r="587" spans="1:20" ht="26.25" customHeight="1">
      <c r="A587" s="17">
        <f t="shared" si="0"/>
        <v>584</v>
      </c>
      <c r="B587" s="18" t="s">
        <v>27</v>
      </c>
      <c r="C587" s="31" t="s">
        <v>2879</v>
      </c>
      <c r="D587" s="19" t="s">
        <v>808</v>
      </c>
      <c r="E587" s="20" t="s">
        <v>2880</v>
      </c>
      <c r="F587" s="32" t="s">
        <v>209</v>
      </c>
      <c r="G587" s="22" t="s">
        <v>42</v>
      </c>
      <c r="H587" s="23" t="s">
        <v>2881</v>
      </c>
      <c r="I587" s="24" t="s">
        <v>55</v>
      </c>
      <c r="J587" s="1" t="str">
        <f t="shared" ref="J587:J588" si="86">IFERROR(VLOOKUP(E587,#REF!,8,FALSE),"")</f>
        <v/>
      </c>
      <c r="K587" s="1"/>
      <c r="L587" s="1" t="str">
        <f t="shared" si="1"/>
        <v/>
      </c>
      <c r="M587" s="1"/>
      <c r="N587" s="1"/>
      <c r="O587" s="1"/>
      <c r="P587" s="1"/>
      <c r="Q587" s="1"/>
      <c r="R587" s="1"/>
      <c r="S587" s="1"/>
      <c r="T587" s="1"/>
    </row>
    <row r="588" spans="1:20" ht="26.25" customHeight="1">
      <c r="A588" s="17">
        <f t="shared" si="0"/>
        <v>585</v>
      </c>
      <c r="B588" s="18" t="s">
        <v>27</v>
      </c>
      <c r="C588" s="31" t="s">
        <v>2882</v>
      </c>
      <c r="D588" s="19" t="s">
        <v>2883</v>
      </c>
      <c r="E588" s="20" t="s">
        <v>2884</v>
      </c>
      <c r="F588" s="32" t="s">
        <v>2885</v>
      </c>
      <c r="G588" s="22" t="s">
        <v>42</v>
      </c>
      <c r="H588" s="23" t="s">
        <v>2886</v>
      </c>
      <c r="I588" s="24" t="s">
        <v>55</v>
      </c>
      <c r="J588" s="1" t="str">
        <f t="shared" si="86"/>
        <v/>
      </c>
      <c r="K588" s="1"/>
      <c r="L588" s="1" t="str">
        <f t="shared" si="1"/>
        <v/>
      </c>
      <c r="M588" s="1"/>
      <c r="N588" s="1"/>
      <c r="O588" s="1"/>
      <c r="P588" s="1"/>
      <c r="Q588" s="1"/>
      <c r="R588" s="1"/>
      <c r="S588" s="1"/>
      <c r="T588" s="1"/>
    </row>
    <row r="589" spans="1:20" ht="26.25" customHeight="1">
      <c r="A589" s="17">
        <f t="shared" si="0"/>
        <v>586</v>
      </c>
      <c r="B589" s="18" t="s">
        <v>27</v>
      </c>
      <c r="C589" s="31" t="s">
        <v>2887</v>
      </c>
      <c r="D589" s="19" t="s">
        <v>124</v>
      </c>
      <c r="E589" s="79" t="s">
        <v>2888</v>
      </c>
      <c r="F589" s="32" t="s">
        <v>1033</v>
      </c>
      <c r="G589" s="22" t="s">
        <v>42</v>
      </c>
      <c r="H589" s="23" t="s">
        <v>2889</v>
      </c>
      <c r="I589" s="34" t="s">
        <v>20</v>
      </c>
      <c r="J589" s="1" t="s">
        <v>21</v>
      </c>
      <c r="K589" s="25">
        <v>3</v>
      </c>
      <c r="L589" s="1" t="str">
        <f t="shared" si="1"/>
        <v/>
      </c>
      <c r="M589" s="25"/>
      <c r="N589" s="25"/>
      <c r="O589" s="25"/>
      <c r="P589" s="25"/>
      <c r="Q589" s="25"/>
      <c r="R589" s="25"/>
      <c r="S589" s="25"/>
      <c r="T589" s="25"/>
    </row>
    <row r="590" spans="1:20" ht="26.25" customHeight="1">
      <c r="A590" s="17">
        <f t="shared" si="0"/>
        <v>587</v>
      </c>
      <c r="B590" s="18" t="s">
        <v>27</v>
      </c>
      <c r="C590" s="31" t="s">
        <v>1463</v>
      </c>
      <c r="D590" s="19" t="s">
        <v>124</v>
      </c>
      <c r="E590" s="20" t="s">
        <v>1464</v>
      </c>
      <c r="F590" s="21" t="s">
        <v>2890</v>
      </c>
      <c r="G590" s="22" t="s">
        <v>42</v>
      </c>
      <c r="H590" s="23" t="s">
        <v>2891</v>
      </c>
      <c r="I590" s="34" t="s">
        <v>55</v>
      </c>
      <c r="J590" s="1" t="str">
        <f>IFERROR(VLOOKUP(E590,#REF!,8,FALSE),"")</f>
        <v/>
      </c>
      <c r="K590" s="25">
        <v>4</v>
      </c>
      <c r="L590" s="1" t="str">
        <f t="shared" si="1"/>
        <v>2021 과기 서양</v>
      </c>
      <c r="M590" s="25"/>
      <c r="N590" s="25"/>
      <c r="O590" s="25"/>
      <c r="P590" s="25"/>
      <c r="Q590" s="25"/>
      <c r="R590" s="25"/>
      <c r="S590" s="25"/>
      <c r="T590" s="25"/>
    </row>
    <row r="591" spans="1:20" ht="26.25" customHeight="1">
      <c r="A591" s="17">
        <f t="shared" si="0"/>
        <v>588</v>
      </c>
      <c r="B591" s="18" t="s">
        <v>27</v>
      </c>
      <c r="C591" s="19" t="s">
        <v>2892</v>
      </c>
      <c r="D591" s="19" t="s">
        <v>141</v>
      </c>
      <c r="E591" s="20" t="s">
        <v>2893</v>
      </c>
      <c r="F591" s="21" t="s">
        <v>135</v>
      </c>
      <c r="G591" s="22" t="s">
        <v>42</v>
      </c>
      <c r="H591" s="23" t="s">
        <v>2894</v>
      </c>
      <c r="I591" s="24" t="s">
        <v>20</v>
      </c>
      <c r="J591" s="1" t="s">
        <v>21</v>
      </c>
      <c r="K591" s="25">
        <v>3</v>
      </c>
      <c r="L591" s="1" t="str">
        <f t="shared" si="1"/>
        <v/>
      </c>
      <c r="M591" s="1"/>
      <c r="N591" s="1"/>
      <c r="O591" s="1"/>
      <c r="P591" s="1"/>
      <c r="Q591" s="1"/>
      <c r="R591" s="1"/>
      <c r="S591" s="1"/>
      <c r="T591" s="1"/>
    </row>
    <row r="592" spans="1:20" ht="26.25" customHeight="1">
      <c r="A592" s="17">
        <f t="shared" si="0"/>
        <v>589</v>
      </c>
      <c r="B592" s="18" t="s">
        <v>132</v>
      </c>
      <c r="C592" s="31" t="s">
        <v>2895</v>
      </c>
      <c r="D592" s="19" t="s">
        <v>647</v>
      </c>
      <c r="E592" s="20" t="s">
        <v>2896</v>
      </c>
      <c r="F592" s="32" t="s">
        <v>2897</v>
      </c>
      <c r="G592" s="22" t="s">
        <v>53</v>
      </c>
      <c r="H592" s="23" t="s">
        <v>2898</v>
      </c>
      <c r="I592" s="24" t="s">
        <v>55</v>
      </c>
      <c r="J592" s="1" t="str">
        <f t="shared" ref="J592:J603" si="87">IFERROR(VLOOKUP(E592,#REF!,8,FALSE),"")</f>
        <v/>
      </c>
      <c r="K592" s="1"/>
      <c r="L592" s="1" t="str">
        <f t="shared" si="1"/>
        <v/>
      </c>
      <c r="M592" s="1"/>
      <c r="N592" s="1"/>
      <c r="O592" s="1"/>
      <c r="P592" s="1"/>
      <c r="Q592" s="1"/>
      <c r="R592" s="1"/>
      <c r="S592" s="1"/>
      <c r="T592" s="1"/>
    </row>
    <row r="593" spans="1:20" ht="26.25" customHeight="1">
      <c r="A593" s="17">
        <f t="shared" si="0"/>
        <v>590</v>
      </c>
      <c r="B593" s="18" t="s">
        <v>248</v>
      </c>
      <c r="C593" s="31" t="s">
        <v>1210</v>
      </c>
      <c r="D593" s="19" t="s">
        <v>2899</v>
      </c>
      <c r="E593" s="20" t="s">
        <v>1211</v>
      </c>
      <c r="F593" s="32" t="s">
        <v>170</v>
      </c>
      <c r="G593" s="33" t="s">
        <v>42</v>
      </c>
      <c r="H593" s="23" t="s">
        <v>2900</v>
      </c>
      <c r="I593" s="24" t="s">
        <v>55</v>
      </c>
      <c r="J593" s="1" t="str">
        <f t="shared" si="87"/>
        <v/>
      </c>
      <c r="K593" s="25">
        <v>3</v>
      </c>
      <c r="L593" s="1" t="str">
        <f t="shared" si="1"/>
        <v>2020 FRIC 서양</v>
      </c>
      <c r="M593" s="1"/>
      <c r="N593" s="1"/>
      <c r="O593" s="1"/>
      <c r="P593" s="1"/>
      <c r="Q593" s="1"/>
      <c r="R593" s="1"/>
      <c r="S593" s="1"/>
      <c r="T593" s="1"/>
    </row>
    <row r="594" spans="1:20" ht="26.25" customHeight="1">
      <c r="A594" s="17">
        <f t="shared" si="0"/>
        <v>591</v>
      </c>
      <c r="B594" s="18" t="s">
        <v>37</v>
      </c>
      <c r="C594" s="31" t="s">
        <v>1530</v>
      </c>
      <c r="D594" s="19" t="s">
        <v>2901</v>
      </c>
      <c r="E594" s="20" t="s">
        <v>1532</v>
      </c>
      <c r="F594" s="32" t="s">
        <v>2902</v>
      </c>
      <c r="G594" s="22" t="s">
        <v>53</v>
      </c>
      <c r="H594" s="23" t="s">
        <v>2903</v>
      </c>
      <c r="I594" s="34" t="s">
        <v>55</v>
      </c>
      <c r="J594" s="1" t="str">
        <f t="shared" si="87"/>
        <v/>
      </c>
      <c r="K594" s="25">
        <v>4</v>
      </c>
      <c r="L594" s="1" t="str">
        <f t="shared" si="1"/>
        <v>2021 과기 서양</v>
      </c>
      <c r="M594" s="25"/>
      <c r="N594" s="25"/>
      <c r="O594" s="25"/>
      <c r="P594" s="25"/>
      <c r="Q594" s="25"/>
      <c r="R594" s="25"/>
      <c r="S594" s="25"/>
      <c r="T594" s="25"/>
    </row>
    <row r="595" spans="1:20" ht="26.25" customHeight="1">
      <c r="A595" s="17">
        <f t="shared" si="0"/>
        <v>592</v>
      </c>
      <c r="B595" s="18" t="s">
        <v>13</v>
      </c>
      <c r="C595" s="70" t="s">
        <v>1217</v>
      </c>
      <c r="D595" s="39" t="s">
        <v>939</v>
      </c>
      <c r="E595" s="20" t="s">
        <v>1218</v>
      </c>
      <c r="F595" s="44">
        <v>2019</v>
      </c>
      <c r="G595" s="22" t="s">
        <v>1086</v>
      </c>
      <c r="H595" s="41" t="s">
        <v>2904</v>
      </c>
      <c r="I595" s="24" t="s">
        <v>55</v>
      </c>
      <c r="J595" s="1" t="str">
        <f t="shared" si="87"/>
        <v/>
      </c>
      <c r="K595" s="25">
        <v>3</v>
      </c>
      <c r="L595" s="1" t="str">
        <f t="shared" si="1"/>
        <v>2020 FRIC 서양</v>
      </c>
      <c r="M595" s="1"/>
      <c r="N595" s="1"/>
      <c r="O595" s="1"/>
      <c r="P595" s="1"/>
      <c r="Q595" s="1"/>
      <c r="R595" s="1"/>
      <c r="S595" s="1"/>
      <c r="T595" s="1"/>
    </row>
    <row r="596" spans="1:20" ht="26.25" customHeight="1">
      <c r="A596" s="17">
        <f t="shared" si="0"/>
        <v>593</v>
      </c>
      <c r="B596" s="18" t="s">
        <v>248</v>
      </c>
      <c r="C596" s="31" t="s">
        <v>2905</v>
      </c>
      <c r="D596" s="19" t="s">
        <v>45</v>
      </c>
      <c r="E596" s="20" t="s">
        <v>145</v>
      </c>
      <c r="F596" s="32" t="s">
        <v>142</v>
      </c>
      <c r="G596" s="33" t="s">
        <v>42</v>
      </c>
      <c r="H596" s="23" t="s">
        <v>2906</v>
      </c>
      <c r="I596" s="24" t="s">
        <v>55</v>
      </c>
      <c r="J596" s="1" t="str">
        <f t="shared" si="87"/>
        <v/>
      </c>
      <c r="K596" s="25">
        <v>3</v>
      </c>
      <c r="L596" s="1" t="str">
        <f t="shared" si="1"/>
        <v>2016 FRIC 서양</v>
      </c>
      <c r="M596" s="1"/>
      <c r="N596" s="1"/>
      <c r="O596" s="1"/>
      <c r="P596" s="1"/>
      <c r="Q596" s="1"/>
      <c r="R596" s="1"/>
      <c r="S596" s="1"/>
      <c r="T596" s="1"/>
    </row>
    <row r="597" spans="1:20" ht="26.25" customHeight="1">
      <c r="A597" s="17">
        <f t="shared" si="0"/>
        <v>594</v>
      </c>
      <c r="B597" s="18" t="s">
        <v>13</v>
      </c>
      <c r="C597" s="31" t="s">
        <v>609</v>
      </c>
      <c r="D597" s="19" t="s">
        <v>199</v>
      </c>
      <c r="E597" s="20" t="s">
        <v>610</v>
      </c>
      <c r="F597" s="32" t="s">
        <v>496</v>
      </c>
      <c r="G597" s="22" t="s">
        <v>42</v>
      </c>
      <c r="H597" s="23" t="s">
        <v>2907</v>
      </c>
      <c r="I597" s="24" t="s">
        <v>55</v>
      </c>
      <c r="J597" s="1" t="str">
        <f t="shared" si="87"/>
        <v/>
      </c>
      <c r="K597" s="25">
        <v>3</v>
      </c>
      <c r="L597" s="1" t="str">
        <f t="shared" si="1"/>
        <v>2019 FRIC 서양</v>
      </c>
      <c r="M597" s="1"/>
      <c r="N597" s="1"/>
      <c r="O597" s="1"/>
      <c r="P597" s="1"/>
      <c r="Q597" s="1"/>
      <c r="R597" s="1"/>
      <c r="S597" s="1"/>
      <c r="T597" s="1"/>
    </row>
    <row r="598" spans="1:20" ht="26.25" customHeight="1">
      <c r="A598" s="17">
        <f t="shared" si="0"/>
        <v>595</v>
      </c>
      <c r="B598" s="18" t="s">
        <v>13</v>
      </c>
      <c r="C598" s="19" t="s">
        <v>1638</v>
      </c>
      <c r="D598" s="19" t="s">
        <v>199</v>
      </c>
      <c r="E598" s="20" t="s">
        <v>1639</v>
      </c>
      <c r="F598" s="32" t="s">
        <v>52</v>
      </c>
      <c r="G598" s="22" t="s">
        <v>42</v>
      </c>
      <c r="H598" s="23" t="s">
        <v>2908</v>
      </c>
      <c r="I598" s="34" t="s">
        <v>55</v>
      </c>
      <c r="J598" s="1" t="str">
        <f t="shared" si="87"/>
        <v/>
      </c>
      <c r="K598" s="25">
        <v>3</v>
      </c>
      <c r="L598" s="1" t="str">
        <f t="shared" si="1"/>
        <v>2021 FRIC 서양</v>
      </c>
      <c r="M598" s="25"/>
      <c r="N598" s="25"/>
      <c r="O598" s="25"/>
      <c r="P598" s="25"/>
      <c r="Q598" s="25"/>
      <c r="R598" s="25"/>
      <c r="S598" s="25"/>
      <c r="T598" s="25"/>
    </row>
    <row r="599" spans="1:20" ht="26.25" customHeight="1">
      <c r="A599" s="17">
        <f t="shared" si="0"/>
        <v>596</v>
      </c>
      <c r="B599" s="18" t="s">
        <v>13</v>
      </c>
      <c r="C599" s="19" t="s">
        <v>1655</v>
      </c>
      <c r="D599" s="19" t="s">
        <v>199</v>
      </c>
      <c r="E599" s="20" t="s">
        <v>1656</v>
      </c>
      <c r="F599" s="32" t="s">
        <v>52</v>
      </c>
      <c r="G599" s="22" t="s">
        <v>42</v>
      </c>
      <c r="H599" s="23" t="s">
        <v>2909</v>
      </c>
      <c r="I599" s="34" t="s">
        <v>55</v>
      </c>
      <c r="J599" s="1" t="str">
        <f t="shared" si="87"/>
        <v/>
      </c>
      <c r="K599" s="25">
        <v>3</v>
      </c>
      <c r="L599" s="1" t="str">
        <f t="shared" si="1"/>
        <v>2021 FRIC 서양</v>
      </c>
      <c r="M599" s="25"/>
      <c r="N599" s="25"/>
      <c r="O599" s="25"/>
      <c r="P599" s="25"/>
      <c r="Q599" s="25"/>
      <c r="R599" s="25"/>
      <c r="S599" s="25"/>
      <c r="T599" s="25"/>
    </row>
    <row r="600" spans="1:20" ht="26.25" customHeight="1">
      <c r="A600" s="17">
        <f t="shared" si="0"/>
        <v>597</v>
      </c>
      <c r="B600" s="18" t="s">
        <v>13</v>
      </c>
      <c r="C600" s="19" t="s">
        <v>2910</v>
      </c>
      <c r="D600" s="19" t="s">
        <v>199</v>
      </c>
      <c r="E600" s="20" t="s">
        <v>1634</v>
      </c>
      <c r="F600" s="32" t="s">
        <v>52</v>
      </c>
      <c r="G600" s="22" t="s">
        <v>31</v>
      </c>
      <c r="H600" s="23" t="s">
        <v>2911</v>
      </c>
      <c r="I600" s="34" t="s">
        <v>55</v>
      </c>
      <c r="J600" s="1" t="str">
        <f t="shared" si="87"/>
        <v/>
      </c>
      <c r="K600" s="25">
        <v>3</v>
      </c>
      <c r="L600" s="1" t="str">
        <f t="shared" si="1"/>
        <v>2021 FRIC 서양</v>
      </c>
      <c r="M600" s="25"/>
      <c r="N600" s="25"/>
      <c r="O600" s="25"/>
      <c r="P600" s="25"/>
      <c r="Q600" s="25"/>
      <c r="R600" s="25"/>
      <c r="S600" s="25"/>
      <c r="T600" s="25"/>
    </row>
    <row r="601" spans="1:20" ht="26.25" customHeight="1">
      <c r="A601" s="17">
        <f t="shared" si="0"/>
        <v>598</v>
      </c>
      <c r="B601" s="18" t="s">
        <v>13</v>
      </c>
      <c r="C601" s="19" t="s">
        <v>2912</v>
      </c>
      <c r="D601" s="19" t="s">
        <v>199</v>
      </c>
      <c r="E601" s="20" t="s">
        <v>1645</v>
      </c>
      <c r="F601" s="32" t="s">
        <v>52</v>
      </c>
      <c r="G601" s="22" t="s">
        <v>42</v>
      </c>
      <c r="H601" s="23" t="s">
        <v>2913</v>
      </c>
      <c r="I601" s="34" t="s">
        <v>55</v>
      </c>
      <c r="J601" s="1" t="str">
        <f t="shared" si="87"/>
        <v/>
      </c>
      <c r="K601" s="25">
        <v>3</v>
      </c>
      <c r="L601" s="1" t="str">
        <f t="shared" si="1"/>
        <v>2021 FRIC 서양</v>
      </c>
      <c r="M601" s="25"/>
      <c r="N601" s="25"/>
      <c r="O601" s="25"/>
      <c r="P601" s="25"/>
      <c r="Q601" s="25"/>
      <c r="R601" s="25"/>
      <c r="S601" s="25"/>
      <c r="T601" s="25"/>
    </row>
    <row r="602" spans="1:20" ht="26.25" customHeight="1">
      <c r="A602" s="17">
        <f t="shared" si="0"/>
        <v>599</v>
      </c>
      <c r="B602" s="18" t="s">
        <v>13</v>
      </c>
      <c r="C602" s="19" t="s">
        <v>2914</v>
      </c>
      <c r="D602" s="19" t="s">
        <v>199</v>
      </c>
      <c r="E602" s="20" t="s">
        <v>1651</v>
      </c>
      <c r="F602" s="32" t="s">
        <v>52</v>
      </c>
      <c r="G602" s="22" t="s">
        <v>42</v>
      </c>
      <c r="H602" s="23" t="s">
        <v>2915</v>
      </c>
      <c r="I602" s="34" t="s">
        <v>55</v>
      </c>
      <c r="J602" s="1" t="str">
        <f t="shared" si="87"/>
        <v/>
      </c>
      <c r="K602" s="25">
        <v>3</v>
      </c>
      <c r="L602" s="1" t="str">
        <f t="shared" si="1"/>
        <v>2021 FRIC 서양</v>
      </c>
      <c r="M602" s="25"/>
      <c r="N602" s="25"/>
      <c r="O602" s="25"/>
      <c r="P602" s="25"/>
      <c r="Q602" s="25"/>
      <c r="R602" s="25"/>
      <c r="S602" s="25"/>
      <c r="T602" s="25"/>
    </row>
    <row r="603" spans="1:20" ht="26.25" customHeight="1">
      <c r="A603" s="17">
        <f t="shared" si="0"/>
        <v>600</v>
      </c>
      <c r="B603" s="18" t="s">
        <v>132</v>
      </c>
      <c r="C603" s="31" t="s">
        <v>2916</v>
      </c>
      <c r="D603" s="19" t="s">
        <v>141</v>
      </c>
      <c r="E603" s="20" t="s">
        <v>2917</v>
      </c>
      <c r="F603" s="32" t="s">
        <v>2918</v>
      </c>
      <c r="G603" s="22" t="s">
        <v>42</v>
      </c>
      <c r="H603" s="23" t="s">
        <v>2919</v>
      </c>
      <c r="I603" s="24" t="s">
        <v>55</v>
      </c>
      <c r="J603" s="1" t="str">
        <f t="shared" si="87"/>
        <v/>
      </c>
      <c r="K603" s="1"/>
      <c r="L603" s="1" t="str">
        <f t="shared" si="1"/>
        <v/>
      </c>
      <c r="M603" s="1"/>
      <c r="N603" s="1"/>
      <c r="O603" s="1"/>
      <c r="P603" s="1"/>
      <c r="Q603" s="1"/>
      <c r="R603" s="1"/>
      <c r="S603" s="1"/>
      <c r="T603" s="1"/>
    </row>
    <row r="604" spans="1:20" ht="26.25" customHeight="1">
      <c r="A604" s="17">
        <f t="shared" si="0"/>
        <v>601</v>
      </c>
      <c r="B604" s="18" t="s">
        <v>132</v>
      </c>
      <c r="C604" s="19" t="s">
        <v>2920</v>
      </c>
      <c r="D604" s="19" t="s">
        <v>141</v>
      </c>
      <c r="E604" s="20" t="s">
        <v>2921</v>
      </c>
      <c r="F604" s="21" t="s">
        <v>2922</v>
      </c>
      <c r="G604" s="22" t="s">
        <v>42</v>
      </c>
      <c r="H604" s="23" t="s">
        <v>2923</v>
      </c>
      <c r="I604" s="24" t="s">
        <v>20</v>
      </c>
      <c r="J604" s="1" t="s">
        <v>21</v>
      </c>
      <c r="K604" s="25">
        <v>3</v>
      </c>
      <c r="L604" s="1" t="str">
        <f t="shared" si="1"/>
        <v/>
      </c>
      <c r="M604" s="1"/>
      <c r="N604" s="1"/>
      <c r="O604" s="1"/>
      <c r="P604" s="1"/>
      <c r="Q604" s="1"/>
      <c r="R604" s="1"/>
      <c r="S604" s="1"/>
      <c r="T604" s="1"/>
    </row>
    <row r="605" spans="1:20" ht="26.25" customHeight="1">
      <c r="A605" s="17">
        <f t="shared" si="0"/>
        <v>602</v>
      </c>
      <c r="B605" s="18" t="s">
        <v>132</v>
      </c>
      <c r="C605" s="19" t="s">
        <v>2924</v>
      </c>
      <c r="D605" s="19" t="s">
        <v>141</v>
      </c>
      <c r="E605" s="20" t="s">
        <v>2925</v>
      </c>
      <c r="F605" s="21" t="s">
        <v>2926</v>
      </c>
      <c r="G605" s="22" t="s">
        <v>42</v>
      </c>
      <c r="H605" s="23" t="s">
        <v>2927</v>
      </c>
      <c r="I605" s="24" t="s">
        <v>20</v>
      </c>
      <c r="J605" s="1" t="s">
        <v>21</v>
      </c>
      <c r="K605" s="25">
        <v>3</v>
      </c>
      <c r="L605" s="1" t="str">
        <f t="shared" si="1"/>
        <v/>
      </c>
      <c r="M605" s="1"/>
      <c r="N605" s="1"/>
      <c r="O605" s="1"/>
      <c r="P605" s="1"/>
      <c r="Q605" s="1"/>
      <c r="R605" s="1"/>
      <c r="S605" s="1"/>
      <c r="T605" s="1"/>
    </row>
    <row r="606" spans="1:20" ht="26.25" customHeight="1">
      <c r="A606" s="17">
        <f t="shared" si="0"/>
        <v>603</v>
      </c>
      <c r="B606" s="18" t="s">
        <v>132</v>
      </c>
      <c r="C606" s="19" t="s">
        <v>2928</v>
      </c>
      <c r="D606" s="19" t="s">
        <v>141</v>
      </c>
      <c r="E606" s="20" t="s">
        <v>2929</v>
      </c>
      <c r="F606" s="21" t="s">
        <v>2930</v>
      </c>
      <c r="G606" s="22" t="s">
        <v>42</v>
      </c>
      <c r="H606" s="23" t="s">
        <v>2931</v>
      </c>
      <c r="I606" s="24" t="s">
        <v>20</v>
      </c>
      <c r="J606" s="1" t="s">
        <v>21</v>
      </c>
      <c r="K606" s="25">
        <v>3</v>
      </c>
      <c r="L606" s="1" t="str">
        <f t="shared" si="1"/>
        <v/>
      </c>
      <c r="M606" s="1"/>
      <c r="N606" s="1"/>
      <c r="O606" s="1"/>
      <c r="P606" s="1"/>
      <c r="Q606" s="1"/>
      <c r="R606" s="1"/>
      <c r="S606" s="1"/>
      <c r="T606" s="1"/>
    </row>
    <row r="607" spans="1:20" ht="26.25" customHeight="1">
      <c r="A607" s="17">
        <f t="shared" si="0"/>
        <v>604</v>
      </c>
      <c r="B607" s="18" t="s">
        <v>132</v>
      </c>
      <c r="C607" s="31" t="s">
        <v>2932</v>
      </c>
      <c r="D607" s="19" t="s">
        <v>141</v>
      </c>
      <c r="E607" s="20" t="s">
        <v>2933</v>
      </c>
      <c r="F607" s="32" t="s">
        <v>2934</v>
      </c>
      <c r="G607" s="22" t="s">
        <v>42</v>
      </c>
      <c r="H607" s="23" t="s">
        <v>2935</v>
      </c>
      <c r="I607" s="24" t="s">
        <v>55</v>
      </c>
      <c r="J607" s="1" t="str">
        <f>IFERROR(VLOOKUP(E607,#REF!,8,FALSE),"")</f>
        <v/>
      </c>
      <c r="K607" s="1"/>
      <c r="L607" s="1" t="str">
        <f t="shared" si="1"/>
        <v/>
      </c>
      <c r="M607" s="1"/>
      <c r="N607" s="1"/>
      <c r="O607" s="1"/>
      <c r="P607" s="1"/>
      <c r="Q607" s="1"/>
      <c r="R607" s="1"/>
      <c r="S607" s="1"/>
      <c r="T607" s="1"/>
    </row>
    <row r="608" spans="1:20" ht="26.25" customHeight="1">
      <c r="A608" s="17">
        <f t="shared" si="0"/>
        <v>605</v>
      </c>
      <c r="B608" s="18" t="s">
        <v>132</v>
      </c>
      <c r="C608" s="19" t="s">
        <v>2936</v>
      </c>
      <c r="D608" s="19" t="s">
        <v>141</v>
      </c>
      <c r="E608" s="20" t="s">
        <v>2937</v>
      </c>
      <c r="F608" s="21" t="s">
        <v>2938</v>
      </c>
      <c r="G608" s="22" t="s">
        <v>42</v>
      </c>
      <c r="H608" s="23" t="s">
        <v>2939</v>
      </c>
      <c r="I608" s="24" t="s">
        <v>20</v>
      </c>
      <c r="J608" s="1" t="s">
        <v>21</v>
      </c>
      <c r="K608" s="25">
        <v>3</v>
      </c>
      <c r="L608" s="1" t="str">
        <f t="shared" si="1"/>
        <v/>
      </c>
      <c r="M608" s="1"/>
      <c r="N608" s="1"/>
      <c r="O608" s="1"/>
      <c r="P608" s="1"/>
      <c r="Q608" s="1"/>
      <c r="R608" s="1"/>
      <c r="S608" s="1"/>
      <c r="T608" s="1"/>
    </row>
    <row r="609" spans="1:20" ht="26.25" customHeight="1">
      <c r="A609" s="17">
        <f t="shared" si="0"/>
        <v>606</v>
      </c>
      <c r="B609" s="18" t="s">
        <v>233</v>
      </c>
      <c r="C609" s="19" t="s">
        <v>2940</v>
      </c>
      <c r="D609" s="19" t="s">
        <v>141</v>
      </c>
      <c r="E609" s="20" t="s">
        <v>2941</v>
      </c>
      <c r="F609" s="21" t="s">
        <v>2922</v>
      </c>
      <c r="G609" s="22" t="s">
        <v>42</v>
      </c>
      <c r="H609" s="23" t="s">
        <v>2942</v>
      </c>
      <c r="I609" s="24" t="s">
        <v>20</v>
      </c>
      <c r="J609" s="1" t="s">
        <v>21</v>
      </c>
      <c r="K609" s="25">
        <v>3</v>
      </c>
      <c r="L609" s="1" t="str">
        <f t="shared" si="1"/>
        <v/>
      </c>
      <c r="M609" s="1"/>
      <c r="N609" s="1"/>
      <c r="O609" s="1"/>
      <c r="P609" s="1"/>
      <c r="Q609" s="1"/>
      <c r="R609" s="1"/>
      <c r="S609" s="1"/>
      <c r="T609" s="1"/>
    </row>
    <row r="610" spans="1:20" ht="26.25" customHeight="1">
      <c r="A610" s="17">
        <f t="shared" si="0"/>
        <v>607</v>
      </c>
      <c r="B610" s="18" t="s">
        <v>132</v>
      </c>
      <c r="C610" s="19" t="s">
        <v>2943</v>
      </c>
      <c r="D610" s="19" t="s">
        <v>141</v>
      </c>
      <c r="E610" s="20" t="s">
        <v>2944</v>
      </c>
      <c r="F610" s="21" t="s">
        <v>2922</v>
      </c>
      <c r="G610" s="22" t="s">
        <v>42</v>
      </c>
      <c r="H610" s="23" t="s">
        <v>2945</v>
      </c>
      <c r="I610" s="24" t="s">
        <v>20</v>
      </c>
      <c r="J610" s="1" t="s">
        <v>21</v>
      </c>
      <c r="K610" s="25">
        <v>3</v>
      </c>
      <c r="L610" s="1" t="str">
        <f t="shared" si="1"/>
        <v/>
      </c>
      <c r="M610" s="1"/>
      <c r="N610" s="1"/>
      <c r="O610" s="1"/>
      <c r="P610" s="1"/>
      <c r="Q610" s="1"/>
      <c r="R610" s="1"/>
      <c r="S610" s="1"/>
      <c r="T610" s="1"/>
    </row>
    <row r="611" spans="1:20" ht="26.25" customHeight="1">
      <c r="A611" s="17">
        <f t="shared" si="0"/>
        <v>608</v>
      </c>
      <c r="B611" s="18" t="s">
        <v>132</v>
      </c>
      <c r="C611" s="19" t="s">
        <v>2946</v>
      </c>
      <c r="D611" s="19" t="s">
        <v>141</v>
      </c>
      <c r="E611" s="20" t="s">
        <v>2947</v>
      </c>
      <c r="F611" s="21" t="s">
        <v>2922</v>
      </c>
      <c r="G611" s="22" t="s">
        <v>42</v>
      </c>
      <c r="H611" s="23" t="s">
        <v>2948</v>
      </c>
      <c r="I611" s="24" t="s">
        <v>20</v>
      </c>
      <c r="J611" s="1" t="s">
        <v>21</v>
      </c>
      <c r="K611" s="25">
        <v>3</v>
      </c>
      <c r="L611" s="1" t="str">
        <f t="shared" si="1"/>
        <v/>
      </c>
      <c r="M611" s="1"/>
      <c r="N611" s="1"/>
      <c r="O611" s="1"/>
      <c r="P611" s="1"/>
      <c r="Q611" s="1"/>
      <c r="R611" s="1"/>
      <c r="S611" s="1"/>
      <c r="T611" s="1"/>
    </row>
    <row r="612" spans="1:20" ht="26.25" customHeight="1">
      <c r="A612" s="17">
        <f t="shared" si="0"/>
        <v>609</v>
      </c>
      <c r="B612" s="18" t="s">
        <v>132</v>
      </c>
      <c r="C612" s="31" t="s">
        <v>2949</v>
      </c>
      <c r="D612" s="19" t="s">
        <v>141</v>
      </c>
      <c r="E612" s="20" t="s">
        <v>2950</v>
      </c>
      <c r="F612" s="32" t="s">
        <v>2951</v>
      </c>
      <c r="G612" s="22" t="s">
        <v>42</v>
      </c>
      <c r="H612" s="23" t="s">
        <v>2952</v>
      </c>
      <c r="I612" s="24" t="s">
        <v>55</v>
      </c>
      <c r="J612" s="1" t="str">
        <f>IFERROR(VLOOKUP(E612,#REF!,8,FALSE),"")</f>
        <v/>
      </c>
      <c r="K612" s="1"/>
      <c r="L612" s="1" t="str">
        <f t="shared" si="1"/>
        <v/>
      </c>
      <c r="M612" s="1"/>
      <c r="N612" s="1"/>
      <c r="O612" s="1"/>
      <c r="P612" s="1"/>
      <c r="Q612" s="1"/>
      <c r="R612" s="1"/>
      <c r="S612" s="1"/>
      <c r="T612" s="1"/>
    </row>
    <row r="613" spans="1:20" ht="26.25" customHeight="1">
      <c r="A613" s="17">
        <f t="shared" si="0"/>
        <v>610</v>
      </c>
      <c r="B613" s="18" t="s">
        <v>132</v>
      </c>
      <c r="C613" s="19" t="s">
        <v>2953</v>
      </c>
      <c r="D613" s="19" t="s">
        <v>141</v>
      </c>
      <c r="E613" s="20" t="s">
        <v>2954</v>
      </c>
      <c r="F613" s="21" t="s">
        <v>2955</v>
      </c>
      <c r="G613" s="22" t="s">
        <v>42</v>
      </c>
      <c r="H613" s="23" t="s">
        <v>2956</v>
      </c>
      <c r="I613" s="24" t="s">
        <v>20</v>
      </c>
      <c r="J613" s="1" t="s">
        <v>21</v>
      </c>
      <c r="K613" s="25">
        <v>3</v>
      </c>
      <c r="L613" s="1" t="str">
        <f t="shared" si="1"/>
        <v/>
      </c>
      <c r="M613" s="1"/>
      <c r="N613" s="1"/>
      <c r="O613" s="1"/>
      <c r="P613" s="1"/>
      <c r="Q613" s="1"/>
      <c r="R613" s="1"/>
      <c r="S613" s="1"/>
      <c r="T613" s="1"/>
    </row>
    <row r="614" spans="1:20" ht="26.25" customHeight="1">
      <c r="A614" s="17">
        <f t="shared" si="0"/>
        <v>611</v>
      </c>
      <c r="B614" s="18" t="s">
        <v>132</v>
      </c>
      <c r="C614" s="31" t="s">
        <v>2957</v>
      </c>
      <c r="D614" s="19" t="s">
        <v>141</v>
      </c>
      <c r="E614" s="20" t="s">
        <v>2958</v>
      </c>
      <c r="F614" s="32" t="s">
        <v>2959</v>
      </c>
      <c r="G614" s="22" t="s">
        <v>42</v>
      </c>
      <c r="H614" s="23" t="s">
        <v>2960</v>
      </c>
      <c r="I614" s="24" t="s">
        <v>55</v>
      </c>
      <c r="J614" s="1" t="str">
        <f>IFERROR(VLOOKUP(E614,#REF!,8,FALSE),"")</f>
        <v/>
      </c>
      <c r="K614" s="1"/>
      <c r="L614" s="1" t="str">
        <f t="shared" si="1"/>
        <v/>
      </c>
      <c r="M614" s="1"/>
      <c r="N614" s="1"/>
      <c r="O614" s="1"/>
      <c r="P614" s="1"/>
      <c r="Q614" s="1"/>
      <c r="R614" s="1"/>
      <c r="S614" s="1"/>
      <c r="T614" s="1"/>
    </row>
    <row r="615" spans="1:20" ht="26.25" customHeight="1">
      <c r="A615" s="17">
        <f t="shared" si="0"/>
        <v>612</v>
      </c>
      <c r="B615" s="18" t="s">
        <v>1375</v>
      </c>
      <c r="C615" s="19" t="s">
        <v>2961</v>
      </c>
      <c r="D615" s="19" t="s">
        <v>141</v>
      </c>
      <c r="E615" s="20" t="s">
        <v>2962</v>
      </c>
      <c r="F615" s="21" t="s">
        <v>2963</v>
      </c>
      <c r="G615" s="22" t="s">
        <v>42</v>
      </c>
      <c r="H615" s="23" t="s">
        <v>2964</v>
      </c>
      <c r="I615" s="24" t="s">
        <v>20</v>
      </c>
      <c r="J615" s="1" t="s">
        <v>21</v>
      </c>
      <c r="K615" s="25">
        <v>3</v>
      </c>
      <c r="L615" s="1" t="str">
        <f t="shared" si="1"/>
        <v/>
      </c>
      <c r="M615" s="1"/>
      <c r="N615" s="1"/>
      <c r="O615" s="1"/>
      <c r="P615" s="1"/>
      <c r="Q615" s="1"/>
      <c r="R615" s="1"/>
      <c r="S615" s="1"/>
      <c r="T615" s="1"/>
    </row>
    <row r="616" spans="1:20" ht="26.25" customHeight="1">
      <c r="A616" s="17">
        <f t="shared" si="0"/>
        <v>613</v>
      </c>
      <c r="B616" s="18" t="s">
        <v>248</v>
      </c>
      <c r="C616" s="19" t="s">
        <v>2965</v>
      </c>
      <c r="D616" s="19" t="s">
        <v>141</v>
      </c>
      <c r="E616" s="20" t="s">
        <v>2966</v>
      </c>
      <c r="F616" s="21" t="s">
        <v>293</v>
      </c>
      <c r="G616" s="33" t="s">
        <v>42</v>
      </c>
      <c r="H616" s="23" t="s">
        <v>2967</v>
      </c>
      <c r="I616" s="24" t="s">
        <v>20</v>
      </c>
      <c r="J616" s="1" t="s">
        <v>21</v>
      </c>
      <c r="K616" s="25">
        <v>3</v>
      </c>
      <c r="L616" s="1" t="str">
        <f t="shared" si="1"/>
        <v/>
      </c>
      <c r="M616" s="1"/>
      <c r="N616" s="1"/>
      <c r="O616" s="1"/>
      <c r="P616" s="1"/>
      <c r="Q616" s="1"/>
      <c r="R616" s="1"/>
      <c r="S616" s="1"/>
      <c r="T616" s="1"/>
    </row>
    <row r="617" spans="1:20" ht="26.25" customHeight="1">
      <c r="A617" s="17">
        <f t="shared" si="0"/>
        <v>614</v>
      </c>
      <c r="B617" s="18" t="s">
        <v>1375</v>
      </c>
      <c r="C617" s="31" t="s">
        <v>2968</v>
      </c>
      <c r="D617" s="19" t="s">
        <v>2969</v>
      </c>
      <c r="E617" s="20" t="s">
        <v>2970</v>
      </c>
      <c r="F617" s="32" t="s">
        <v>1913</v>
      </c>
      <c r="G617" s="22" t="s">
        <v>53</v>
      </c>
      <c r="H617" s="23" t="s">
        <v>2971</v>
      </c>
      <c r="I617" s="24" t="s">
        <v>55</v>
      </c>
      <c r="J617" s="1" t="str">
        <f t="shared" ref="J617:J619" si="88">IFERROR(VLOOKUP(E617,#REF!,8,FALSE),"")</f>
        <v/>
      </c>
      <c r="K617" s="1"/>
      <c r="L617" s="1" t="str">
        <f t="shared" si="1"/>
        <v/>
      </c>
      <c r="M617" s="1"/>
      <c r="N617" s="1"/>
      <c r="O617" s="1"/>
      <c r="P617" s="1"/>
      <c r="Q617" s="1"/>
      <c r="R617" s="1"/>
      <c r="S617" s="1"/>
      <c r="T617" s="1"/>
    </row>
    <row r="618" spans="1:20" ht="26.25" customHeight="1">
      <c r="A618" s="17">
        <f t="shared" si="0"/>
        <v>615</v>
      </c>
      <c r="B618" s="18" t="s">
        <v>1375</v>
      </c>
      <c r="C618" s="31" t="s">
        <v>2972</v>
      </c>
      <c r="D618" s="19" t="s">
        <v>2969</v>
      </c>
      <c r="E618" s="20" t="s">
        <v>2973</v>
      </c>
      <c r="F618" s="32" t="s">
        <v>2974</v>
      </c>
      <c r="G618" s="22" t="s">
        <v>53</v>
      </c>
      <c r="H618" s="23" t="s">
        <v>2975</v>
      </c>
      <c r="I618" s="24" t="s">
        <v>55</v>
      </c>
      <c r="J618" s="1" t="str">
        <f t="shared" si="88"/>
        <v/>
      </c>
      <c r="K618" s="1"/>
      <c r="L618" s="1" t="str">
        <f t="shared" si="1"/>
        <v/>
      </c>
      <c r="M618" s="1"/>
      <c r="N618" s="1"/>
      <c r="O618" s="1"/>
      <c r="P618" s="1"/>
      <c r="Q618" s="1"/>
      <c r="R618" s="1"/>
      <c r="S618" s="1"/>
      <c r="T618" s="1"/>
    </row>
    <row r="619" spans="1:20" ht="26.25" customHeight="1">
      <c r="A619" s="17">
        <f t="shared" si="0"/>
        <v>616</v>
      </c>
      <c r="B619" s="18" t="s">
        <v>105</v>
      </c>
      <c r="C619" s="31" t="s">
        <v>2976</v>
      </c>
      <c r="D619" s="19" t="s">
        <v>2977</v>
      </c>
      <c r="E619" s="20" t="s">
        <v>2978</v>
      </c>
      <c r="F619" s="32" t="s">
        <v>2979</v>
      </c>
      <c r="G619" s="33" t="s">
        <v>42</v>
      </c>
      <c r="H619" s="23" t="s">
        <v>2980</v>
      </c>
      <c r="I619" s="24" t="s">
        <v>55</v>
      </c>
      <c r="J619" s="1" t="str">
        <f t="shared" si="88"/>
        <v/>
      </c>
      <c r="K619" s="1"/>
      <c r="L619" s="1" t="str">
        <f t="shared" si="1"/>
        <v/>
      </c>
      <c r="M619" s="1"/>
      <c r="N619" s="1"/>
      <c r="O619" s="1"/>
      <c r="P619" s="1"/>
      <c r="Q619" s="1"/>
      <c r="R619" s="1"/>
      <c r="S619" s="1"/>
      <c r="T619" s="1"/>
    </row>
    <row r="620" spans="1:20" ht="26.25" customHeight="1">
      <c r="A620" s="17">
        <f t="shared" si="0"/>
        <v>617</v>
      </c>
      <c r="B620" s="18" t="s">
        <v>81</v>
      </c>
      <c r="C620" s="19" t="s">
        <v>2981</v>
      </c>
      <c r="D620" s="19" t="s">
        <v>124</v>
      </c>
      <c r="E620" s="20" t="s">
        <v>2982</v>
      </c>
      <c r="F620" s="21" t="s">
        <v>135</v>
      </c>
      <c r="G620" s="33" t="s">
        <v>42</v>
      </c>
      <c r="H620" s="23" t="s">
        <v>2983</v>
      </c>
      <c r="I620" s="24" t="s">
        <v>20</v>
      </c>
      <c r="J620" s="1" t="s">
        <v>21</v>
      </c>
      <c r="K620" s="25">
        <v>3</v>
      </c>
      <c r="L620" s="1" t="str">
        <f t="shared" si="1"/>
        <v/>
      </c>
      <c r="M620" s="1"/>
      <c r="N620" s="1"/>
      <c r="O620" s="1"/>
      <c r="P620" s="1"/>
      <c r="Q620" s="1"/>
      <c r="R620" s="1"/>
      <c r="S620" s="1"/>
      <c r="T620" s="1"/>
    </row>
    <row r="621" spans="1:20" ht="26.25" customHeight="1">
      <c r="A621" s="17">
        <f t="shared" si="0"/>
        <v>618</v>
      </c>
      <c r="B621" s="18" t="s">
        <v>27</v>
      </c>
      <c r="C621" s="31" t="s">
        <v>2984</v>
      </c>
      <c r="D621" s="19" t="s">
        <v>196</v>
      </c>
      <c r="E621" s="20" t="s">
        <v>151</v>
      </c>
      <c r="F621" s="32" t="s">
        <v>2985</v>
      </c>
      <c r="G621" s="22" t="s">
        <v>53</v>
      </c>
      <c r="H621" s="23" t="s">
        <v>2986</v>
      </c>
      <c r="I621" s="24" t="s">
        <v>55</v>
      </c>
      <c r="J621" s="1" t="str">
        <f>IFERROR(VLOOKUP(E621,#REF!,8,FALSE),"")</f>
        <v/>
      </c>
      <c r="K621" s="25">
        <v>3</v>
      </c>
      <c r="L621" s="1" t="str">
        <f t="shared" si="1"/>
        <v>2016 FRIC 서양</v>
      </c>
      <c r="M621" s="1"/>
      <c r="N621" s="1"/>
      <c r="O621" s="1"/>
      <c r="P621" s="1"/>
      <c r="Q621" s="1"/>
      <c r="R621" s="1"/>
      <c r="S621" s="1"/>
      <c r="T621" s="1"/>
    </row>
    <row r="622" spans="1:20" ht="26.25" customHeight="1">
      <c r="A622" s="17">
        <f t="shared" si="0"/>
        <v>619</v>
      </c>
      <c r="B622" s="18" t="s">
        <v>81</v>
      </c>
      <c r="C622" s="19" t="s">
        <v>2987</v>
      </c>
      <c r="D622" s="19" t="s">
        <v>1789</v>
      </c>
      <c r="E622" s="20" t="s">
        <v>2988</v>
      </c>
      <c r="F622" s="21" t="s">
        <v>135</v>
      </c>
      <c r="G622" s="33" t="s">
        <v>31</v>
      </c>
      <c r="H622" s="23" t="s">
        <v>2989</v>
      </c>
      <c r="I622" s="24" t="s">
        <v>20</v>
      </c>
      <c r="J622" s="1" t="s">
        <v>21</v>
      </c>
      <c r="K622" s="25">
        <v>3</v>
      </c>
      <c r="L622" s="1" t="str">
        <f t="shared" si="1"/>
        <v/>
      </c>
      <c r="M622" s="1"/>
      <c r="N622" s="1"/>
      <c r="O622" s="1"/>
      <c r="P622" s="1"/>
      <c r="Q622" s="1"/>
      <c r="R622" s="1"/>
      <c r="S622" s="1"/>
      <c r="T622" s="1"/>
    </row>
    <row r="623" spans="1:20" ht="26.25" customHeight="1">
      <c r="A623" s="17">
        <f t="shared" si="0"/>
        <v>620</v>
      </c>
      <c r="B623" s="18" t="s">
        <v>37</v>
      </c>
      <c r="C623" s="19" t="s">
        <v>1704</v>
      </c>
      <c r="D623" s="19" t="s">
        <v>141</v>
      </c>
      <c r="E623" s="20" t="s">
        <v>1706</v>
      </c>
      <c r="F623" s="32" t="s">
        <v>186</v>
      </c>
      <c r="G623" s="22" t="s">
        <v>42</v>
      </c>
      <c r="H623" s="23" t="s">
        <v>2990</v>
      </c>
      <c r="I623" s="34" t="s">
        <v>55</v>
      </c>
      <c r="J623" s="1" t="str">
        <f t="shared" ref="J623:J628" si="89">IFERROR(VLOOKUP(E623,#REF!,8,FALSE),"")</f>
        <v/>
      </c>
      <c r="K623" s="25">
        <v>3</v>
      </c>
      <c r="L623" s="1" t="str">
        <f t="shared" si="1"/>
        <v>2021 FRIC 서양</v>
      </c>
      <c r="M623" s="25"/>
      <c r="N623" s="25"/>
      <c r="O623" s="25"/>
      <c r="P623" s="25"/>
      <c r="Q623" s="25"/>
      <c r="R623" s="25"/>
      <c r="S623" s="25"/>
      <c r="T623" s="25"/>
    </row>
    <row r="624" spans="1:20" ht="26.25" customHeight="1">
      <c r="A624" s="17">
        <f t="shared" si="0"/>
        <v>621</v>
      </c>
      <c r="B624" s="18" t="s">
        <v>105</v>
      </c>
      <c r="C624" s="31" t="s">
        <v>2991</v>
      </c>
      <c r="D624" s="19" t="s">
        <v>460</v>
      </c>
      <c r="E624" s="20" t="s">
        <v>2992</v>
      </c>
      <c r="F624" s="32" t="s">
        <v>2993</v>
      </c>
      <c r="G624" s="33" t="s">
        <v>53</v>
      </c>
      <c r="H624" s="23" t="s">
        <v>2994</v>
      </c>
      <c r="I624" s="24" t="s">
        <v>55</v>
      </c>
      <c r="J624" s="1" t="str">
        <f t="shared" si="89"/>
        <v/>
      </c>
      <c r="K624" s="1"/>
      <c r="L624" s="1" t="str">
        <f t="shared" si="1"/>
        <v/>
      </c>
      <c r="M624" s="1"/>
      <c r="N624" s="1"/>
      <c r="O624" s="1"/>
      <c r="P624" s="1"/>
      <c r="Q624" s="1"/>
      <c r="R624" s="1"/>
      <c r="S624" s="1"/>
      <c r="T624" s="1"/>
    </row>
    <row r="625" spans="1:20" ht="26.25" customHeight="1">
      <c r="A625" s="17">
        <f t="shared" si="0"/>
        <v>622</v>
      </c>
      <c r="B625" s="18" t="s">
        <v>13</v>
      </c>
      <c r="C625" s="31" t="s">
        <v>2995</v>
      </c>
      <c r="D625" s="19" t="s">
        <v>2996</v>
      </c>
      <c r="E625" s="20" t="s">
        <v>2997</v>
      </c>
      <c r="F625" s="32" t="s">
        <v>2998</v>
      </c>
      <c r="G625" s="22" t="s">
        <v>53</v>
      </c>
      <c r="H625" s="23" t="s">
        <v>2999</v>
      </c>
      <c r="I625" s="24" t="s">
        <v>55</v>
      </c>
      <c r="J625" s="1" t="str">
        <f t="shared" si="89"/>
        <v/>
      </c>
      <c r="K625" s="1"/>
      <c r="L625" s="1" t="str">
        <f t="shared" si="1"/>
        <v/>
      </c>
      <c r="M625" s="1"/>
      <c r="N625" s="1"/>
      <c r="O625" s="1"/>
      <c r="P625" s="1"/>
      <c r="Q625" s="1"/>
      <c r="R625" s="1"/>
      <c r="S625" s="1"/>
      <c r="T625" s="1"/>
    </row>
    <row r="626" spans="1:20" ht="26.25" customHeight="1">
      <c r="A626" s="17">
        <f t="shared" si="0"/>
        <v>623</v>
      </c>
      <c r="B626" s="18" t="s">
        <v>105</v>
      </c>
      <c r="C626" s="31" t="s">
        <v>3000</v>
      </c>
      <c r="D626" s="19" t="s">
        <v>3001</v>
      </c>
      <c r="E626" s="20" t="s">
        <v>3002</v>
      </c>
      <c r="F626" s="32" t="s">
        <v>404</v>
      </c>
      <c r="G626" s="33" t="s">
        <v>42</v>
      </c>
      <c r="H626" s="23" t="s">
        <v>3003</v>
      </c>
      <c r="I626" s="24" t="s">
        <v>55</v>
      </c>
      <c r="J626" s="1" t="str">
        <f t="shared" si="89"/>
        <v/>
      </c>
      <c r="K626" s="1"/>
      <c r="L626" s="1" t="str">
        <f t="shared" si="1"/>
        <v/>
      </c>
      <c r="M626" s="1"/>
      <c r="N626" s="1"/>
      <c r="O626" s="1"/>
      <c r="P626" s="1"/>
      <c r="Q626" s="1"/>
      <c r="R626" s="1"/>
      <c r="S626" s="1"/>
      <c r="T626" s="1"/>
    </row>
    <row r="627" spans="1:20" ht="26.25" customHeight="1">
      <c r="A627" s="17">
        <f t="shared" si="0"/>
        <v>624</v>
      </c>
      <c r="B627" s="18" t="s">
        <v>27</v>
      </c>
      <c r="C627" s="31" t="s">
        <v>3004</v>
      </c>
      <c r="D627" s="19" t="s">
        <v>3005</v>
      </c>
      <c r="E627" s="20" t="s">
        <v>3006</v>
      </c>
      <c r="F627" s="32" t="s">
        <v>3007</v>
      </c>
      <c r="G627" s="22" t="s">
        <v>42</v>
      </c>
      <c r="H627" s="23" t="s">
        <v>3008</v>
      </c>
      <c r="I627" s="24" t="s">
        <v>55</v>
      </c>
      <c r="J627" s="1" t="str">
        <f t="shared" si="89"/>
        <v/>
      </c>
      <c r="K627" s="1"/>
      <c r="L627" s="1" t="str">
        <f t="shared" si="1"/>
        <v/>
      </c>
      <c r="M627" s="1"/>
      <c r="N627" s="1"/>
      <c r="O627" s="1"/>
      <c r="P627" s="1"/>
      <c r="Q627" s="1"/>
      <c r="R627" s="1"/>
      <c r="S627" s="1"/>
      <c r="T627" s="1"/>
    </row>
    <row r="628" spans="1:20" ht="26.25" customHeight="1">
      <c r="A628" s="17">
        <f t="shared" si="0"/>
        <v>625</v>
      </c>
      <c r="B628" s="18" t="s">
        <v>105</v>
      </c>
      <c r="C628" s="31" t="s">
        <v>1222</v>
      </c>
      <c r="D628" s="19" t="s">
        <v>3009</v>
      </c>
      <c r="E628" s="20" t="s">
        <v>1223</v>
      </c>
      <c r="F628" s="32" t="s">
        <v>3010</v>
      </c>
      <c r="G628" s="33" t="s">
        <v>42</v>
      </c>
      <c r="H628" s="23" t="s">
        <v>3011</v>
      </c>
      <c r="I628" s="24" t="s">
        <v>55</v>
      </c>
      <c r="J628" s="1" t="str">
        <f t="shared" si="89"/>
        <v/>
      </c>
      <c r="K628" s="25">
        <v>3</v>
      </c>
      <c r="L628" s="1" t="str">
        <f t="shared" si="1"/>
        <v>2020 FRIC 서양</v>
      </c>
      <c r="M628" s="1"/>
      <c r="N628" s="1"/>
      <c r="O628" s="1"/>
      <c r="P628" s="1"/>
      <c r="Q628" s="1"/>
      <c r="R628" s="1"/>
      <c r="S628" s="1"/>
      <c r="T628" s="1"/>
    </row>
    <row r="629" spans="1:20" ht="26.25" customHeight="1">
      <c r="A629" s="17">
        <f t="shared" si="0"/>
        <v>626</v>
      </c>
      <c r="B629" s="18" t="s">
        <v>13</v>
      </c>
      <c r="C629" s="19" t="s">
        <v>3012</v>
      </c>
      <c r="D629" s="19" t="s">
        <v>2445</v>
      </c>
      <c r="E629" s="20" t="s">
        <v>3013</v>
      </c>
      <c r="F629" s="21" t="s">
        <v>135</v>
      </c>
      <c r="G629" s="22" t="s">
        <v>42</v>
      </c>
      <c r="H629" s="23" t="s">
        <v>3014</v>
      </c>
      <c r="I629" s="24" t="s">
        <v>20</v>
      </c>
      <c r="J629" s="1" t="s">
        <v>21</v>
      </c>
      <c r="K629" s="25">
        <v>3</v>
      </c>
      <c r="L629" s="1" t="str">
        <f t="shared" si="1"/>
        <v/>
      </c>
      <c r="M629" s="1"/>
      <c r="N629" s="1"/>
      <c r="O629" s="1"/>
      <c r="P629" s="1"/>
      <c r="Q629" s="1"/>
      <c r="R629" s="1"/>
      <c r="S629" s="1"/>
      <c r="T629" s="1"/>
    </row>
    <row r="630" spans="1:20" ht="26.25" customHeight="1">
      <c r="A630" s="17">
        <f t="shared" si="0"/>
        <v>627</v>
      </c>
      <c r="B630" s="18" t="s">
        <v>132</v>
      </c>
      <c r="C630" s="31" t="s">
        <v>1534</v>
      </c>
      <c r="D630" s="19" t="s">
        <v>3015</v>
      </c>
      <c r="E630" s="20" t="s">
        <v>1536</v>
      </c>
      <c r="F630" s="32" t="s">
        <v>52</v>
      </c>
      <c r="G630" s="22" t="s">
        <v>53</v>
      </c>
      <c r="H630" s="23" t="s">
        <v>3016</v>
      </c>
      <c r="I630" s="34" t="s">
        <v>55</v>
      </c>
      <c r="J630" s="1" t="str">
        <f t="shared" ref="J630:J632" si="90">IFERROR(VLOOKUP(E630,#REF!,8,FALSE),"")</f>
        <v/>
      </c>
      <c r="K630" s="25">
        <v>4</v>
      </c>
      <c r="L630" s="1" t="str">
        <f t="shared" si="1"/>
        <v>2021 과기 서양</v>
      </c>
      <c r="M630" s="25"/>
      <c r="N630" s="25"/>
      <c r="O630" s="25"/>
      <c r="P630" s="25"/>
      <c r="Q630" s="25"/>
      <c r="R630" s="25"/>
      <c r="S630" s="25"/>
      <c r="T630" s="25"/>
    </row>
    <row r="631" spans="1:20" ht="26.25" customHeight="1">
      <c r="A631" s="17">
        <f t="shared" si="0"/>
        <v>628</v>
      </c>
      <c r="B631" s="18" t="s">
        <v>27</v>
      </c>
      <c r="C631" s="31" t="s">
        <v>3017</v>
      </c>
      <c r="D631" s="19" t="s">
        <v>268</v>
      </c>
      <c r="E631" s="20" t="s">
        <v>269</v>
      </c>
      <c r="F631" s="32" t="s">
        <v>142</v>
      </c>
      <c r="G631" s="22" t="s">
        <v>53</v>
      </c>
      <c r="H631" s="23" t="s">
        <v>3018</v>
      </c>
      <c r="I631" s="24" t="s">
        <v>55</v>
      </c>
      <c r="J631" s="1" t="str">
        <f t="shared" si="90"/>
        <v/>
      </c>
      <c r="K631" s="25">
        <v>3</v>
      </c>
      <c r="L631" s="1" t="str">
        <f t="shared" si="1"/>
        <v>2017 FRIC 서양</v>
      </c>
      <c r="M631" s="1"/>
      <c r="N631" s="1"/>
      <c r="O631" s="1"/>
      <c r="P631" s="1"/>
      <c r="Q631" s="1"/>
      <c r="R631" s="1"/>
      <c r="S631" s="1"/>
      <c r="T631" s="1"/>
    </row>
    <row r="632" spans="1:20" ht="26.25" customHeight="1">
      <c r="A632" s="17">
        <f t="shared" si="0"/>
        <v>629</v>
      </c>
      <c r="B632" s="18" t="s">
        <v>132</v>
      </c>
      <c r="C632" s="31" t="s">
        <v>3019</v>
      </c>
      <c r="D632" s="19" t="s">
        <v>271</v>
      </c>
      <c r="E632" s="20" t="s">
        <v>3020</v>
      </c>
      <c r="F632" s="32" t="s">
        <v>222</v>
      </c>
      <c r="G632" s="22" t="s">
        <v>42</v>
      </c>
      <c r="H632" s="23" t="s">
        <v>3021</v>
      </c>
      <c r="I632" s="24" t="s">
        <v>55</v>
      </c>
      <c r="J632" s="1" t="str">
        <f t="shared" si="90"/>
        <v/>
      </c>
      <c r="K632" s="1"/>
      <c r="L632" s="1" t="str">
        <f t="shared" si="1"/>
        <v/>
      </c>
      <c r="M632" s="1"/>
      <c r="N632" s="1"/>
      <c r="O632" s="1"/>
      <c r="P632" s="1"/>
      <c r="Q632" s="1"/>
      <c r="R632" s="1"/>
      <c r="S632" s="1"/>
      <c r="T632" s="1"/>
    </row>
    <row r="633" spans="1:20" ht="26.25" customHeight="1">
      <c r="A633" s="17">
        <f t="shared" si="0"/>
        <v>630</v>
      </c>
      <c r="B633" s="18" t="s">
        <v>48</v>
      </c>
      <c r="C633" s="19" t="s">
        <v>3022</v>
      </c>
      <c r="D633" s="19" t="s">
        <v>3023</v>
      </c>
      <c r="E633" s="20" t="s">
        <v>3024</v>
      </c>
      <c r="F633" s="21" t="s">
        <v>293</v>
      </c>
      <c r="G633" s="33" t="s">
        <v>42</v>
      </c>
      <c r="H633" s="23" t="s">
        <v>3025</v>
      </c>
      <c r="I633" s="24" t="s">
        <v>20</v>
      </c>
      <c r="J633" s="1" t="s">
        <v>21</v>
      </c>
      <c r="K633" s="25">
        <v>3</v>
      </c>
      <c r="L633" s="1" t="str">
        <f t="shared" si="1"/>
        <v/>
      </c>
      <c r="M633" s="1"/>
      <c r="N633" s="1"/>
      <c r="O633" s="1"/>
      <c r="P633" s="1"/>
      <c r="Q633" s="1"/>
      <c r="R633" s="1"/>
      <c r="S633" s="1"/>
      <c r="T633" s="1"/>
    </row>
    <row r="634" spans="1:20" ht="26.25" customHeight="1">
      <c r="A634" s="17">
        <f t="shared" si="0"/>
        <v>631</v>
      </c>
      <c r="B634" s="18" t="s">
        <v>1368</v>
      </c>
      <c r="C634" s="19" t="s">
        <v>3026</v>
      </c>
      <c r="D634" s="19" t="s">
        <v>3027</v>
      </c>
      <c r="E634" s="20" t="s">
        <v>3028</v>
      </c>
      <c r="F634" s="21" t="s">
        <v>135</v>
      </c>
      <c r="G634" s="33" t="s">
        <v>53</v>
      </c>
      <c r="H634" s="23" t="s">
        <v>3029</v>
      </c>
      <c r="I634" s="24" t="s">
        <v>20</v>
      </c>
      <c r="J634" s="1" t="s">
        <v>21</v>
      </c>
      <c r="K634" s="25">
        <v>3</v>
      </c>
      <c r="L634" s="1" t="str">
        <f t="shared" si="1"/>
        <v/>
      </c>
      <c r="M634" s="1"/>
      <c r="N634" s="1"/>
      <c r="O634" s="1"/>
      <c r="P634" s="1"/>
      <c r="Q634" s="1"/>
      <c r="R634" s="1"/>
      <c r="S634" s="1"/>
      <c r="T634" s="1"/>
    </row>
    <row r="635" spans="1:20" ht="26.25" customHeight="1">
      <c r="A635" s="17">
        <f t="shared" si="0"/>
        <v>632</v>
      </c>
      <c r="B635" s="18" t="s">
        <v>132</v>
      </c>
      <c r="C635" s="19" t="s">
        <v>3030</v>
      </c>
      <c r="D635" s="19" t="s">
        <v>124</v>
      </c>
      <c r="E635" s="20" t="s">
        <v>3031</v>
      </c>
      <c r="F635" s="21" t="s">
        <v>135</v>
      </c>
      <c r="G635" s="22" t="s">
        <v>42</v>
      </c>
      <c r="H635" s="23" t="s">
        <v>3032</v>
      </c>
      <c r="I635" s="24" t="s">
        <v>20</v>
      </c>
      <c r="J635" s="1" t="s">
        <v>21</v>
      </c>
      <c r="K635" s="25">
        <v>3</v>
      </c>
      <c r="L635" s="1" t="str">
        <f t="shared" si="1"/>
        <v/>
      </c>
      <c r="M635" s="1"/>
      <c r="N635" s="1"/>
      <c r="O635" s="1"/>
      <c r="P635" s="1"/>
      <c r="Q635" s="1"/>
      <c r="R635" s="1"/>
      <c r="S635" s="1"/>
      <c r="T635" s="1"/>
    </row>
    <row r="636" spans="1:20" ht="26.25" customHeight="1">
      <c r="A636" s="17">
        <f t="shared" si="0"/>
        <v>633</v>
      </c>
      <c r="B636" s="18" t="s">
        <v>105</v>
      </c>
      <c r="C636" s="31" t="s">
        <v>3033</v>
      </c>
      <c r="D636" s="19" t="s">
        <v>3034</v>
      </c>
      <c r="E636" s="20" t="s">
        <v>1613</v>
      </c>
      <c r="F636" s="21" t="s">
        <v>3035</v>
      </c>
      <c r="G636" s="33" t="s">
        <v>53</v>
      </c>
      <c r="H636" s="23" t="s">
        <v>3036</v>
      </c>
      <c r="I636" s="34" t="s">
        <v>55</v>
      </c>
      <c r="J636" s="1" t="str">
        <f t="shared" ref="J636:J638" si="91">IFERROR(VLOOKUP(E636,#REF!,8,FALSE),"")</f>
        <v/>
      </c>
      <c r="K636" s="25">
        <v>4</v>
      </c>
      <c r="L636" s="1" t="str">
        <f t="shared" si="1"/>
        <v>2021 과기 동양</v>
      </c>
      <c r="M636" s="25"/>
      <c r="N636" s="25"/>
      <c r="O636" s="25"/>
      <c r="P636" s="25"/>
      <c r="Q636" s="25"/>
      <c r="R636" s="25"/>
      <c r="S636" s="25"/>
      <c r="T636" s="25"/>
    </row>
    <row r="637" spans="1:20" ht="26.25" customHeight="1">
      <c r="A637" s="17">
        <f t="shared" si="0"/>
        <v>634</v>
      </c>
      <c r="B637" s="18" t="s">
        <v>105</v>
      </c>
      <c r="C637" s="31" t="s">
        <v>3037</v>
      </c>
      <c r="D637" s="19" t="s">
        <v>3034</v>
      </c>
      <c r="E637" s="20" t="s">
        <v>3038</v>
      </c>
      <c r="F637" s="32" t="s">
        <v>3039</v>
      </c>
      <c r="G637" s="33" t="s">
        <v>42</v>
      </c>
      <c r="H637" s="23" t="s">
        <v>3040</v>
      </c>
      <c r="I637" s="24" t="s">
        <v>55</v>
      </c>
      <c r="J637" s="1" t="str">
        <f t="shared" si="91"/>
        <v/>
      </c>
      <c r="K637" s="1"/>
      <c r="L637" s="1" t="str">
        <f t="shared" si="1"/>
        <v/>
      </c>
      <c r="M637" s="1"/>
      <c r="N637" s="1"/>
      <c r="O637" s="1"/>
      <c r="P637" s="1"/>
      <c r="Q637" s="1"/>
      <c r="R637" s="1"/>
      <c r="S637" s="1"/>
      <c r="T637" s="1"/>
    </row>
    <row r="638" spans="1:20" ht="26.25" customHeight="1">
      <c r="A638" s="17">
        <f t="shared" si="0"/>
        <v>635</v>
      </c>
      <c r="B638" s="18" t="s">
        <v>248</v>
      </c>
      <c r="C638" s="31" t="s">
        <v>3041</v>
      </c>
      <c r="D638" s="19" t="s">
        <v>3042</v>
      </c>
      <c r="E638" s="20" t="s">
        <v>3043</v>
      </c>
      <c r="F638" s="32">
        <v>2010</v>
      </c>
      <c r="G638" s="33" t="s">
        <v>53</v>
      </c>
      <c r="H638" s="23" t="s">
        <v>3044</v>
      </c>
      <c r="I638" s="24" t="s">
        <v>55</v>
      </c>
      <c r="J638" s="1" t="str">
        <f t="shared" si="91"/>
        <v/>
      </c>
      <c r="K638" s="1"/>
      <c r="L638" s="1" t="str">
        <f t="shared" si="1"/>
        <v/>
      </c>
      <c r="M638" s="1"/>
      <c r="N638" s="1"/>
      <c r="O638" s="1"/>
      <c r="P638" s="1"/>
      <c r="Q638" s="1"/>
      <c r="R638" s="1"/>
      <c r="S638" s="1"/>
      <c r="T638" s="1"/>
    </row>
    <row r="639" spans="1:20" ht="26.25" customHeight="1">
      <c r="A639" s="17">
        <f t="shared" si="0"/>
        <v>636</v>
      </c>
      <c r="B639" s="18" t="s">
        <v>105</v>
      </c>
      <c r="C639" s="31" t="s">
        <v>3045</v>
      </c>
      <c r="D639" s="19" t="s">
        <v>3046</v>
      </c>
      <c r="E639" s="20" t="s">
        <v>3047</v>
      </c>
      <c r="F639" s="21" t="s">
        <v>3048</v>
      </c>
      <c r="G639" s="33" t="s">
        <v>31</v>
      </c>
      <c r="H639" s="23" t="s">
        <v>3049</v>
      </c>
      <c r="I639" s="34" t="s">
        <v>20</v>
      </c>
      <c r="J639" s="1" t="s">
        <v>87</v>
      </c>
      <c r="K639" s="25">
        <v>4</v>
      </c>
      <c r="L639" s="1" t="str">
        <f t="shared" si="1"/>
        <v/>
      </c>
      <c r="M639" s="25"/>
      <c r="N639" s="25"/>
      <c r="O639" s="25"/>
      <c r="P639" s="25"/>
      <c r="Q639" s="25"/>
      <c r="R639" s="25"/>
      <c r="S639" s="25"/>
      <c r="T639" s="25"/>
    </row>
    <row r="640" spans="1:20" ht="26.25" customHeight="1">
      <c r="A640" s="17">
        <f t="shared" si="0"/>
        <v>637</v>
      </c>
      <c r="B640" s="18" t="s">
        <v>105</v>
      </c>
      <c r="C640" s="19" t="s">
        <v>3050</v>
      </c>
      <c r="D640" s="19" t="s">
        <v>196</v>
      </c>
      <c r="E640" s="20" t="s">
        <v>3051</v>
      </c>
      <c r="F640" s="21" t="s">
        <v>1011</v>
      </c>
      <c r="G640" s="33" t="s">
        <v>42</v>
      </c>
      <c r="H640" s="23" t="s">
        <v>3052</v>
      </c>
      <c r="I640" s="24" t="s">
        <v>20</v>
      </c>
      <c r="J640" s="1" t="s">
        <v>21</v>
      </c>
      <c r="K640" s="25">
        <v>3</v>
      </c>
      <c r="L640" s="1" t="str">
        <f t="shared" si="1"/>
        <v/>
      </c>
      <c r="M640" s="1"/>
      <c r="N640" s="1"/>
      <c r="O640" s="1"/>
      <c r="P640" s="1"/>
      <c r="Q640" s="1"/>
      <c r="R640" s="1"/>
      <c r="S640" s="1"/>
      <c r="T640" s="1"/>
    </row>
    <row r="641" spans="1:20" ht="26.25" customHeight="1">
      <c r="A641" s="17">
        <f t="shared" si="0"/>
        <v>638</v>
      </c>
      <c r="B641" s="18" t="s">
        <v>13</v>
      </c>
      <c r="C641" s="19" t="s">
        <v>3053</v>
      </c>
      <c r="D641" s="19" t="s">
        <v>124</v>
      </c>
      <c r="E641" s="20" t="s">
        <v>3054</v>
      </c>
      <c r="F641" s="21" t="s">
        <v>135</v>
      </c>
      <c r="G641" s="22" t="s">
        <v>42</v>
      </c>
      <c r="H641" s="23" t="s">
        <v>3055</v>
      </c>
      <c r="I641" s="24" t="s">
        <v>20</v>
      </c>
      <c r="J641" s="1" t="s">
        <v>21</v>
      </c>
      <c r="K641" s="25">
        <v>3</v>
      </c>
      <c r="L641" s="1" t="str">
        <f t="shared" si="1"/>
        <v/>
      </c>
      <c r="M641" s="1"/>
      <c r="N641" s="1"/>
      <c r="O641" s="1"/>
      <c r="P641" s="1"/>
      <c r="Q641" s="1"/>
      <c r="R641" s="1"/>
      <c r="S641" s="1"/>
      <c r="T641" s="1"/>
    </row>
    <row r="642" spans="1:20" ht="26.25" customHeight="1">
      <c r="A642" s="17">
        <f t="shared" si="0"/>
        <v>639</v>
      </c>
      <c r="B642" s="18" t="s">
        <v>81</v>
      </c>
      <c r="C642" s="31" t="s">
        <v>158</v>
      </c>
      <c r="D642" s="19" t="s">
        <v>3056</v>
      </c>
      <c r="E642" s="20" t="s">
        <v>159</v>
      </c>
      <c r="F642" s="32" t="s">
        <v>142</v>
      </c>
      <c r="G642" s="33" t="s">
        <v>42</v>
      </c>
      <c r="H642" s="23" t="s">
        <v>3057</v>
      </c>
      <c r="I642" s="24" t="s">
        <v>55</v>
      </c>
      <c r="J642" s="1" t="str">
        <f t="shared" ref="J642:J655" si="92">IFERROR(VLOOKUP(E642,#REF!,8,FALSE),"")</f>
        <v/>
      </c>
      <c r="K642" s="25">
        <v>3</v>
      </c>
      <c r="L642" s="1" t="str">
        <f t="shared" si="1"/>
        <v>2016 FRIC 서양</v>
      </c>
      <c r="M642" s="1"/>
      <c r="N642" s="1"/>
      <c r="O642" s="1"/>
      <c r="P642" s="1"/>
      <c r="Q642" s="1"/>
      <c r="R642" s="1"/>
      <c r="S642" s="1"/>
      <c r="T642" s="1"/>
    </row>
    <row r="643" spans="1:20" ht="26.25" customHeight="1">
      <c r="A643" s="17">
        <f t="shared" si="0"/>
        <v>640</v>
      </c>
      <c r="B643" s="18" t="s">
        <v>233</v>
      </c>
      <c r="C643" s="19" t="s">
        <v>1667</v>
      </c>
      <c r="D643" s="19" t="s">
        <v>3058</v>
      </c>
      <c r="E643" s="20" t="s">
        <v>1669</v>
      </c>
      <c r="F643" s="32" t="s">
        <v>52</v>
      </c>
      <c r="G643" s="22" t="s">
        <v>53</v>
      </c>
      <c r="H643" s="23" t="s">
        <v>3059</v>
      </c>
      <c r="I643" s="34" t="s">
        <v>55</v>
      </c>
      <c r="J643" s="1" t="str">
        <f t="shared" si="92"/>
        <v/>
      </c>
      <c r="K643" s="25">
        <v>3</v>
      </c>
      <c r="L643" s="1" t="str">
        <f t="shared" si="1"/>
        <v>2021 FRIC 서양</v>
      </c>
      <c r="M643" s="25"/>
      <c r="N643" s="25"/>
      <c r="O643" s="25"/>
      <c r="P643" s="25"/>
      <c r="Q643" s="25"/>
      <c r="R643" s="25"/>
      <c r="S643" s="25"/>
      <c r="T643" s="25"/>
    </row>
    <row r="644" spans="1:20" ht="26.25" customHeight="1">
      <c r="A644" s="17">
        <f t="shared" si="0"/>
        <v>641</v>
      </c>
      <c r="B644" s="18" t="s">
        <v>37</v>
      </c>
      <c r="C644" s="31" t="s">
        <v>3060</v>
      </c>
      <c r="D644" s="19" t="s">
        <v>3061</v>
      </c>
      <c r="E644" s="20" t="s">
        <v>3062</v>
      </c>
      <c r="F644" s="32" t="s">
        <v>3063</v>
      </c>
      <c r="G644" s="22" t="s">
        <v>42</v>
      </c>
      <c r="H644" s="23" t="s">
        <v>3064</v>
      </c>
      <c r="I644" s="24" t="s">
        <v>55</v>
      </c>
      <c r="J644" s="1" t="str">
        <f t="shared" si="92"/>
        <v/>
      </c>
      <c r="K644" s="1"/>
      <c r="L644" s="1" t="str">
        <f t="shared" si="1"/>
        <v/>
      </c>
      <c r="M644" s="1"/>
      <c r="N644" s="1"/>
      <c r="O644" s="1"/>
      <c r="P644" s="1"/>
      <c r="Q644" s="1"/>
      <c r="R644" s="1"/>
      <c r="S644" s="1"/>
      <c r="T644" s="1"/>
    </row>
    <row r="645" spans="1:20" ht="26.25" customHeight="1">
      <c r="A645" s="17">
        <f t="shared" si="0"/>
        <v>642</v>
      </c>
      <c r="B645" s="18" t="s">
        <v>105</v>
      </c>
      <c r="C645" s="31" t="s">
        <v>3065</v>
      </c>
      <c r="D645" s="19" t="s">
        <v>2742</v>
      </c>
      <c r="E645" s="20" t="s">
        <v>3066</v>
      </c>
      <c r="F645" s="32" t="s">
        <v>2564</v>
      </c>
      <c r="G645" s="33" t="s">
        <v>42</v>
      </c>
      <c r="H645" s="23" t="s">
        <v>3067</v>
      </c>
      <c r="I645" s="24" t="s">
        <v>55</v>
      </c>
      <c r="J645" s="1" t="str">
        <f t="shared" si="92"/>
        <v/>
      </c>
      <c r="K645" s="1"/>
      <c r="L645" s="1" t="str">
        <f t="shared" si="1"/>
        <v/>
      </c>
      <c r="M645" s="1"/>
      <c r="N645" s="1"/>
      <c r="O645" s="1"/>
      <c r="P645" s="1"/>
      <c r="Q645" s="1"/>
      <c r="R645" s="1"/>
      <c r="S645" s="1"/>
      <c r="T645" s="1"/>
    </row>
    <row r="646" spans="1:20" ht="26.25" customHeight="1">
      <c r="A646" s="17">
        <f t="shared" si="0"/>
        <v>643</v>
      </c>
      <c r="B646" s="18" t="s">
        <v>48</v>
      </c>
      <c r="C646" s="31" t="s">
        <v>3068</v>
      </c>
      <c r="D646" s="19" t="s">
        <v>3069</v>
      </c>
      <c r="E646" s="20" t="s">
        <v>3070</v>
      </c>
      <c r="F646" s="32" t="s">
        <v>3071</v>
      </c>
      <c r="G646" s="33" t="s">
        <v>63</v>
      </c>
      <c r="H646" s="23" t="s">
        <v>3072</v>
      </c>
      <c r="I646" s="24" t="s">
        <v>55</v>
      </c>
      <c r="J646" s="1" t="str">
        <f t="shared" si="92"/>
        <v/>
      </c>
      <c r="K646" s="1"/>
      <c r="L646" s="1" t="str">
        <f t="shared" si="1"/>
        <v/>
      </c>
      <c r="M646" s="1"/>
      <c r="N646" s="1"/>
      <c r="O646" s="1"/>
      <c r="P646" s="1"/>
      <c r="Q646" s="1"/>
      <c r="R646" s="1"/>
      <c r="S646" s="1"/>
      <c r="T646" s="1"/>
    </row>
    <row r="647" spans="1:20" ht="26.25" customHeight="1">
      <c r="A647" s="17">
        <f t="shared" si="0"/>
        <v>644</v>
      </c>
      <c r="B647" s="18" t="s">
        <v>105</v>
      </c>
      <c r="C647" s="31" t="s">
        <v>165</v>
      </c>
      <c r="D647" s="19" t="s">
        <v>112</v>
      </c>
      <c r="E647" s="20" t="s">
        <v>166</v>
      </c>
      <c r="F647" s="32" t="s">
        <v>962</v>
      </c>
      <c r="G647" s="33" t="s">
        <v>42</v>
      </c>
      <c r="H647" s="23" t="s">
        <v>3073</v>
      </c>
      <c r="I647" s="24" t="s">
        <v>55</v>
      </c>
      <c r="J647" s="1" t="str">
        <f t="shared" si="92"/>
        <v/>
      </c>
      <c r="K647" s="25">
        <v>3</v>
      </c>
      <c r="L647" s="1" t="str">
        <f t="shared" si="1"/>
        <v>2016 FRIC 서양</v>
      </c>
      <c r="M647" s="1"/>
      <c r="N647" s="1"/>
      <c r="O647" s="1"/>
      <c r="P647" s="1"/>
      <c r="Q647" s="1"/>
      <c r="R647" s="1"/>
      <c r="S647" s="1"/>
      <c r="T647" s="1"/>
    </row>
    <row r="648" spans="1:20" ht="26.25" customHeight="1">
      <c r="A648" s="17">
        <f t="shared" si="0"/>
        <v>645</v>
      </c>
      <c r="B648" s="18" t="s">
        <v>233</v>
      </c>
      <c r="C648" s="31" t="s">
        <v>3074</v>
      </c>
      <c r="D648" s="19" t="s">
        <v>3075</v>
      </c>
      <c r="E648" s="20" t="s">
        <v>3076</v>
      </c>
      <c r="F648" s="32">
        <v>1962</v>
      </c>
      <c r="G648" s="22" t="s">
        <v>53</v>
      </c>
      <c r="H648" s="23" t="s">
        <v>3077</v>
      </c>
      <c r="I648" s="24" t="s">
        <v>55</v>
      </c>
      <c r="J648" s="1" t="str">
        <f t="shared" si="92"/>
        <v/>
      </c>
      <c r="K648" s="1"/>
      <c r="L648" s="1" t="str">
        <f t="shared" si="1"/>
        <v/>
      </c>
      <c r="M648" s="1"/>
      <c r="N648" s="1"/>
      <c r="O648" s="1"/>
      <c r="P648" s="1"/>
      <c r="Q648" s="1"/>
      <c r="R648" s="1"/>
      <c r="S648" s="1"/>
      <c r="T648" s="1"/>
    </row>
    <row r="649" spans="1:20" ht="26.25" customHeight="1">
      <c r="A649" s="17">
        <f t="shared" si="0"/>
        <v>646</v>
      </c>
      <c r="B649" s="18" t="s">
        <v>37</v>
      </c>
      <c r="C649" s="31" t="s">
        <v>3078</v>
      </c>
      <c r="D649" s="19" t="s">
        <v>1980</v>
      </c>
      <c r="E649" s="20" t="s">
        <v>3079</v>
      </c>
      <c r="F649" s="32" t="s">
        <v>3080</v>
      </c>
      <c r="G649" s="22" t="s">
        <v>31</v>
      </c>
      <c r="H649" s="23" t="s">
        <v>3081</v>
      </c>
      <c r="I649" s="24" t="s">
        <v>55</v>
      </c>
      <c r="J649" s="1" t="str">
        <f t="shared" si="92"/>
        <v/>
      </c>
      <c r="K649" s="1"/>
      <c r="L649" s="1" t="str">
        <f t="shared" si="1"/>
        <v/>
      </c>
      <c r="M649" s="1"/>
      <c r="N649" s="1"/>
      <c r="O649" s="1"/>
      <c r="P649" s="1"/>
      <c r="Q649" s="1"/>
      <c r="R649" s="1"/>
      <c r="S649" s="1"/>
      <c r="T649" s="1"/>
    </row>
    <row r="650" spans="1:20" ht="26.25" customHeight="1">
      <c r="A650" s="17">
        <f t="shared" si="0"/>
        <v>647</v>
      </c>
      <c r="B650" s="18" t="s">
        <v>105</v>
      </c>
      <c r="C650" s="31" t="s">
        <v>3082</v>
      </c>
      <c r="D650" s="19" t="s">
        <v>3083</v>
      </c>
      <c r="E650" s="20" t="s">
        <v>3084</v>
      </c>
      <c r="F650" s="32" t="s">
        <v>3085</v>
      </c>
      <c r="G650" s="33" t="s">
        <v>53</v>
      </c>
      <c r="H650" s="23" t="s">
        <v>3086</v>
      </c>
      <c r="I650" s="24" t="s">
        <v>55</v>
      </c>
      <c r="J650" s="1" t="str">
        <f t="shared" si="92"/>
        <v/>
      </c>
      <c r="K650" s="1"/>
      <c r="L650" s="1" t="str">
        <f t="shared" si="1"/>
        <v/>
      </c>
      <c r="M650" s="1"/>
      <c r="N650" s="1"/>
      <c r="O650" s="1"/>
      <c r="P650" s="1"/>
      <c r="Q650" s="1"/>
      <c r="R650" s="1"/>
      <c r="S650" s="1"/>
      <c r="T650" s="1"/>
    </row>
    <row r="651" spans="1:20" ht="26.25" customHeight="1">
      <c r="A651" s="17">
        <f t="shared" si="0"/>
        <v>648</v>
      </c>
      <c r="B651" s="18" t="s">
        <v>132</v>
      </c>
      <c r="C651" s="31" t="s">
        <v>3087</v>
      </c>
      <c r="D651" s="19" t="s">
        <v>3088</v>
      </c>
      <c r="E651" s="20" t="s">
        <v>3089</v>
      </c>
      <c r="F651" s="32" t="s">
        <v>2820</v>
      </c>
      <c r="G651" s="22" t="s">
        <v>53</v>
      </c>
      <c r="H651" s="23" t="s">
        <v>3090</v>
      </c>
      <c r="I651" s="24" t="s">
        <v>55</v>
      </c>
      <c r="J651" s="1" t="str">
        <f t="shared" si="92"/>
        <v/>
      </c>
      <c r="K651" s="1"/>
      <c r="L651" s="1" t="str">
        <f t="shared" si="1"/>
        <v/>
      </c>
      <c r="M651" s="1"/>
      <c r="N651" s="1"/>
      <c r="O651" s="1"/>
      <c r="P651" s="1"/>
      <c r="Q651" s="1"/>
      <c r="R651" s="1"/>
      <c r="S651" s="1"/>
      <c r="T651" s="1"/>
    </row>
    <row r="652" spans="1:20" ht="26.25" customHeight="1">
      <c r="A652" s="17">
        <f t="shared" si="0"/>
        <v>649</v>
      </c>
      <c r="B652" s="18" t="s">
        <v>105</v>
      </c>
      <c r="C652" s="31" t="s">
        <v>3091</v>
      </c>
      <c r="D652" s="19" t="s">
        <v>3092</v>
      </c>
      <c r="E652" s="20" t="s">
        <v>3093</v>
      </c>
      <c r="F652" s="32" t="s">
        <v>3094</v>
      </c>
      <c r="G652" s="33" t="s">
        <v>42</v>
      </c>
      <c r="H652" s="23" t="s">
        <v>3095</v>
      </c>
      <c r="I652" s="24" t="s">
        <v>55</v>
      </c>
      <c r="J652" s="1" t="str">
        <f t="shared" si="92"/>
        <v/>
      </c>
      <c r="K652" s="1"/>
      <c r="L652" s="1" t="str">
        <f t="shared" si="1"/>
        <v/>
      </c>
      <c r="M652" s="1"/>
      <c r="N652" s="1"/>
      <c r="O652" s="1"/>
      <c r="P652" s="1"/>
      <c r="Q652" s="1"/>
      <c r="R652" s="1"/>
      <c r="S652" s="1"/>
      <c r="T652" s="1"/>
    </row>
    <row r="653" spans="1:20" ht="26.25" customHeight="1">
      <c r="A653" s="17">
        <f t="shared" si="0"/>
        <v>650</v>
      </c>
      <c r="B653" s="18" t="s">
        <v>27</v>
      </c>
      <c r="C653" s="31" t="s">
        <v>3096</v>
      </c>
      <c r="D653" s="19" t="s">
        <v>112</v>
      </c>
      <c r="E653" s="20" t="s">
        <v>3097</v>
      </c>
      <c r="F653" s="32" t="s">
        <v>416</v>
      </c>
      <c r="G653" s="22" t="s">
        <v>31</v>
      </c>
      <c r="H653" s="23" t="s">
        <v>3098</v>
      </c>
      <c r="I653" s="24" t="s">
        <v>55</v>
      </c>
      <c r="J653" s="1" t="str">
        <f t="shared" si="92"/>
        <v/>
      </c>
      <c r="K653" s="1"/>
      <c r="L653" s="1" t="str">
        <f t="shared" si="1"/>
        <v/>
      </c>
      <c r="M653" s="1"/>
      <c r="N653" s="1"/>
      <c r="O653" s="1"/>
      <c r="P653" s="1"/>
      <c r="Q653" s="1"/>
      <c r="R653" s="1"/>
      <c r="S653" s="1"/>
      <c r="T653" s="1"/>
    </row>
    <row r="654" spans="1:20" ht="26.25" customHeight="1">
      <c r="A654" s="17">
        <f t="shared" si="0"/>
        <v>651</v>
      </c>
      <c r="B654" s="18" t="s">
        <v>27</v>
      </c>
      <c r="C654" s="39" t="s">
        <v>1867</v>
      </c>
      <c r="D654" s="39" t="s">
        <v>1868</v>
      </c>
      <c r="E654" s="20" t="s">
        <v>1869</v>
      </c>
      <c r="F654" s="44" t="s">
        <v>3099</v>
      </c>
      <c r="G654" s="22" t="s">
        <v>31</v>
      </c>
      <c r="H654" s="41" t="s">
        <v>3100</v>
      </c>
      <c r="I654" s="34" t="s">
        <v>55</v>
      </c>
      <c r="J654" s="1" t="str">
        <f t="shared" si="92"/>
        <v/>
      </c>
      <c r="K654" s="25">
        <v>3</v>
      </c>
      <c r="L654" s="1" t="str">
        <f t="shared" si="1"/>
        <v>2021 FRIC 동양</v>
      </c>
      <c r="M654" s="25"/>
      <c r="N654" s="25"/>
      <c r="O654" s="25"/>
      <c r="P654" s="25"/>
      <c r="Q654" s="25"/>
      <c r="R654" s="25"/>
      <c r="S654" s="25"/>
      <c r="T654" s="25"/>
    </row>
    <row r="655" spans="1:20" ht="26.25" customHeight="1">
      <c r="A655" s="17">
        <f t="shared" si="0"/>
        <v>652</v>
      </c>
      <c r="B655" s="18" t="s">
        <v>248</v>
      </c>
      <c r="C655" s="31" t="s">
        <v>3101</v>
      </c>
      <c r="D655" s="19" t="s">
        <v>3102</v>
      </c>
      <c r="E655" s="20" t="s">
        <v>3103</v>
      </c>
      <c r="F655" s="32" t="s">
        <v>209</v>
      </c>
      <c r="G655" s="33" t="s">
        <v>42</v>
      </c>
      <c r="H655" s="23" t="s">
        <v>3104</v>
      </c>
      <c r="I655" s="24" t="s">
        <v>55</v>
      </c>
      <c r="J655" s="1" t="str">
        <f t="shared" si="92"/>
        <v/>
      </c>
      <c r="K655" s="1"/>
      <c r="L655" s="1" t="str">
        <f t="shared" si="1"/>
        <v/>
      </c>
      <c r="M655" s="1"/>
      <c r="N655" s="1"/>
      <c r="O655" s="1"/>
      <c r="P655" s="1"/>
      <c r="Q655" s="1"/>
      <c r="R655" s="1"/>
      <c r="S655" s="1"/>
      <c r="T655" s="1"/>
    </row>
    <row r="656" spans="1:20" ht="26.25" customHeight="1">
      <c r="A656" s="17">
        <f t="shared" si="0"/>
        <v>653</v>
      </c>
      <c r="B656" s="18" t="s">
        <v>37</v>
      </c>
      <c r="C656" s="19" t="s">
        <v>3105</v>
      </c>
      <c r="D656" s="19" t="s">
        <v>168</v>
      </c>
      <c r="E656" s="20" t="s">
        <v>3106</v>
      </c>
      <c r="F656" s="21" t="s">
        <v>3107</v>
      </c>
      <c r="G656" s="22" t="s">
        <v>31</v>
      </c>
      <c r="H656" s="23" t="s">
        <v>3108</v>
      </c>
      <c r="I656" s="24" t="s">
        <v>20</v>
      </c>
      <c r="J656" s="1" t="s">
        <v>21</v>
      </c>
      <c r="K656" s="25">
        <v>3</v>
      </c>
      <c r="L656" s="1" t="str">
        <f t="shared" si="1"/>
        <v/>
      </c>
      <c r="M656" s="1"/>
      <c r="N656" s="1"/>
      <c r="O656" s="1"/>
      <c r="P656" s="1"/>
      <c r="Q656" s="1"/>
      <c r="R656" s="1"/>
      <c r="S656" s="1"/>
      <c r="T656" s="1"/>
    </row>
    <row r="657" spans="1:20" ht="26.25" customHeight="1">
      <c r="A657" s="17">
        <f t="shared" si="0"/>
        <v>654</v>
      </c>
      <c r="B657" s="18" t="s">
        <v>105</v>
      </c>
      <c r="C657" s="31" t="s">
        <v>3109</v>
      </c>
      <c r="D657" s="19" t="s">
        <v>2164</v>
      </c>
      <c r="E657" s="20" t="s">
        <v>3110</v>
      </c>
      <c r="F657" s="21" t="s">
        <v>3111</v>
      </c>
      <c r="G657" s="33" t="s">
        <v>31</v>
      </c>
      <c r="H657" s="23" t="s">
        <v>3112</v>
      </c>
      <c r="I657" s="34" t="s">
        <v>20</v>
      </c>
      <c r="J657" s="1" t="s">
        <v>87</v>
      </c>
      <c r="K657" s="25">
        <v>4</v>
      </c>
      <c r="L657" s="1" t="str">
        <f t="shared" si="1"/>
        <v/>
      </c>
      <c r="M657" s="25"/>
      <c r="N657" s="25"/>
      <c r="O657" s="25"/>
      <c r="P657" s="25"/>
      <c r="Q657" s="25"/>
      <c r="R657" s="25"/>
      <c r="S657" s="25"/>
      <c r="T657" s="25"/>
    </row>
    <row r="658" spans="1:20" ht="26.25" customHeight="1">
      <c r="A658" s="17">
        <f t="shared" si="0"/>
        <v>655</v>
      </c>
      <c r="B658" s="18" t="s">
        <v>105</v>
      </c>
      <c r="C658" s="19" t="s">
        <v>1660</v>
      </c>
      <c r="D658" s="19" t="s">
        <v>3113</v>
      </c>
      <c r="E658" s="20" t="s">
        <v>1662</v>
      </c>
      <c r="F658" s="32" t="s">
        <v>52</v>
      </c>
      <c r="G658" s="33" t="s">
        <v>31</v>
      </c>
      <c r="H658" s="23" t="s">
        <v>3114</v>
      </c>
      <c r="I658" s="34" t="s">
        <v>55</v>
      </c>
      <c r="J658" s="1" t="str">
        <f t="shared" ref="J658:J659" si="93">IFERROR(VLOOKUP(E658,#REF!,8,FALSE),"")</f>
        <v/>
      </c>
      <c r="K658" s="25">
        <v>3</v>
      </c>
      <c r="L658" s="1" t="str">
        <f t="shared" si="1"/>
        <v>2021 FRIC 서양</v>
      </c>
      <c r="M658" s="25"/>
      <c r="N658" s="25"/>
      <c r="O658" s="25"/>
      <c r="P658" s="25"/>
      <c r="Q658" s="25"/>
      <c r="R658" s="25"/>
      <c r="S658" s="25"/>
      <c r="T658" s="25"/>
    </row>
    <row r="659" spans="1:20" ht="26.25" customHeight="1">
      <c r="A659" s="17">
        <f t="shared" si="0"/>
        <v>656</v>
      </c>
      <c r="B659" s="18" t="s">
        <v>1375</v>
      </c>
      <c r="C659" s="31" t="s">
        <v>1538</v>
      </c>
      <c r="D659" s="19" t="s">
        <v>3115</v>
      </c>
      <c r="E659" s="20" t="s">
        <v>1540</v>
      </c>
      <c r="F659" s="32" t="s">
        <v>178</v>
      </c>
      <c r="G659" s="22" t="s">
        <v>53</v>
      </c>
      <c r="H659" s="23" t="s">
        <v>3116</v>
      </c>
      <c r="I659" s="34" t="s">
        <v>55</v>
      </c>
      <c r="J659" s="1" t="str">
        <f t="shared" si="93"/>
        <v/>
      </c>
      <c r="K659" s="25">
        <v>4</v>
      </c>
      <c r="L659" s="1" t="str">
        <f t="shared" si="1"/>
        <v>2021 과기 서양</v>
      </c>
      <c r="M659" s="25"/>
      <c r="N659" s="25"/>
      <c r="O659" s="25"/>
      <c r="P659" s="25"/>
      <c r="Q659" s="25"/>
      <c r="R659" s="25"/>
      <c r="S659" s="25"/>
      <c r="T659" s="25"/>
    </row>
    <row r="660" spans="1:20" ht="26.25" customHeight="1">
      <c r="A660" s="17">
        <f t="shared" si="0"/>
        <v>657</v>
      </c>
      <c r="B660" s="18" t="s">
        <v>48</v>
      </c>
      <c r="C660" s="19" t="s">
        <v>3117</v>
      </c>
      <c r="D660" s="19" t="s">
        <v>168</v>
      </c>
      <c r="E660" s="20" t="s">
        <v>3118</v>
      </c>
      <c r="F660" s="21" t="s">
        <v>135</v>
      </c>
      <c r="G660" s="33" t="s">
        <v>53</v>
      </c>
      <c r="H660" s="23" t="s">
        <v>3119</v>
      </c>
      <c r="I660" s="24" t="s">
        <v>20</v>
      </c>
      <c r="J660" s="1" t="s">
        <v>21</v>
      </c>
      <c r="K660" s="25">
        <v>3</v>
      </c>
      <c r="L660" s="1" t="str">
        <f t="shared" si="1"/>
        <v/>
      </c>
      <c r="M660" s="1"/>
      <c r="N660" s="1"/>
      <c r="O660" s="1"/>
      <c r="P660" s="1"/>
      <c r="Q660" s="1"/>
      <c r="R660" s="1"/>
      <c r="S660" s="1"/>
      <c r="T660" s="1"/>
    </row>
    <row r="661" spans="1:20" ht="26.25" customHeight="1">
      <c r="A661" s="17">
        <f t="shared" si="0"/>
        <v>658</v>
      </c>
      <c r="B661" s="18" t="s">
        <v>105</v>
      </c>
      <c r="C661" s="19" t="s">
        <v>3120</v>
      </c>
      <c r="D661" s="19" t="s">
        <v>3121</v>
      </c>
      <c r="E661" s="20" t="s">
        <v>3122</v>
      </c>
      <c r="F661" s="21" t="s">
        <v>135</v>
      </c>
      <c r="G661" s="33" t="s">
        <v>42</v>
      </c>
      <c r="H661" s="23" t="s">
        <v>3123</v>
      </c>
      <c r="I661" s="24" t="s">
        <v>20</v>
      </c>
      <c r="J661" s="1" t="s">
        <v>21</v>
      </c>
      <c r="K661" s="25">
        <v>3</v>
      </c>
      <c r="L661" s="1" t="str">
        <f t="shared" si="1"/>
        <v/>
      </c>
      <c r="M661" s="1"/>
      <c r="N661" s="1"/>
      <c r="O661" s="1"/>
      <c r="P661" s="1"/>
      <c r="Q661" s="1"/>
      <c r="R661" s="1"/>
      <c r="S661" s="1"/>
      <c r="T661" s="1"/>
    </row>
    <row r="662" spans="1:20" ht="26.25" customHeight="1">
      <c r="A662" s="17">
        <f t="shared" si="0"/>
        <v>659</v>
      </c>
      <c r="B662" s="18" t="s">
        <v>27</v>
      </c>
      <c r="C662" s="19" t="s">
        <v>3124</v>
      </c>
      <c r="D662" s="19" t="s">
        <v>124</v>
      </c>
      <c r="E662" s="20" t="s">
        <v>3125</v>
      </c>
      <c r="F662" s="21" t="s">
        <v>2431</v>
      </c>
      <c r="G662" s="22" t="s">
        <v>42</v>
      </c>
      <c r="H662" s="23" t="s">
        <v>3126</v>
      </c>
      <c r="I662" s="24" t="s">
        <v>20</v>
      </c>
      <c r="J662" s="1" t="s">
        <v>21</v>
      </c>
      <c r="K662" s="25">
        <v>3</v>
      </c>
      <c r="L662" s="1" t="str">
        <f t="shared" si="1"/>
        <v/>
      </c>
      <c r="M662" s="1"/>
      <c r="N662" s="1"/>
      <c r="O662" s="1"/>
      <c r="P662" s="1"/>
      <c r="Q662" s="1"/>
      <c r="R662" s="1"/>
      <c r="S662" s="1"/>
      <c r="T662" s="1"/>
    </row>
    <row r="663" spans="1:20" ht="26.25" customHeight="1">
      <c r="A663" s="17">
        <f t="shared" si="0"/>
        <v>660</v>
      </c>
      <c r="B663" s="18" t="s">
        <v>1375</v>
      </c>
      <c r="C663" s="31" t="s">
        <v>3127</v>
      </c>
      <c r="D663" s="19" t="s">
        <v>124</v>
      </c>
      <c r="E663" s="20" t="s">
        <v>3128</v>
      </c>
      <c r="F663" s="32" t="s">
        <v>1913</v>
      </c>
      <c r="G663" s="22" t="s">
        <v>1086</v>
      </c>
      <c r="H663" s="23" t="s">
        <v>3129</v>
      </c>
      <c r="I663" s="24" t="s">
        <v>55</v>
      </c>
      <c r="J663" s="1" t="str">
        <f t="shared" ref="J663:J664" si="94">IFERROR(VLOOKUP(E663,#REF!,8,FALSE),"")</f>
        <v/>
      </c>
      <c r="K663" s="1"/>
      <c r="L663" s="1" t="str">
        <f t="shared" si="1"/>
        <v/>
      </c>
      <c r="M663" s="1"/>
      <c r="N663" s="1"/>
      <c r="O663" s="1"/>
      <c r="P663" s="1"/>
      <c r="Q663" s="1"/>
      <c r="R663" s="1"/>
      <c r="S663" s="1"/>
      <c r="T663" s="1"/>
    </row>
    <row r="664" spans="1:20" ht="26.25" customHeight="1">
      <c r="A664" s="17">
        <f t="shared" si="0"/>
        <v>661</v>
      </c>
      <c r="B664" s="18" t="s">
        <v>1375</v>
      </c>
      <c r="C664" s="31" t="s">
        <v>3130</v>
      </c>
      <c r="D664" s="19" t="s">
        <v>3131</v>
      </c>
      <c r="E664" s="20" t="s">
        <v>1152</v>
      </c>
      <c r="F664" s="32" t="s">
        <v>170</v>
      </c>
      <c r="G664" s="22" t="s">
        <v>63</v>
      </c>
      <c r="H664" s="23" t="s">
        <v>3132</v>
      </c>
      <c r="I664" s="24" t="s">
        <v>55</v>
      </c>
      <c r="J664" s="1" t="str">
        <f t="shared" si="94"/>
        <v/>
      </c>
      <c r="K664" s="25">
        <v>3</v>
      </c>
      <c r="L664" s="1" t="str">
        <f t="shared" si="1"/>
        <v>2020 FRIC 서양</v>
      </c>
      <c r="M664" s="1"/>
      <c r="N664" s="1"/>
      <c r="O664" s="1"/>
      <c r="P664" s="1"/>
      <c r="Q664" s="1"/>
      <c r="R664" s="1"/>
      <c r="S664" s="1"/>
      <c r="T664" s="1"/>
    </row>
    <row r="665" spans="1:20" ht="26.25" customHeight="1">
      <c r="A665" s="17">
        <f t="shared" si="0"/>
        <v>662</v>
      </c>
      <c r="B665" s="18" t="s">
        <v>1375</v>
      </c>
      <c r="C665" s="19" t="s">
        <v>3133</v>
      </c>
      <c r="D665" s="19" t="s">
        <v>124</v>
      </c>
      <c r="E665" s="20" t="s">
        <v>3134</v>
      </c>
      <c r="F665" s="21" t="s">
        <v>2284</v>
      </c>
      <c r="G665" s="22" t="s">
        <v>42</v>
      </c>
      <c r="H665" s="23" t="s">
        <v>3135</v>
      </c>
      <c r="I665" s="24" t="s">
        <v>20</v>
      </c>
      <c r="J665" s="1" t="s">
        <v>21</v>
      </c>
      <c r="K665" s="25">
        <v>3</v>
      </c>
      <c r="L665" s="1" t="str">
        <f t="shared" si="1"/>
        <v/>
      </c>
      <c r="M665" s="1"/>
      <c r="N665" s="1"/>
      <c r="O665" s="1"/>
      <c r="P665" s="1"/>
      <c r="Q665" s="1"/>
      <c r="R665" s="1"/>
      <c r="S665" s="1"/>
      <c r="T665" s="1"/>
    </row>
    <row r="666" spans="1:20" ht="26.25" customHeight="1">
      <c r="A666" s="17">
        <f t="shared" si="0"/>
        <v>663</v>
      </c>
      <c r="B666" s="18" t="s">
        <v>248</v>
      </c>
      <c r="C666" s="31" t="s">
        <v>3136</v>
      </c>
      <c r="D666" s="19" t="s">
        <v>207</v>
      </c>
      <c r="E666" s="20" t="s">
        <v>3137</v>
      </c>
      <c r="F666" s="32" t="s">
        <v>222</v>
      </c>
      <c r="G666" s="33" t="s">
        <v>42</v>
      </c>
      <c r="H666" s="23" t="s">
        <v>3138</v>
      </c>
      <c r="I666" s="24" t="s">
        <v>55</v>
      </c>
      <c r="J666" s="1" t="str">
        <f t="shared" ref="J666:J669" si="95">IFERROR(VLOOKUP(E666,#REF!,8,FALSE),"")</f>
        <v/>
      </c>
      <c r="K666" s="1"/>
      <c r="L666" s="1" t="str">
        <f t="shared" si="1"/>
        <v/>
      </c>
      <c r="M666" s="1"/>
      <c r="N666" s="1"/>
      <c r="O666" s="1"/>
      <c r="P666" s="1"/>
      <c r="Q666" s="1"/>
      <c r="R666" s="1"/>
      <c r="S666" s="1"/>
      <c r="T666" s="1"/>
    </row>
    <row r="667" spans="1:20" ht="26.25" customHeight="1">
      <c r="A667" s="17">
        <f t="shared" si="0"/>
        <v>664</v>
      </c>
      <c r="B667" s="18" t="s">
        <v>81</v>
      </c>
      <c r="C667" s="31" t="s">
        <v>3139</v>
      </c>
      <c r="D667" s="19" t="s">
        <v>567</v>
      </c>
      <c r="E667" s="20" t="s">
        <v>3140</v>
      </c>
      <c r="F667" s="32" t="s">
        <v>3141</v>
      </c>
      <c r="G667" s="33" t="s">
        <v>42</v>
      </c>
      <c r="H667" s="23" t="s">
        <v>3142</v>
      </c>
      <c r="I667" s="24" t="s">
        <v>55</v>
      </c>
      <c r="J667" s="1" t="str">
        <f t="shared" si="95"/>
        <v/>
      </c>
      <c r="K667" s="1"/>
      <c r="L667" s="1" t="str">
        <f t="shared" si="1"/>
        <v/>
      </c>
      <c r="M667" s="1"/>
      <c r="N667" s="1"/>
      <c r="O667" s="1"/>
      <c r="P667" s="1"/>
      <c r="Q667" s="1"/>
      <c r="R667" s="1"/>
      <c r="S667" s="1"/>
      <c r="T667" s="1"/>
    </row>
    <row r="668" spans="1:20" ht="26.25" customHeight="1">
      <c r="A668" s="17">
        <f t="shared" si="0"/>
        <v>665</v>
      </c>
      <c r="B668" s="18" t="s">
        <v>105</v>
      </c>
      <c r="C668" s="31" t="s">
        <v>3143</v>
      </c>
      <c r="D668" s="19" t="s">
        <v>567</v>
      </c>
      <c r="E668" s="20" t="s">
        <v>568</v>
      </c>
      <c r="F668" s="32" t="s">
        <v>3144</v>
      </c>
      <c r="G668" s="33" t="s">
        <v>42</v>
      </c>
      <c r="H668" s="23" t="s">
        <v>3145</v>
      </c>
      <c r="I668" s="24" t="s">
        <v>55</v>
      </c>
      <c r="J668" s="1" t="str">
        <f t="shared" si="95"/>
        <v/>
      </c>
      <c r="K668" s="25">
        <v>3</v>
      </c>
      <c r="L668" s="1" t="str">
        <f t="shared" si="1"/>
        <v>2019 FRIC 서양</v>
      </c>
      <c r="M668" s="1"/>
      <c r="N668" s="1"/>
      <c r="O668" s="1"/>
      <c r="P668" s="1"/>
      <c r="Q668" s="1"/>
      <c r="R668" s="1"/>
      <c r="S668" s="1"/>
      <c r="T668" s="1"/>
    </row>
    <row r="669" spans="1:20" ht="26.25" customHeight="1">
      <c r="A669" s="17">
        <f t="shared" si="0"/>
        <v>666</v>
      </c>
      <c r="B669" s="18" t="s">
        <v>105</v>
      </c>
      <c r="C669" s="31" t="s">
        <v>3146</v>
      </c>
      <c r="D669" s="19" t="s">
        <v>567</v>
      </c>
      <c r="E669" s="20" t="s">
        <v>3147</v>
      </c>
      <c r="F669" s="32" t="s">
        <v>3148</v>
      </c>
      <c r="G669" s="33" t="s">
        <v>42</v>
      </c>
      <c r="H669" s="23" t="s">
        <v>3149</v>
      </c>
      <c r="I669" s="24" t="s">
        <v>55</v>
      </c>
      <c r="J669" s="1" t="str">
        <f t="shared" si="95"/>
        <v/>
      </c>
      <c r="K669" s="1"/>
      <c r="L669" s="1" t="str">
        <f t="shared" si="1"/>
        <v/>
      </c>
      <c r="M669" s="1"/>
      <c r="N669" s="1"/>
      <c r="O669" s="1"/>
      <c r="P669" s="1"/>
      <c r="Q669" s="1"/>
      <c r="R669" s="1"/>
      <c r="S669" s="1"/>
      <c r="T669" s="1"/>
    </row>
    <row r="670" spans="1:20" ht="26.25" customHeight="1">
      <c r="A670" s="17">
        <f t="shared" si="0"/>
        <v>667</v>
      </c>
      <c r="B670" s="18" t="s">
        <v>81</v>
      </c>
      <c r="C670" s="19" t="s">
        <v>3150</v>
      </c>
      <c r="D670" s="19" t="s">
        <v>1700</v>
      </c>
      <c r="E670" s="20" t="s">
        <v>3151</v>
      </c>
      <c r="F670" s="21" t="s">
        <v>905</v>
      </c>
      <c r="G670" s="33" t="s">
        <v>53</v>
      </c>
      <c r="H670" s="23" t="s">
        <v>3152</v>
      </c>
      <c r="I670" s="24" t="s">
        <v>20</v>
      </c>
      <c r="J670" s="1" t="s">
        <v>21</v>
      </c>
      <c r="K670" s="25">
        <v>3</v>
      </c>
      <c r="L670" s="1" t="str">
        <f t="shared" si="1"/>
        <v/>
      </c>
      <c r="M670" s="1"/>
      <c r="N670" s="1"/>
      <c r="O670" s="1"/>
      <c r="P670" s="1"/>
      <c r="Q670" s="1"/>
      <c r="R670" s="1"/>
      <c r="S670" s="1"/>
      <c r="T670" s="1"/>
    </row>
    <row r="671" spans="1:20" ht="26.25" customHeight="1">
      <c r="A671" s="17">
        <f t="shared" si="0"/>
        <v>668</v>
      </c>
      <c r="B671" s="18" t="s">
        <v>105</v>
      </c>
      <c r="C671" s="31" t="s">
        <v>3153</v>
      </c>
      <c r="D671" s="19" t="s">
        <v>1700</v>
      </c>
      <c r="E671" s="20" t="s">
        <v>3154</v>
      </c>
      <c r="F671" s="32" t="s">
        <v>3155</v>
      </c>
      <c r="G671" s="33" t="s">
        <v>63</v>
      </c>
      <c r="H671" s="23" t="s">
        <v>3156</v>
      </c>
      <c r="I671" s="24" t="s">
        <v>55</v>
      </c>
      <c r="J671" s="1" t="str">
        <f>IFERROR(VLOOKUP(E671,#REF!,8,FALSE),"")</f>
        <v/>
      </c>
      <c r="K671" s="1"/>
      <c r="L671" s="1" t="str">
        <f t="shared" si="1"/>
        <v/>
      </c>
      <c r="M671" s="1"/>
      <c r="N671" s="1"/>
      <c r="O671" s="1"/>
      <c r="P671" s="1"/>
      <c r="Q671" s="1"/>
      <c r="R671" s="1"/>
      <c r="S671" s="1"/>
      <c r="T671" s="1"/>
    </row>
    <row r="672" spans="1:20" ht="26.25" customHeight="1">
      <c r="A672" s="17">
        <f t="shared" si="0"/>
        <v>669</v>
      </c>
      <c r="B672" s="18" t="s">
        <v>13</v>
      </c>
      <c r="C672" s="19" t="s">
        <v>3157</v>
      </c>
      <c r="D672" s="19" t="s">
        <v>1058</v>
      </c>
      <c r="E672" s="20" t="s">
        <v>3158</v>
      </c>
      <c r="F672" s="21" t="s">
        <v>135</v>
      </c>
      <c r="G672" s="22" t="s">
        <v>42</v>
      </c>
      <c r="H672" s="23" t="s">
        <v>3159</v>
      </c>
      <c r="I672" s="24" t="s">
        <v>20</v>
      </c>
      <c r="J672" s="1" t="s">
        <v>21</v>
      </c>
      <c r="K672" s="25">
        <v>3</v>
      </c>
      <c r="L672" s="1" t="str">
        <f t="shared" si="1"/>
        <v/>
      </c>
      <c r="M672" s="1"/>
      <c r="N672" s="1"/>
      <c r="O672" s="1"/>
      <c r="P672" s="1"/>
      <c r="Q672" s="1"/>
      <c r="R672" s="1"/>
      <c r="S672" s="1"/>
      <c r="T672" s="1"/>
    </row>
    <row r="673" spans="1:20" ht="26.25" customHeight="1">
      <c r="A673" s="17">
        <f t="shared" si="0"/>
        <v>670</v>
      </c>
      <c r="B673" s="18" t="s">
        <v>105</v>
      </c>
      <c r="C673" s="19" t="s">
        <v>3160</v>
      </c>
      <c r="D673" s="19" t="s">
        <v>124</v>
      </c>
      <c r="E673" s="20" t="s">
        <v>3161</v>
      </c>
      <c r="F673" s="21" t="s">
        <v>135</v>
      </c>
      <c r="G673" s="33" t="s">
        <v>42</v>
      </c>
      <c r="H673" s="23" t="s">
        <v>3162</v>
      </c>
      <c r="I673" s="24" t="s">
        <v>20</v>
      </c>
      <c r="J673" s="1" t="s">
        <v>21</v>
      </c>
      <c r="K673" s="25">
        <v>3</v>
      </c>
      <c r="L673" s="1" t="str">
        <f t="shared" si="1"/>
        <v/>
      </c>
      <c r="M673" s="1"/>
      <c r="N673" s="1"/>
      <c r="O673" s="1"/>
      <c r="P673" s="1"/>
      <c r="Q673" s="1"/>
      <c r="R673" s="1"/>
      <c r="S673" s="1"/>
      <c r="T673" s="1"/>
    </row>
    <row r="674" spans="1:20" ht="26.25" customHeight="1">
      <c r="A674" s="17">
        <f t="shared" si="0"/>
        <v>671</v>
      </c>
      <c r="B674" s="18" t="s">
        <v>1197</v>
      </c>
      <c r="C674" s="19" t="s">
        <v>3163</v>
      </c>
      <c r="D674" s="19" t="s">
        <v>124</v>
      </c>
      <c r="E674" s="20" t="s">
        <v>3164</v>
      </c>
      <c r="F674" s="21" t="s">
        <v>135</v>
      </c>
      <c r="G674" s="33" t="s">
        <v>42</v>
      </c>
      <c r="H674" s="23" t="s">
        <v>3165</v>
      </c>
      <c r="I674" s="24" t="s">
        <v>20</v>
      </c>
      <c r="J674" s="1" t="s">
        <v>21</v>
      </c>
      <c r="K674" s="25">
        <v>3</v>
      </c>
      <c r="L674" s="1" t="str">
        <f t="shared" si="1"/>
        <v/>
      </c>
      <c r="M674" s="1"/>
      <c r="N674" s="1"/>
      <c r="O674" s="1"/>
      <c r="P674" s="1"/>
      <c r="Q674" s="1"/>
      <c r="R674" s="1"/>
      <c r="S674" s="1"/>
      <c r="T674" s="1"/>
    </row>
    <row r="675" spans="1:20" ht="26.25" customHeight="1">
      <c r="A675" s="17">
        <f t="shared" si="0"/>
        <v>672</v>
      </c>
      <c r="B675" s="18" t="s">
        <v>13</v>
      </c>
      <c r="C675" s="19" t="s">
        <v>1763</v>
      </c>
      <c r="D675" s="19" t="s">
        <v>3166</v>
      </c>
      <c r="E675" s="20" t="s">
        <v>1764</v>
      </c>
      <c r="F675" s="32" t="s">
        <v>3167</v>
      </c>
      <c r="G675" s="22" t="s">
        <v>42</v>
      </c>
      <c r="H675" s="23" t="s">
        <v>3168</v>
      </c>
      <c r="I675" s="34" t="s">
        <v>55</v>
      </c>
      <c r="J675" s="1" t="str">
        <f>IFERROR(VLOOKUP(E675,#REF!,8,FALSE),"")</f>
        <v/>
      </c>
      <c r="K675" s="25">
        <v>3</v>
      </c>
      <c r="L675" s="1" t="str">
        <f t="shared" si="1"/>
        <v>2021 FRIC 동양</v>
      </c>
      <c r="M675" s="25"/>
      <c r="N675" s="25"/>
      <c r="O675" s="25"/>
      <c r="P675" s="25"/>
      <c r="Q675" s="25"/>
      <c r="R675" s="25"/>
      <c r="S675" s="25"/>
      <c r="T675" s="25"/>
    </row>
    <row r="676" spans="1:20" ht="26.25" customHeight="1">
      <c r="A676" s="17">
        <f t="shared" si="0"/>
        <v>673</v>
      </c>
      <c r="B676" s="18" t="s">
        <v>37</v>
      </c>
      <c r="C676" s="19" t="s">
        <v>3169</v>
      </c>
      <c r="D676" s="19" t="s">
        <v>3170</v>
      </c>
      <c r="E676" s="20" t="s">
        <v>3171</v>
      </c>
      <c r="F676" s="21" t="s">
        <v>135</v>
      </c>
      <c r="G676" s="22" t="s">
        <v>53</v>
      </c>
      <c r="H676" s="23" t="s">
        <v>3172</v>
      </c>
      <c r="I676" s="24" t="s">
        <v>20</v>
      </c>
      <c r="J676" s="1" t="s">
        <v>21</v>
      </c>
      <c r="K676" s="25">
        <v>3</v>
      </c>
      <c r="L676" s="1" t="str">
        <f t="shared" si="1"/>
        <v/>
      </c>
      <c r="M676" s="1"/>
      <c r="N676" s="1"/>
      <c r="O676" s="1"/>
      <c r="P676" s="1"/>
      <c r="Q676" s="1"/>
      <c r="R676" s="1"/>
      <c r="S676" s="1"/>
      <c r="T676" s="1"/>
    </row>
    <row r="677" spans="1:20" ht="26.25" customHeight="1">
      <c r="A677" s="17">
        <f t="shared" si="0"/>
        <v>674</v>
      </c>
      <c r="B677" s="18" t="s">
        <v>132</v>
      </c>
      <c r="C677" s="31" t="s">
        <v>3173</v>
      </c>
      <c r="D677" s="19" t="s">
        <v>271</v>
      </c>
      <c r="E677" s="20" t="s">
        <v>3174</v>
      </c>
      <c r="F677" s="32" t="s">
        <v>222</v>
      </c>
      <c r="G677" s="22" t="s">
        <v>42</v>
      </c>
      <c r="H677" s="23" t="s">
        <v>3175</v>
      </c>
      <c r="I677" s="24" t="s">
        <v>55</v>
      </c>
      <c r="J677" s="1" t="str">
        <f t="shared" ref="J677:J685" si="96">IFERROR(VLOOKUP(E677,#REF!,8,FALSE),"")</f>
        <v/>
      </c>
      <c r="K677" s="1"/>
      <c r="L677" s="1" t="str">
        <f t="shared" si="1"/>
        <v/>
      </c>
      <c r="M677" s="1"/>
      <c r="N677" s="1"/>
      <c r="O677" s="1"/>
      <c r="P677" s="1"/>
      <c r="Q677" s="1"/>
      <c r="R677" s="1"/>
      <c r="S677" s="1"/>
      <c r="T677" s="1"/>
    </row>
    <row r="678" spans="1:20" ht="26.25" customHeight="1">
      <c r="A678" s="17">
        <f t="shared" si="0"/>
        <v>675</v>
      </c>
      <c r="B678" s="18" t="s">
        <v>132</v>
      </c>
      <c r="C678" s="31" t="s">
        <v>344</v>
      </c>
      <c r="D678" s="19" t="s">
        <v>181</v>
      </c>
      <c r="E678" s="20" t="s">
        <v>346</v>
      </c>
      <c r="F678" s="32" t="s">
        <v>163</v>
      </c>
      <c r="G678" s="22" t="s">
        <v>1846</v>
      </c>
      <c r="H678" s="23" t="s">
        <v>3176</v>
      </c>
      <c r="I678" s="24" t="s">
        <v>55</v>
      </c>
      <c r="J678" s="1" t="str">
        <f t="shared" si="96"/>
        <v/>
      </c>
      <c r="K678" s="25">
        <v>3</v>
      </c>
      <c r="L678" s="1" t="str">
        <f t="shared" si="1"/>
        <v>2018 FRIC 서양</v>
      </c>
      <c r="M678" s="1"/>
      <c r="N678" s="1"/>
      <c r="O678" s="1"/>
      <c r="P678" s="1"/>
      <c r="Q678" s="1"/>
      <c r="R678" s="1"/>
      <c r="S678" s="1"/>
      <c r="T678" s="1"/>
    </row>
    <row r="679" spans="1:20" ht="26.25" customHeight="1">
      <c r="A679" s="17">
        <f t="shared" si="0"/>
        <v>676</v>
      </c>
      <c r="B679" s="18" t="s">
        <v>233</v>
      </c>
      <c r="C679" s="31" t="s">
        <v>3177</v>
      </c>
      <c r="D679" s="19" t="s">
        <v>1068</v>
      </c>
      <c r="E679" s="20" t="s">
        <v>3178</v>
      </c>
      <c r="F679" s="32" t="s">
        <v>3179</v>
      </c>
      <c r="G679" s="22" t="s">
        <v>53</v>
      </c>
      <c r="H679" s="23" t="s">
        <v>3180</v>
      </c>
      <c r="I679" s="24" t="s">
        <v>55</v>
      </c>
      <c r="J679" s="1" t="str">
        <f t="shared" si="96"/>
        <v/>
      </c>
      <c r="K679" s="1"/>
      <c r="L679" s="1" t="str">
        <f t="shared" si="1"/>
        <v/>
      </c>
      <c r="M679" s="1"/>
      <c r="N679" s="1"/>
      <c r="O679" s="1"/>
      <c r="P679" s="1"/>
      <c r="Q679" s="1"/>
      <c r="R679" s="1"/>
      <c r="S679" s="1"/>
      <c r="T679" s="1"/>
    </row>
    <row r="680" spans="1:20" ht="26.25" customHeight="1">
      <c r="A680" s="17">
        <f t="shared" si="0"/>
        <v>677</v>
      </c>
      <c r="B680" s="18" t="s">
        <v>146</v>
      </c>
      <c r="C680" s="31" t="s">
        <v>3181</v>
      </c>
      <c r="D680" s="19" t="s">
        <v>3182</v>
      </c>
      <c r="E680" s="20" t="s">
        <v>3183</v>
      </c>
      <c r="F680" s="32" t="s">
        <v>222</v>
      </c>
      <c r="G680" s="33" t="s">
        <v>42</v>
      </c>
      <c r="H680" s="23" t="s">
        <v>3184</v>
      </c>
      <c r="I680" s="24" t="s">
        <v>55</v>
      </c>
      <c r="J680" s="1" t="str">
        <f t="shared" si="96"/>
        <v/>
      </c>
      <c r="K680" s="1"/>
      <c r="L680" s="1" t="str">
        <f t="shared" si="1"/>
        <v/>
      </c>
      <c r="M680" s="1"/>
      <c r="N680" s="1"/>
      <c r="O680" s="1"/>
      <c r="P680" s="1"/>
      <c r="Q680" s="1"/>
      <c r="R680" s="1"/>
      <c r="S680" s="1"/>
      <c r="T680" s="1"/>
    </row>
    <row r="681" spans="1:20" ht="26.25" customHeight="1">
      <c r="A681" s="17">
        <f t="shared" si="0"/>
        <v>678</v>
      </c>
      <c r="B681" s="18" t="s">
        <v>146</v>
      </c>
      <c r="C681" s="31" t="s">
        <v>3185</v>
      </c>
      <c r="D681" s="19" t="s">
        <v>3182</v>
      </c>
      <c r="E681" s="20" t="s">
        <v>3186</v>
      </c>
      <c r="F681" s="32" t="s">
        <v>222</v>
      </c>
      <c r="G681" s="33" t="s">
        <v>42</v>
      </c>
      <c r="H681" s="23" t="s">
        <v>3187</v>
      </c>
      <c r="I681" s="24" t="s">
        <v>55</v>
      </c>
      <c r="J681" s="1" t="str">
        <f t="shared" si="96"/>
        <v/>
      </c>
      <c r="K681" s="1"/>
      <c r="L681" s="1" t="str">
        <f t="shared" si="1"/>
        <v/>
      </c>
      <c r="M681" s="1"/>
      <c r="N681" s="1"/>
      <c r="O681" s="1"/>
      <c r="P681" s="1"/>
      <c r="Q681" s="1"/>
      <c r="R681" s="1"/>
      <c r="S681" s="1"/>
      <c r="T681" s="1"/>
    </row>
    <row r="682" spans="1:20" ht="26.25" customHeight="1">
      <c r="A682" s="17">
        <f t="shared" si="0"/>
        <v>679</v>
      </c>
      <c r="B682" s="18" t="s">
        <v>146</v>
      </c>
      <c r="C682" s="31" t="s">
        <v>3188</v>
      </c>
      <c r="D682" s="19" t="s">
        <v>3182</v>
      </c>
      <c r="E682" s="20" t="s">
        <v>3189</v>
      </c>
      <c r="F682" s="32" t="s">
        <v>222</v>
      </c>
      <c r="G682" s="33" t="s">
        <v>42</v>
      </c>
      <c r="H682" s="23" t="s">
        <v>3190</v>
      </c>
      <c r="I682" s="24" t="s">
        <v>55</v>
      </c>
      <c r="J682" s="1" t="str">
        <f t="shared" si="96"/>
        <v/>
      </c>
      <c r="K682" s="1"/>
      <c r="L682" s="1" t="str">
        <f t="shared" si="1"/>
        <v/>
      </c>
      <c r="M682" s="1"/>
      <c r="N682" s="1"/>
      <c r="O682" s="1"/>
      <c r="P682" s="1"/>
      <c r="Q682" s="1"/>
      <c r="R682" s="1"/>
      <c r="S682" s="1"/>
      <c r="T682" s="1"/>
    </row>
    <row r="683" spans="1:20" ht="26.25" customHeight="1">
      <c r="A683" s="17">
        <f t="shared" si="0"/>
        <v>680</v>
      </c>
      <c r="B683" s="18" t="s">
        <v>146</v>
      </c>
      <c r="C683" s="31" t="s">
        <v>3191</v>
      </c>
      <c r="D683" s="19" t="s">
        <v>3182</v>
      </c>
      <c r="E683" s="20" t="s">
        <v>3192</v>
      </c>
      <c r="F683" s="32" t="s">
        <v>222</v>
      </c>
      <c r="G683" s="33" t="s">
        <v>42</v>
      </c>
      <c r="H683" s="23" t="s">
        <v>3193</v>
      </c>
      <c r="I683" s="24" t="s">
        <v>55</v>
      </c>
      <c r="J683" s="1" t="str">
        <f t="shared" si="96"/>
        <v/>
      </c>
      <c r="K683" s="1"/>
      <c r="L683" s="1" t="str">
        <f t="shared" si="1"/>
        <v/>
      </c>
      <c r="M683" s="1"/>
      <c r="N683" s="1"/>
      <c r="O683" s="1"/>
      <c r="P683" s="1"/>
      <c r="Q683" s="1"/>
      <c r="R683" s="1"/>
      <c r="S683" s="1"/>
      <c r="T683" s="1"/>
    </row>
    <row r="684" spans="1:20" ht="26.25" customHeight="1">
      <c r="A684" s="17">
        <f t="shared" si="0"/>
        <v>681</v>
      </c>
      <c r="B684" s="18" t="s">
        <v>3194</v>
      </c>
      <c r="C684" s="31" t="s">
        <v>3195</v>
      </c>
      <c r="D684" s="19" t="s">
        <v>3196</v>
      </c>
      <c r="E684" s="20" t="s">
        <v>3197</v>
      </c>
      <c r="F684" s="32" t="s">
        <v>3198</v>
      </c>
      <c r="G684" s="33" t="s">
        <v>18</v>
      </c>
      <c r="H684" s="23" t="s">
        <v>3199</v>
      </c>
      <c r="I684" s="24" t="s">
        <v>55</v>
      </c>
      <c r="J684" s="1" t="str">
        <f t="shared" si="96"/>
        <v/>
      </c>
      <c r="K684" s="1"/>
      <c r="L684" s="1" t="str">
        <f t="shared" si="1"/>
        <v/>
      </c>
      <c r="M684" s="1"/>
      <c r="N684" s="1"/>
      <c r="O684" s="1"/>
      <c r="P684" s="1"/>
      <c r="Q684" s="1"/>
      <c r="R684" s="1"/>
      <c r="S684" s="1"/>
      <c r="T684" s="1"/>
    </row>
    <row r="685" spans="1:20" ht="26.25" customHeight="1">
      <c r="A685" s="17">
        <f t="shared" si="0"/>
        <v>682</v>
      </c>
      <c r="B685" s="18" t="s">
        <v>37</v>
      </c>
      <c r="C685" s="31" t="s">
        <v>1228</v>
      </c>
      <c r="D685" s="19" t="s">
        <v>1229</v>
      </c>
      <c r="E685" s="20" t="s">
        <v>1230</v>
      </c>
      <c r="F685" s="32" t="s">
        <v>170</v>
      </c>
      <c r="G685" s="22" t="s">
        <v>53</v>
      </c>
      <c r="H685" s="23" t="s">
        <v>3200</v>
      </c>
      <c r="I685" s="24" t="s">
        <v>55</v>
      </c>
      <c r="J685" s="1" t="str">
        <f t="shared" si="96"/>
        <v/>
      </c>
      <c r="K685" s="25">
        <v>3</v>
      </c>
      <c r="L685" s="1" t="str">
        <f t="shared" si="1"/>
        <v>2020 FRIC 서양</v>
      </c>
      <c r="M685" s="1"/>
      <c r="N685" s="1"/>
      <c r="O685" s="1"/>
      <c r="P685" s="1"/>
      <c r="Q685" s="1"/>
      <c r="R685" s="1"/>
      <c r="S685" s="1"/>
      <c r="T685" s="1"/>
    </row>
    <row r="686" spans="1:20" ht="26.25" customHeight="1">
      <c r="A686" s="17">
        <f t="shared" si="0"/>
        <v>683</v>
      </c>
      <c r="B686" s="18" t="s">
        <v>105</v>
      </c>
      <c r="C686" s="31" t="s">
        <v>3201</v>
      </c>
      <c r="D686" s="19" t="s">
        <v>3202</v>
      </c>
      <c r="E686" s="20" t="s">
        <v>3203</v>
      </c>
      <c r="F686" s="21" t="s">
        <v>126</v>
      </c>
      <c r="G686" s="33" t="s">
        <v>42</v>
      </c>
      <c r="H686" s="23" t="s">
        <v>3204</v>
      </c>
      <c r="I686" s="34" t="s">
        <v>20</v>
      </c>
      <c r="J686" s="1" t="s">
        <v>87</v>
      </c>
      <c r="K686" s="25">
        <v>4</v>
      </c>
      <c r="L686" s="1" t="str">
        <f t="shared" si="1"/>
        <v/>
      </c>
      <c r="M686" s="25"/>
      <c r="N686" s="25"/>
      <c r="O686" s="25"/>
      <c r="P686" s="25"/>
      <c r="Q686" s="25"/>
      <c r="R686" s="25"/>
      <c r="S686" s="25"/>
      <c r="T686" s="25"/>
    </row>
    <row r="687" spans="1:20" ht="26.25" customHeight="1">
      <c r="A687" s="17">
        <f t="shared" si="0"/>
        <v>684</v>
      </c>
      <c r="B687" s="18" t="s">
        <v>105</v>
      </c>
      <c r="C687" s="31" t="s">
        <v>3205</v>
      </c>
      <c r="D687" s="19" t="s">
        <v>3206</v>
      </c>
      <c r="E687" s="20" t="s">
        <v>3207</v>
      </c>
      <c r="F687" s="32" t="s">
        <v>3208</v>
      </c>
      <c r="G687" s="33" t="s">
        <v>31</v>
      </c>
      <c r="H687" s="23" t="s">
        <v>3209</v>
      </c>
      <c r="I687" s="24" t="s">
        <v>55</v>
      </c>
      <c r="J687" s="1" t="str">
        <f>IFERROR(VLOOKUP(E687,#REF!,8,FALSE),"")</f>
        <v/>
      </c>
      <c r="K687" s="1"/>
      <c r="L687" s="1" t="str">
        <f t="shared" si="1"/>
        <v/>
      </c>
      <c r="M687" s="1"/>
      <c r="N687" s="1"/>
      <c r="O687" s="1"/>
      <c r="P687" s="1"/>
      <c r="Q687" s="1"/>
      <c r="R687" s="1"/>
      <c r="S687" s="1"/>
      <c r="T687" s="1"/>
    </row>
    <row r="688" spans="1:20" ht="26.25" customHeight="1">
      <c r="A688" s="17">
        <f t="shared" si="0"/>
        <v>685</v>
      </c>
      <c r="B688" s="18" t="s">
        <v>37</v>
      </c>
      <c r="C688" s="19" t="s">
        <v>3210</v>
      </c>
      <c r="D688" s="19" t="s">
        <v>1058</v>
      </c>
      <c r="E688" s="20" t="s">
        <v>3211</v>
      </c>
      <c r="F688" s="21" t="s">
        <v>135</v>
      </c>
      <c r="G688" s="22" t="s">
        <v>42</v>
      </c>
      <c r="H688" s="23" t="s">
        <v>3212</v>
      </c>
      <c r="I688" s="24" t="s">
        <v>20</v>
      </c>
      <c r="J688" s="1" t="s">
        <v>21</v>
      </c>
      <c r="K688" s="25">
        <v>3</v>
      </c>
      <c r="L688" s="1" t="str">
        <f t="shared" si="1"/>
        <v/>
      </c>
      <c r="M688" s="1"/>
      <c r="N688" s="1"/>
      <c r="O688" s="1"/>
      <c r="P688" s="1"/>
      <c r="Q688" s="1"/>
      <c r="R688" s="1"/>
      <c r="S688" s="1"/>
      <c r="T688" s="1"/>
    </row>
    <row r="689" spans="1:20" ht="26.25" customHeight="1">
      <c r="A689" s="17">
        <f t="shared" si="0"/>
        <v>686</v>
      </c>
      <c r="B689" s="18" t="s">
        <v>248</v>
      </c>
      <c r="C689" s="83" t="s">
        <v>1470</v>
      </c>
      <c r="D689" s="83" t="s">
        <v>196</v>
      </c>
      <c r="E689" s="43" t="s">
        <v>1471</v>
      </c>
      <c r="F689" s="44" t="s">
        <v>3213</v>
      </c>
      <c r="G689" s="22" t="s">
        <v>42</v>
      </c>
      <c r="H689" s="59" t="s">
        <v>3214</v>
      </c>
      <c r="I689" s="34" t="s">
        <v>55</v>
      </c>
      <c r="J689" s="1" t="str">
        <f>IFERROR(VLOOKUP(E689,#REF!,8,FALSE),"")</f>
        <v/>
      </c>
      <c r="K689" s="25">
        <v>4</v>
      </c>
      <c r="L689" s="1" t="str">
        <f t="shared" si="1"/>
        <v>2021 과기 서양</v>
      </c>
      <c r="M689" s="25"/>
      <c r="N689" s="25"/>
      <c r="O689" s="25"/>
      <c r="P689" s="25"/>
      <c r="Q689" s="25"/>
      <c r="R689" s="25"/>
      <c r="S689" s="25"/>
      <c r="T689" s="25"/>
    </row>
    <row r="690" spans="1:20" ht="26.25" customHeight="1">
      <c r="A690" s="17">
        <f t="shared" si="0"/>
        <v>687</v>
      </c>
      <c r="B690" s="18" t="s">
        <v>132</v>
      </c>
      <c r="C690" s="19" t="s">
        <v>3215</v>
      </c>
      <c r="D690" s="19" t="s">
        <v>1058</v>
      </c>
      <c r="E690" s="20" t="s">
        <v>3216</v>
      </c>
      <c r="F690" s="21" t="s">
        <v>135</v>
      </c>
      <c r="G690" s="22" t="s">
        <v>42</v>
      </c>
      <c r="H690" s="23" t="s">
        <v>3217</v>
      </c>
      <c r="I690" s="24" t="s">
        <v>20</v>
      </c>
      <c r="J690" s="1" t="s">
        <v>21</v>
      </c>
      <c r="K690" s="25">
        <v>3</v>
      </c>
      <c r="L690" s="1" t="str">
        <f t="shared" si="1"/>
        <v/>
      </c>
      <c r="M690" s="1"/>
      <c r="N690" s="1"/>
      <c r="O690" s="1"/>
      <c r="P690" s="1"/>
      <c r="Q690" s="1"/>
      <c r="R690" s="1"/>
      <c r="S690" s="1"/>
      <c r="T690" s="1"/>
    </row>
    <row r="691" spans="1:20" ht="26.25" customHeight="1">
      <c r="A691" s="17">
        <f t="shared" si="0"/>
        <v>688</v>
      </c>
      <c r="B691" s="18" t="s">
        <v>13</v>
      </c>
      <c r="C691" s="19" t="s">
        <v>3218</v>
      </c>
      <c r="D691" s="19" t="s">
        <v>124</v>
      </c>
      <c r="E691" s="20" t="s">
        <v>3219</v>
      </c>
      <c r="F691" s="21" t="s">
        <v>135</v>
      </c>
      <c r="G691" s="22" t="s">
        <v>42</v>
      </c>
      <c r="H691" s="23" t="s">
        <v>3220</v>
      </c>
      <c r="I691" s="24" t="s">
        <v>20</v>
      </c>
      <c r="J691" s="1" t="s">
        <v>21</v>
      </c>
      <c r="K691" s="25">
        <v>3</v>
      </c>
      <c r="L691" s="1" t="str">
        <f t="shared" si="1"/>
        <v/>
      </c>
      <c r="M691" s="1"/>
      <c r="N691" s="1"/>
      <c r="O691" s="1"/>
      <c r="P691" s="1"/>
      <c r="Q691" s="1"/>
      <c r="R691" s="1"/>
      <c r="S691" s="1"/>
      <c r="T691" s="1"/>
    </row>
    <row r="692" spans="1:20" ht="26.25" customHeight="1">
      <c r="A692" s="17">
        <f t="shared" si="0"/>
        <v>689</v>
      </c>
      <c r="B692" s="18" t="s">
        <v>175</v>
      </c>
      <c r="C692" s="19" t="s">
        <v>3221</v>
      </c>
      <c r="D692" s="19" t="s">
        <v>141</v>
      </c>
      <c r="E692" s="20" t="s">
        <v>3222</v>
      </c>
      <c r="F692" s="21" t="s">
        <v>905</v>
      </c>
      <c r="G692" s="33" t="s">
        <v>42</v>
      </c>
      <c r="H692" s="23" t="s">
        <v>3223</v>
      </c>
      <c r="I692" s="24" t="s">
        <v>20</v>
      </c>
      <c r="J692" s="1" t="s">
        <v>21</v>
      </c>
      <c r="K692" s="25">
        <v>3</v>
      </c>
      <c r="L692" s="1" t="str">
        <f t="shared" si="1"/>
        <v/>
      </c>
      <c r="M692" s="1"/>
      <c r="N692" s="1"/>
      <c r="O692" s="1"/>
      <c r="P692" s="1"/>
      <c r="Q692" s="1"/>
      <c r="R692" s="1"/>
      <c r="S692" s="1"/>
      <c r="T692" s="1"/>
    </row>
    <row r="693" spans="1:20" ht="26.25" customHeight="1">
      <c r="A693" s="17">
        <f t="shared" si="0"/>
        <v>690</v>
      </c>
      <c r="B693" s="18" t="s">
        <v>13</v>
      </c>
      <c r="C693" s="31" t="s">
        <v>180</v>
      </c>
      <c r="D693" s="19" t="s">
        <v>1045</v>
      </c>
      <c r="E693" s="20" t="s">
        <v>182</v>
      </c>
      <c r="F693" s="32" t="s">
        <v>222</v>
      </c>
      <c r="G693" s="22" t="s">
        <v>53</v>
      </c>
      <c r="H693" s="23" t="s">
        <v>3224</v>
      </c>
      <c r="I693" s="24" t="s">
        <v>55</v>
      </c>
      <c r="J693" s="1" t="str">
        <f>IFERROR(VLOOKUP(E693,#REF!,8,FALSE),"")</f>
        <v/>
      </c>
      <c r="K693" s="25">
        <v>3</v>
      </c>
      <c r="L693" s="1" t="str">
        <f t="shared" si="1"/>
        <v>2016 FRIC 서양</v>
      </c>
      <c r="M693" s="1"/>
      <c r="N693" s="1"/>
      <c r="O693" s="1"/>
      <c r="P693" s="1"/>
      <c r="Q693" s="1"/>
      <c r="R693" s="1"/>
      <c r="S693" s="1"/>
      <c r="T693" s="1"/>
    </row>
    <row r="694" spans="1:20" ht="26.25" customHeight="1">
      <c r="A694" s="17">
        <f t="shared" si="0"/>
        <v>691</v>
      </c>
      <c r="B694" s="18" t="s">
        <v>248</v>
      </c>
      <c r="C694" s="19" t="s">
        <v>3225</v>
      </c>
      <c r="D694" s="19" t="s">
        <v>124</v>
      </c>
      <c r="E694" s="20" t="s">
        <v>3226</v>
      </c>
      <c r="F694" s="21" t="s">
        <v>135</v>
      </c>
      <c r="G694" s="33" t="s">
        <v>42</v>
      </c>
      <c r="H694" s="23" t="s">
        <v>3227</v>
      </c>
      <c r="I694" s="24" t="s">
        <v>20</v>
      </c>
      <c r="J694" s="1" t="s">
        <v>21</v>
      </c>
      <c r="K694" s="25">
        <v>3</v>
      </c>
      <c r="L694" s="1" t="str">
        <f t="shared" si="1"/>
        <v/>
      </c>
      <c r="M694" s="1"/>
      <c r="N694" s="1"/>
      <c r="O694" s="1"/>
      <c r="P694" s="1"/>
      <c r="Q694" s="1"/>
      <c r="R694" s="1"/>
      <c r="S694" s="1"/>
      <c r="T694" s="1"/>
    </row>
    <row r="695" spans="1:20" ht="26.25" customHeight="1">
      <c r="A695" s="17">
        <f t="shared" si="0"/>
        <v>692</v>
      </c>
      <c r="B695" s="18" t="s">
        <v>3194</v>
      </c>
      <c r="C695" s="19" t="s">
        <v>3228</v>
      </c>
      <c r="D695" s="19" t="s">
        <v>3229</v>
      </c>
      <c r="E695" s="20" t="s">
        <v>3230</v>
      </c>
      <c r="F695" s="21" t="s">
        <v>135</v>
      </c>
      <c r="G695" s="33" t="s">
        <v>2018</v>
      </c>
      <c r="H695" s="23" t="s">
        <v>3231</v>
      </c>
      <c r="I695" s="24" t="s">
        <v>20</v>
      </c>
      <c r="J695" s="1" t="s">
        <v>21</v>
      </c>
      <c r="K695" s="25">
        <v>3</v>
      </c>
      <c r="L695" s="1" t="str">
        <f t="shared" si="1"/>
        <v/>
      </c>
      <c r="M695" s="1"/>
      <c r="N695" s="1"/>
      <c r="O695" s="1"/>
      <c r="P695" s="1"/>
      <c r="Q695" s="1"/>
      <c r="R695" s="1"/>
      <c r="S695" s="1"/>
      <c r="T695" s="1"/>
    </row>
    <row r="696" spans="1:20" ht="26.25" customHeight="1">
      <c r="A696" s="17">
        <f t="shared" si="0"/>
        <v>693</v>
      </c>
      <c r="B696" s="18" t="s">
        <v>13</v>
      </c>
      <c r="C696" s="31" t="s">
        <v>3232</v>
      </c>
      <c r="D696" s="19" t="s">
        <v>124</v>
      </c>
      <c r="E696" s="20" t="s">
        <v>3233</v>
      </c>
      <c r="F696" s="32" t="s">
        <v>3234</v>
      </c>
      <c r="G696" s="22" t="s">
        <v>18</v>
      </c>
      <c r="H696" s="23" t="s">
        <v>3235</v>
      </c>
      <c r="I696" s="24" t="s">
        <v>55</v>
      </c>
      <c r="J696" s="1" t="str">
        <f>IFERROR(VLOOKUP(E696,#REF!,8,FALSE),"")</f>
        <v/>
      </c>
      <c r="K696" s="1"/>
      <c r="L696" s="1" t="str">
        <f t="shared" si="1"/>
        <v/>
      </c>
      <c r="M696" s="1"/>
      <c r="N696" s="1"/>
      <c r="O696" s="1"/>
      <c r="P696" s="1"/>
      <c r="Q696" s="1"/>
      <c r="R696" s="1"/>
      <c r="S696" s="1"/>
      <c r="T696" s="1"/>
    </row>
    <row r="697" spans="1:20" ht="26.25" customHeight="1">
      <c r="A697" s="17">
        <f t="shared" si="0"/>
        <v>694</v>
      </c>
      <c r="B697" s="18" t="s">
        <v>27</v>
      </c>
      <c r="C697" s="19" t="s">
        <v>3236</v>
      </c>
      <c r="D697" s="19" t="s">
        <v>3237</v>
      </c>
      <c r="E697" s="20" t="s">
        <v>3238</v>
      </c>
      <c r="F697" s="21" t="s">
        <v>135</v>
      </c>
      <c r="G697" s="22" t="s">
        <v>42</v>
      </c>
      <c r="H697" s="23" t="s">
        <v>3239</v>
      </c>
      <c r="I697" s="24" t="s">
        <v>20</v>
      </c>
      <c r="J697" s="1" t="s">
        <v>21</v>
      </c>
      <c r="K697" s="25">
        <v>3</v>
      </c>
      <c r="L697" s="1" t="str">
        <f t="shared" si="1"/>
        <v/>
      </c>
      <c r="M697" s="1"/>
      <c r="N697" s="1"/>
      <c r="O697" s="1"/>
      <c r="P697" s="1"/>
      <c r="Q697" s="1"/>
      <c r="R697" s="1"/>
      <c r="S697" s="1"/>
      <c r="T697" s="1"/>
    </row>
    <row r="698" spans="1:20" ht="26.25" customHeight="1">
      <c r="A698" s="17">
        <f t="shared" si="0"/>
        <v>695</v>
      </c>
      <c r="B698" s="18" t="s">
        <v>37</v>
      </c>
      <c r="C698" s="19" t="s">
        <v>3240</v>
      </c>
      <c r="D698" s="19" t="s">
        <v>1776</v>
      </c>
      <c r="E698" s="20" t="s">
        <v>3241</v>
      </c>
      <c r="F698" s="21" t="s">
        <v>135</v>
      </c>
      <c r="G698" s="22" t="s">
        <v>42</v>
      </c>
      <c r="H698" s="23" t="s">
        <v>3242</v>
      </c>
      <c r="I698" s="24" t="s">
        <v>20</v>
      </c>
      <c r="J698" s="1" t="s">
        <v>87</v>
      </c>
      <c r="K698" s="25">
        <v>4</v>
      </c>
      <c r="L698" s="1" t="str">
        <f t="shared" si="1"/>
        <v/>
      </c>
      <c r="M698" s="1"/>
      <c r="N698" s="1"/>
      <c r="O698" s="1"/>
      <c r="P698" s="1"/>
      <c r="Q698" s="1"/>
      <c r="R698" s="1"/>
      <c r="S698" s="1"/>
      <c r="T698" s="1"/>
    </row>
    <row r="699" spans="1:20" ht="26.25" customHeight="1">
      <c r="A699" s="17">
        <f t="shared" si="0"/>
        <v>696</v>
      </c>
      <c r="B699" s="18" t="s">
        <v>13</v>
      </c>
      <c r="C699" s="31" t="s">
        <v>3243</v>
      </c>
      <c r="D699" s="19" t="s">
        <v>124</v>
      </c>
      <c r="E699" s="20" t="s">
        <v>3244</v>
      </c>
      <c r="F699" s="32" t="s">
        <v>222</v>
      </c>
      <c r="G699" s="22" t="s">
        <v>42</v>
      </c>
      <c r="H699" s="23" t="s">
        <v>3245</v>
      </c>
      <c r="I699" s="24" t="s">
        <v>55</v>
      </c>
      <c r="J699" s="1" t="str">
        <f t="shared" ref="J699:J703" si="97">IFERROR(VLOOKUP(E699,#REF!,8,FALSE),"")</f>
        <v/>
      </c>
      <c r="K699" s="1"/>
      <c r="L699" s="1" t="str">
        <f t="shared" si="1"/>
        <v/>
      </c>
      <c r="M699" s="1"/>
      <c r="N699" s="1"/>
      <c r="O699" s="1"/>
      <c r="P699" s="1"/>
      <c r="Q699" s="1"/>
      <c r="R699" s="1"/>
      <c r="S699" s="1"/>
      <c r="T699" s="1"/>
    </row>
    <row r="700" spans="1:20" ht="26.25" customHeight="1">
      <c r="A700" s="17">
        <f t="shared" si="0"/>
        <v>697</v>
      </c>
      <c r="B700" s="18" t="s">
        <v>105</v>
      </c>
      <c r="C700" s="31" t="s">
        <v>3246</v>
      </c>
      <c r="D700" s="19" t="s">
        <v>3247</v>
      </c>
      <c r="E700" s="20" t="s">
        <v>3248</v>
      </c>
      <c r="F700" s="32" t="s">
        <v>3249</v>
      </c>
      <c r="G700" s="33" t="s">
        <v>53</v>
      </c>
      <c r="H700" s="23" t="s">
        <v>3250</v>
      </c>
      <c r="I700" s="24" t="s">
        <v>55</v>
      </c>
      <c r="J700" s="1" t="str">
        <f t="shared" si="97"/>
        <v/>
      </c>
      <c r="K700" s="1"/>
      <c r="L700" s="1" t="str">
        <f t="shared" si="1"/>
        <v/>
      </c>
      <c r="M700" s="1"/>
      <c r="N700" s="1"/>
      <c r="O700" s="1"/>
      <c r="P700" s="1"/>
      <c r="Q700" s="1"/>
      <c r="R700" s="1"/>
      <c r="S700" s="1"/>
      <c r="T700" s="1"/>
    </row>
    <row r="701" spans="1:20" ht="26.25" customHeight="1">
      <c r="A701" s="17">
        <f t="shared" si="0"/>
        <v>698</v>
      </c>
      <c r="B701" s="18" t="s">
        <v>27</v>
      </c>
      <c r="C701" s="31" t="s">
        <v>3251</v>
      </c>
      <c r="D701" s="19" t="s">
        <v>3252</v>
      </c>
      <c r="E701" s="20" t="s">
        <v>3253</v>
      </c>
      <c r="F701" s="32" t="s">
        <v>1101</v>
      </c>
      <c r="G701" s="22" t="s">
        <v>42</v>
      </c>
      <c r="H701" s="23" t="s">
        <v>3254</v>
      </c>
      <c r="I701" s="24" t="s">
        <v>55</v>
      </c>
      <c r="J701" s="1" t="str">
        <f t="shared" si="97"/>
        <v/>
      </c>
      <c r="K701" s="1"/>
      <c r="L701" s="1" t="str">
        <f t="shared" si="1"/>
        <v/>
      </c>
      <c r="M701" s="1"/>
      <c r="N701" s="1"/>
      <c r="O701" s="1"/>
      <c r="P701" s="1"/>
      <c r="Q701" s="1"/>
      <c r="R701" s="1"/>
      <c r="S701" s="1"/>
      <c r="T701" s="1"/>
    </row>
    <row r="702" spans="1:20" ht="26.25" customHeight="1">
      <c r="A702" s="17">
        <f t="shared" si="0"/>
        <v>699</v>
      </c>
      <c r="B702" s="18" t="s">
        <v>175</v>
      </c>
      <c r="C702" s="31" t="s">
        <v>3255</v>
      </c>
      <c r="D702" s="19" t="s">
        <v>3256</v>
      </c>
      <c r="E702" s="20" t="s">
        <v>3257</v>
      </c>
      <c r="F702" s="32" t="s">
        <v>3258</v>
      </c>
      <c r="G702" s="33" t="s">
        <v>42</v>
      </c>
      <c r="H702" s="23" t="s">
        <v>3259</v>
      </c>
      <c r="I702" s="24" t="s">
        <v>55</v>
      </c>
      <c r="J702" s="1" t="str">
        <f t="shared" si="97"/>
        <v/>
      </c>
      <c r="K702" s="1"/>
      <c r="L702" s="1" t="str">
        <f t="shared" si="1"/>
        <v/>
      </c>
      <c r="M702" s="1"/>
      <c r="N702" s="1"/>
      <c r="O702" s="1"/>
      <c r="P702" s="1"/>
      <c r="Q702" s="1"/>
      <c r="R702" s="1"/>
      <c r="S702" s="1"/>
      <c r="T702" s="1"/>
    </row>
    <row r="703" spans="1:20" ht="26.25" customHeight="1">
      <c r="A703" s="17">
        <f t="shared" si="0"/>
        <v>700</v>
      </c>
      <c r="B703" s="18" t="s">
        <v>48</v>
      </c>
      <c r="C703" s="31" t="s">
        <v>3260</v>
      </c>
      <c r="D703" s="19" t="s">
        <v>3261</v>
      </c>
      <c r="E703" s="20" t="s">
        <v>671</v>
      </c>
      <c r="F703" s="32" t="s">
        <v>496</v>
      </c>
      <c r="G703" s="33" t="s">
        <v>53</v>
      </c>
      <c r="H703" s="23" t="s">
        <v>3262</v>
      </c>
      <c r="I703" s="24" t="s">
        <v>55</v>
      </c>
      <c r="J703" s="1" t="str">
        <f t="shared" si="97"/>
        <v/>
      </c>
      <c r="K703" s="25">
        <v>3</v>
      </c>
      <c r="L703" s="1" t="str">
        <f t="shared" si="1"/>
        <v>2019 FRIC 서양</v>
      </c>
      <c r="M703" s="1"/>
      <c r="N703" s="1"/>
      <c r="O703" s="1"/>
      <c r="P703" s="1"/>
      <c r="Q703" s="1"/>
      <c r="R703" s="1"/>
      <c r="S703" s="1"/>
      <c r="T703" s="1"/>
    </row>
    <row r="704" spans="1:20" ht="26.25" customHeight="1">
      <c r="A704" s="17">
        <f t="shared" si="0"/>
        <v>701</v>
      </c>
      <c r="B704" s="18" t="s">
        <v>27</v>
      </c>
      <c r="C704" s="19" t="s">
        <v>3263</v>
      </c>
      <c r="D704" s="19" t="s">
        <v>3264</v>
      </c>
      <c r="E704" s="20" t="s">
        <v>3265</v>
      </c>
      <c r="F704" s="21" t="s">
        <v>3266</v>
      </c>
      <c r="G704" s="22" t="s">
        <v>53</v>
      </c>
      <c r="H704" s="23" t="s">
        <v>3267</v>
      </c>
      <c r="I704" s="24" t="s">
        <v>20</v>
      </c>
      <c r="J704" s="1" t="s">
        <v>21</v>
      </c>
      <c r="K704" s="25">
        <v>3</v>
      </c>
      <c r="L704" s="1" t="str">
        <f t="shared" si="1"/>
        <v/>
      </c>
      <c r="M704" s="1"/>
      <c r="N704" s="1"/>
      <c r="O704" s="1"/>
      <c r="P704" s="1"/>
      <c r="Q704" s="1"/>
      <c r="R704" s="1"/>
      <c r="S704" s="1"/>
      <c r="T704" s="1"/>
    </row>
    <row r="705" spans="1:20" ht="26.25" customHeight="1">
      <c r="A705" s="17">
        <f t="shared" si="0"/>
        <v>702</v>
      </c>
      <c r="B705" s="18" t="s">
        <v>37</v>
      </c>
      <c r="C705" s="19" t="s">
        <v>3268</v>
      </c>
      <c r="D705" s="19" t="s">
        <v>2664</v>
      </c>
      <c r="E705" s="20" t="s">
        <v>3269</v>
      </c>
      <c r="F705" s="21" t="s">
        <v>135</v>
      </c>
      <c r="G705" s="22" t="s">
        <v>53</v>
      </c>
      <c r="H705" s="23" t="s">
        <v>3270</v>
      </c>
      <c r="I705" s="24" t="s">
        <v>20</v>
      </c>
      <c r="J705" s="1" t="s">
        <v>21</v>
      </c>
      <c r="K705" s="25">
        <v>3</v>
      </c>
      <c r="L705" s="1" t="str">
        <f t="shared" si="1"/>
        <v/>
      </c>
      <c r="M705" s="1"/>
      <c r="N705" s="1"/>
      <c r="O705" s="1"/>
      <c r="P705" s="1"/>
      <c r="Q705" s="1"/>
      <c r="R705" s="1"/>
      <c r="S705" s="1"/>
      <c r="T705" s="1"/>
    </row>
    <row r="706" spans="1:20" ht="26.25" customHeight="1">
      <c r="A706" s="17">
        <f t="shared" si="0"/>
        <v>703</v>
      </c>
      <c r="B706" s="18" t="s">
        <v>132</v>
      </c>
      <c r="C706" s="19" t="s">
        <v>3271</v>
      </c>
      <c r="D706" s="19" t="s">
        <v>3272</v>
      </c>
      <c r="E706" s="20" t="s">
        <v>3273</v>
      </c>
      <c r="F706" s="21" t="s">
        <v>135</v>
      </c>
      <c r="G706" s="22" t="s">
        <v>42</v>
      </c>
      <c r="H706" s="23" t="s">
        <v>3274</v>
      </c>
      <c r="I706" s="24" t="s">
        <v>20</v>
      </c>
      <c r="J706" s="1" t="s">
        <v>21</v>
      </c>
      <c r="K706" s="25">
        <v>3</v>
      </c>
      <c r="L706" s="1" t="str">
        <f t="shared" si="1"/>
        <v/>
      </c>
      <c r="M706" s="1"/>
      <c r="N706" s="1"/>
      <c r="O706" s="1"/>
      <c r="P706" s="1"/>
      <c r="Q706" s="1"/>
      <c r="R706" s="1"/>
      <c r="S706" s="1"/>
      <c r="T706" s="1"/>
    </row>
    <row r="707" spans="1:20" ht="26.25" customHeight="1">
      <c r="A707" s="17">
        <f t="shared" si="0"/>
        <v>704</v>
      </c>
      <c r="B707" s="18" t="s">
        <v>1375</v>
      </c>
      <c r="C707" s="31" t="s">
        <v>3275</v>
      </c>
      <c r="D707" s="19" t="s">
        <v>3276</v>
      </c>
      <c r="E707" s="20" t="s">
        <v>3277</v>
      </c>
      <c r="F707" s="32" t="s">
        <v>3278</v>
      </c>
      <c r="G707" s="22" t="s">
        <v>53</v>
      </c>
      <c r="H707" s="23" t="s">
        <v>3279</v>
      </c>
      <c r="I707" s="24" t="s">
        <v>55</v>
      </c>
      <c r="J707" s="1" t="str">
        <f>IFERROR(VLOOKUP(E707,#REF!,8,FALSE),"")</f>
        <v/>
      </c>
      <c r="K707" s="1"/>
      <c r="L707" s="1" t="str">
        <f t="shared" si="1"/>
        <v/>
      </c>
      <c r="M707" s="1"/>
      <c r="N707" s="1"/>
      <c r="O707" s="1"/>
      <c r="P707" s="1"/>
      <c r="Q707" s="1"/>
      <c r="R707" s="1"/>
      <c r="S707" s="1"/>
      <c r="T707" s="1"/>
    </row>
    <row r="708" spans="1:20" ht="26.25" customHeight="1">
      <c r="A708" s="17">
        <f t="shared" si="0"/>
        <v>705</v>
      </c>
      <c r="B708" s="18" t="s">
        <v>1368</v>
      </c>
      <c r="C708" s="19" t="s">
        <v>3280</v>
      </c>
      <c r="D708" s="19" t="s">
        <v>332</v>
      </c>
      <c r="E708" s="20" t="s">
        <v>3281</v>
      </c>
      <c r="F708" s="21" t="s">
        <v>135</v>
      </c>
      <c r="G708" s="33" t="s">
        <v>3282</v>
      </c>
      <c r="H708" s="23" t="s">
        <v>3283</v>
      </c>
      <c r="I708" s="24" t="s">
        <v>20</v>
      </c>
      <c r="J708" s="1" t="s">
        <v>21</v>
      </c>
      <c r="K708" s="25">
        <v>3</v>
      </c>
      <c r="L708" s="1" t="str">
        <f t="shared" si="1"/>
        <v/>
      </c>
      <c r="M708" s="1"/>
      <c r="N708" s="1"/>
      <c r="O708" s="1"/>
      <c r="P708" s="1"/>
      <c r="Q708" s="1"/>
      <c r="R708" s="1"/>
      <c r="S708" s="1"/>
      <c r="T708" s="1"/>
    </row>
    <row r="709" spans="1:20" ht="26.25" customHeight="1">
      <c r="A709" s="17">
        <f t="shared" si="0"/>
        <v>706</v>
      </c>
      <c r="B709" s="18" t="s">
        <v>248</v>
      </c>
      <c r="C709" s="19" t="s">
        <v>3284</v>
      </c>
      <c r="D709" s="19" t="s">
        <v>3285</v>
      </c>
      <c r="E709" s="20" t="s">
        <v>3286</v>
      </c>
      <c r="F709" s="21" t="s">
        <v>1005</v>
      </c>
      <c r="G709" s="33" t="s">
        <v>42</v>
      </c>
      <c r="H709" s="23" t="s">
        <v>3287</v>
      </c>
      <c r="I709" s="24" t="s">
        <v>20</v>
      </c>
      <c r="J709" s="1" t="s">
        <v>21</v>
      </c>
      <c r="K709" s="25">
        <v>3</v>
      </c>
      <c r="L709" s="1" t="str">
        <f t="shared" si="1"/>
        <v/>
      </c>
      <c r="M709" s="1"/>
      <c r="N709" s="1"/>
      <c r="O709" s="1"/>
      <c r="P709" s="1"/>
      <c r="Q709" s="1"/>
      <c r="R709" s="1"/>
      <c r="S709" s="1"/>
      <c r="T709" s="1"/>
    </row>
    <row r="710" spans="1:20" ht="26.25" customHeight="1">
      <c r="A710" s="17">
        <f t="shared" si="0"/>
        <v>707</v>
      </c>
      <c r="B710" s="18" t="s">
        <v>27</v>
      </c>
      <c r="C710" s="31" t="s">
        <v>3288</v>
      </c>
      <c r="D710" s="19" t="s">
        <v>2603</v>
      </c>
      <c r="E710" s="20" t="s">
        <v>3289</v>
      </c>
      <c r="F710" s="32">
        <v>2013</v>
      </c>
      <c r="G710" s="22" t="s">
        <v>42</v>
      </c>
      <c r="H710" s="23" t="s">
        <v>3290</v>
      </c>
      <c r="I710" s="24" t="s">
        <v>55</v>
      </c>
      <c r="J710" s="1" t="str">
        <f>IFERROR(VLOOKUP(E710,#REF!,8,FALSE),"")</f>
        <v/>
      </c>
      <c r="K710" s="1"/>
      <c r="L710" s="1" t="str">
        <f t="shared" si="1"/>
        <v/>
      </c>
      <c r="M710" s="1"/>
      <c r="N710" s="1"/>
      <c r="O710" s="1"/>
      <c r="P710" s="1"/>
      <c r="Q710" s="1"/>
      <c r="R710" s="1"/>
      <c r="S710" s="1"/>
      <c r="T710" s="1"/>
    </row>
    <row r="711" spans="1:20" ht="26.25" customHeight="1">
      <c r="A711" s="17">
        <f t="shared" si="0"/>
        <v>708</v>
      </c>
      <c r="B711" s="18" t="s">
        <v>37</v>
      </c>
      <c r="C711" s="19" t="s">
        <v>3291</v>
      </c>
      <c r="D711" s="19" t="s">
        <v>141</v>
      </c>
      <c r="E711" s="20" t="s">
        <v>3292</v>
      </c>
      <c r="F711" s="21" t="s">
        <v>2523</v>
      </c>
      <c r="G711" s="22" t="s">
        <v>42</v>
      </c>
      <c r="H711" s="23" t="s">
        <v>3293</v>
      </c>
      <c r="I711" s="24" t="s">
        <v>20</v>
      </c>
      <c r="J711" s="1" t="s">
        <v>21</v>
      </c>
      <c r="K711" s="25">
        <v>3</v>
      </c>
      <c r="L711" s="1" t="str">
        <f t="shared" si="1"/>
        <v/>
      </c>
      <c r="M711" s="1"/>
      <c r="N711" s="1"/>
      <c r="O711" s="1"/>
      <c r="P711" s="1"/>
      <c r="Q711" s="1"/>
      <c r="R711" s="1"/>
      <c r="S711" s="1"/>
      <c r="T711" s="1"/>
    </row>
    <row r="712" spans="1:20" ht="26.25" customHeight="1">
      <c r="A712" s="17">
        <f t="shared" si="0"/>
        <v>709</v>
      </c>
      <c r="B712" s="18" t="s">
        <v>233</v>
      </c>
      <c r="C712" s="31" t="s">
        <v>3294</v>
      </c>
      <c r="D712" s="19" t="s">
        <v>45</v>
      </c>
      <c r="E712" s="20" t="s">
        <v>3295</v>
      </c>
      <c r="F712" s="32" t="s">
        <v>222</v>
      </c>
      <c r="G712" s="22" t="s">
        <v>42</v>
      </c>
      <c r="H712" s="23" t="s">
        <v>3296</v>
      </c>
      <c r="I712" s="24" t="s">
        <v>55</v>
      </c>
      <c r="J712" s="1" t="str">
        <f t="shared" ref="J712:J714" si="98">IFERROR(VLOOKUP(E712,#REF!,8,FALSE),"")</f>
        <v/>
      </c>
      <c r="K712" s="1"/>
      <c r="L712" s="1" t="str">
        <f t="shared" si="1"/>
        <v/>
      </c>
      <c r="M712" s="1"/>
      <c r="N712" s="1"/>
      <c r="O712" s="1"/>
      <c r="P712" s="1"/>
      <c r="Q712" s="1"/>
      <c r="R712" s="1"/>
      <c r="S712" s="1"/>
      <c r="T712" s="1"/>
    </row>
    <row r="713" spans="1:20" ht="26.25" customHeight="1">
      <c r="A713" s="17">
        <f t="shared" si="0"/>
        <v>710</v>
      </c>
      <c r="B713" s="18" t="s">
        <v>175</v>
      </c>
      <c r="C713" s="31" t="s">
        <v>3297</v>
      </c>
      <c r="D713" s="19" t="s">
        <v>3298</v>
      </c>
      <c r="E713" s="20" t="s">
        <v>3299</v>
      </c>
      <c r="F713" s="32" t="s">
        <v>3300</v>
      </c>
      <c r="G713" s="33" t="s">
        <v>42</v>
      </c>
      <c r="H713" s="23" t="s">
        <v>3301</v>
      </c>
      <c r="I713" s="24" t="s">
        <v>55</v>
      </c>
      <c r="J713" s="1" t="str">
        <f t="shared" si="98"/>
        <v/>
      </c>
      <c r="K713" s="1"/>
      <c r="L713" s="1" t="str">
        <f t="shared" si="1"/>
        <v/>
      </c>
      <c r="M713" s="1"/>
      <c r="N713" s="1"/>
      <c r="O713" s="1"/>
      <c r="P713" s="1"/>
      <c r="Q713" s="1"/>
      <c r="R713" s="1"/>
      <c r="S713" s="1"/>
      <c r="T713" s="1"/>
    </row>
    <row r="714" spans="1:20" ht="26.25" customHeight="1">
      <c r="A714" s="17">
        <f t="shared" si="0"/>
        <v>711</v>
      </c>
      <c r="B714" s="18" t="s">
        <v>105</v>
      </c>
      <c r="C714" s="31" t="s">
        <v>3302</v>
      </c>
      <c r="D714" s="19" t="s">
        <v>3303</v>
      </c>
      <c r="E714" s="20" t="s">
        <v>3304</v>
      </c>
      <c r="F714" s="32" t="s">
        <v>252</v>
      </c>
      <c r="G714" s="33" t="s">
        <v>42</v>
      </c>
      <c r="H714" s="23" t="s">
        <v>3305</v>
      </c>
      <c r="I714" s="24" t="s">
        <v>55</v>
      </c>
      <c r="J714" s="1" t="str">
        <f t="shared" si="98"/>
        <v/>
      </c>
      <c r="K714" s="1"/>
      <c r="L714" s="1" t="str">
        <f t="shared" si="1"/>
        <v/>
      </c>
      <c r="M714" s="1"/>
      <c r="N714" s="1"/>
      <c r="O714" s="1"/>
      <c r="P714" s="1"/>
      <c r="Q714" s="1"/>
      <c r="R714" s="1"/>
      <c r="S714" s="1"/>
      <c r="T714" s="1"/>
    </row>
    <row r="715" spans="1:20" ht="26.25" customHeight="1">
      <c r="A715" s="17">
        <f t="shared" si="0"/>
        <v>712</v>
      </c>
      <c r="B715" s="18" t="s">
        <v>105</v>
      </c>
      <c r="C715" s="31" t="s">
        <v>3306</v>
      </c>
      <c r="D715" s="19" t="s">
        <v>2636</v>
      </c>
      <c r="E715" s="20" t="s">
        <v>3307</v>
      </c>
      <c r="F715" s="21" t="s">
        <v>3308</v>
      </c>
      <c r="G715" s="33" t="s">
        <v>42</v>
      </c>
      <c r="H715" s="23" t="s">
        <v>3309</v>
      </c>
      <c r="I715" s="34" t="s">
        <v>20</v>
      </c>
      <c r="J715" s="1" t="s">
        <v>87</v>
      </c>
      <c r="K715" s="25">
        <v>4</v>
      </c>
      <c r="L715" s="1" t="str">
        <f t="shared" si="1"/>
        <v/>
      </c>
      <c r="M715" s="25"/>
      <c r="N715" s="25"/>
      <c r="O715" s="25"/>
      <c r="P715" s="25"/>
      <c r="Q715" s="25"/>
      <c r="R715" s="25"/>
      <c r="S715" s="25"/>
      <c r="T715" s="25"/>
    </row>
    <row r="716" spans="1:20" ht="26.25" customHeight="1">
      <c r="A716" s="17">
        <f t="shared" si="0"/>
        <v>713</v>
      </c>
      <c r="B716" s="18" t="s">
        <v>105</v>
      </c>
      <c r="C716" s="31" t="s">
        <v>3310</v>
      </c>
      <c r="D716" s="19" t="s">
        <v>3046</v>
      </c>
      <c r="E716" s="20" t="s">
        <v>3311</v>
      </c>
      <c r="F716" s="21" t="s">
        <v>3312</v>
      </c>
      <c r="G716" s="33" t="s">
        <v>42</v>
      </c>
      <c r="H716" s="23" t="s">
        <v>3313</v>
      </c>
      <c r="I716" s="34" t="s">
        <v>20</v>
      </c>
      <c r="J716" s="1" t="s">
        <v>87</v>
      </c>
      <c r="K716" s="25">
        <v>4</v>
      </c>
      <c r="L716" s="1" t="str">
        <f t="shared" si="1"/>
        <v/>
      </c>
      <c r="M716" s="25"/>
      <c r="N716" s="25"/>
      <c r="O716" s="25"/>
      <c r="P716" s="25"/>
      <c r="Q716" s="25"/>
      <c r="R716" s="25"/>
      <c r="S716" s="25"/>
      <c r="T716" s="25"/>
    </row>
    <row r="717" spans="1:20" ht="26.25" customHeight="1">
      <c r="A717" s="17">
        <f t="shared" si="0"/>
        <v>714</v>
      </c>
      <c r="B717" s="18" t="s">
        <v>105</v>
      </c>
      <c r="C717" s="31" t="s">
        <v>3314</v>
      </c>
      <c r="D717" s="19" t="s">
        <v>3206</v>
      </c>
      <c r="E717" s="20" t="s">
        <v>3315</v>
      </c>
      <c r="F717" s="21" t="s">
        <v>3316</v>
      </c>
      <c r="G717" s="33" t="s">
        <v>42</v>
      </c>
      <c r="H717" s="23" t="s">
        <v>3317</v>
      </c>
      <c r="I717" s="34" t="s">
        <v>20</v>
      </c>
      <c r="J717" s="1" t="s">
        <v>87</v>
      </c>
      <c r="K717" s="25">
        <v>4</v>
      </c>
      <c r="L717" s="1" t="str">
        <f t="shared" si="1"/>
        <v/>
      </c>
      <c r="M717" s="25"/>
      <c r="N717" s="25"/>
      <c r="O717" s="25"/>
      <c r="P717" s="25"/>
      <c r="Q717" s="25"/>
      <c r="R717" s="25"/>
      <c r="S717" s="25"/>
      <c r="T717" s="25"/>
    </row>
    <row r="718" spans="1:20" ht="26.25" customHeight="1">
      <c r="A718" s="17">
        <f t="shared" si="0"/>
        <v>715</v>
      </c>
      <c r="B718" s="18" t="s">
        <v>13</v>
      </c>
      <c r="C718" s="19" t="s">
        <v>3318</v>
      </c>
      <c r="D718" s="19" t="s">
        <v>3319</v>
      </c>
      <c r="E718" s="20" t="s">
        <v>3320</v>
      </c>
      <c r="F718" s="21" t="s">
        <v>2523</v>
      </c>
      <c r="G718" s="33" t="s">
        <v>53</v>
      </c>
      <c r="H718" s="23" t="s">
        <v>3321</v>
      </c>
      <c r="I718" s="24" t="s">
        <v>20</v>
      </c>
      <c r="J718" s="1" t="s">
        <v>87</v>
      </c>
      <c r="K718" s="25">
        <v>4</v>
      </c>
      <c r="L718" s="1" t="str">
        <f t="shared" si="1"/>
        <v/>
      </c>
      <c r="M718" s="1"/>
      <c r="N718" s="1"/>
      <c r="O718" s="1"/>
      <c r="P718" s="1"/>
      <c r="Q718" s="1"/>
      <c r="R718" s="1"/>
      <c r="S718" s="1"/>
      <c r="T718" s="1"/>
    </row>
    <row r="719" spans="1:20" ht="26.25" customHeight="1">
      <c r="A719" s="17">
        <f t="shared" si="0"/>
        <v>716</v>
      </c>
      <c r="B719" s="18" t="s">
        <v>13</v>
      </c>
      <c r="C719" s="19" t="s">
        <v>3322</v>
      </c>
      <c r="D719" s="19" t="s">
        <v>3323</v>
      </c>
      <c r="E719" s="20" t="s">
        <v>3324</v>
      </c>
      <c r="F719" s="21" t="s">
        <v>1075</v>
      </c>
      <c r="G719" s="22" t="s">
        <v>2552</v>
      </c>
      <c r="H719" s="23" t="s">
        <v>3325</v>
      </c>
      <c r="I719" s="24" t="s">
        <v>20</v>
      </c>
      <c r="J719" s="1" t="s">
        <v>21</v>
      </c>
      <c r="K719" s="25">
        <v>3</v>
      </c>
      <c r="L719" s="1" t="str">
        <f t="shared" si="1"/>
        <v/>
      </c>
      <c r="M719" s="1"/>
      <c r="N719" s="1"/>
      <c r="O719" s="1"/>
      <c r="P719" s="1"/>
      <c r="Q719" s="1"/>
      <c r="R719" s="1"/>
      <c r="S719" s="1"/>
      <c r="T719" s="1"/>
    </row>
    <row r="720" spans="1:20" ht="26.25" customHeight="1">
      <c r="A720" s="17">
        <f t="shared" si="0"/>
        <v>717</v>
      </c>
      <c r="B720" s="18" t="s">
        <v>105</v>
      </c>
      <c r="C720" s="31" t="s">
        <v>3326</v>
      </c>
      <c r="D720" s="19" t="s">
        <v>2501</v>
      </c>
      <c r="E720" s="20" t="s">
        <v>58</v>
      </c>
      <c r="F720" s="32" t="s">
        <v>3327</v>
      </c>
      <c r="G720" s="33" t="s">
        <v>42</v>
      </c>
      <c r="H720" s="23" t="s">
        <v>3328</v>
      </c>
      <c r="I720" s="24" t="s">
        <v>55</v>
      </c>
      <c r="J720" s="1" t="str">
        <f t="shared" ref="J720:J723" si="99">IFERROR(VLOOKUP(E720,#REF!,8,FALSE),"")</f>
        <v/>
      </c>
      <c r="K720" s="25">
        <v>3</v>
      </c>
      <c r="L720" s="1" t="str">
        <f t="shared" si="1"/>
        <v>2016 FRIC 서양</v>
      </c>
      <c r="M720" s="1"/>
      <c r="N720" s="1"/>
      <c r="O720" s="1"/>
      <c r="P720" s="1"/>
      <c r="Q720" s="1"/>
      <c r="R720" s="1"/>
      <c r="S720" s="1"/>
      <c r="T720" s="1"/>
    </row>
    <row r="721" spans="1:20" ht="26.25" customHeight="1">
      <c r="A721" s="17">
        <f t="shared" si="0"/>
        <v>718</v>
      </c>
      <c r="B721" s="18" t="s">
        <v>105</v>
      </c>
      <c r="C721" s="31" t="s">
        <v>3329</v>
      </c>
      <c r="D721" s="19" t="s">
        <v>1338</v>
      </c>
      <c r="E721" s="20" t="s">
        <v>3330</v>
      </c>
      <c r="F721" s="32" t="s">
        <v>3331</v>
      </c>
      <c r="G721" s="33" t="s">
        <v>42</v>
      </c>
      <c r="H721" s="23" t="s">
        <v>3332</v>
      </c>
      <c r="I721" s="24" t="s">
        <v>55</v>
      </c>
      <c r="J721" s="1" t="str">
        <f t="shared" si="99"/>
        <v/>
      </c>
      <c r="K721" s="1"/>
      <c r="L721" s="1" t="str">
        <f t="shared" si="1"/>
        <v/>
      </c>
      <c r="M721" s="1"/>
      <c r="N721" s="1"/>
      <c r="O721" s="1"/>
      <c r="P721" s="1"/>
      <c r="Q721" s="1"/>
      <c r="R721" s="1"/>
      <c r="S721" s="1"/>
      <c r="T721" s="1"/>
    </row>
    <row r="722" spans="1:20" ht="26.25" customHeight="1">
      <c r="A722" s="17">
        <f t="shared" si="0"/>
        <v>719</v>
      </c>
      <c r="B722" s="18" t="s">
        <v>13</v>
      </c>
      <c r="C722" s="31" t="s">
        <v>3333</v>
      </c>
      <c r="D722" s="19" t="s">
        <v>3334</v>
      </c>
      <c r="E722" s="20" t="s">
        <v>937</v>
      </c>
      <c r="F722" s="32" t="s">
        <v>170</v>
      </c>
      <c r="G722" s="33" t="s">
        <v>42</v>
      </c>
      <c r="H722" s="23" t="s">
        <v>3335</v>
      </c>
      <c r="I722" s="24" t="s">
        <v>55</v>
      </c>
      <c r="J722" s="1" t="str">
        <f t="shared" si="99"/>
        <v/>
      </c>
      <c r="K722" s="25">
        <v>3</v>
      </c>
      <c r="L722" s="1" t="str">
        <f t="shared" si="1"/>
        <v>2020 FRIC 서양</v>
      </c>
      <c r="M722" s="1"/>
      <c r="N722" s="1"/>
      <c r="O722" s="1"/>
      <c r="P722" s="1"/>
      <c r="Q722" s="1"/>
      <c r="R722" s="1"/>
      <c r="S722" s="1"/>
      <c r="T722" s="1"/>
    </row>
    <row r="723" spans="1:20" ht="26.25" customHeight="1">
      <c r="A723" s="17">
        <f t="shared" si="0"/>
        <v>720</v>
      </c>
      <c r="B723" s="18" t="s">
        <v>105</v>
      </c>
      <c r="C723" s="31" t="s">
        <v>3336</v>
      </c>
      <c r="D723" s="19" t="s">
        <v>2455</v>
      </c>
      <c r="E723" s="20" t="s">
        <v>3337</v>
      </c>
      <c r="F723" s="32" t="s">
        <v>3338</v>
      </c>
      <c r="G723" s="33" t="s">
        <v>42</v>
      </c>
      <c r="H723" s="23" t="s">
        <v>3339</v>
      </c>
      <c r="I723" s="24" t="s">
        <v>55</v>
      </c>
      <c r="J723" s="1" t="str">
        <f t="shared" si="99"/>
        <v/>
      </c>
      <c r="K723" s="1"/>
      <c r="L723" s="1" t="str">
        <f t="shared" si="1"/>
        <v/>
      </c>
      <c r="M723" s="1"/>
      <c r="N723" s="1"/>
      <c r="O723" s="1"/>
      <c r="P723" s="1"/>
      <c r="Q723" s="1"/>
      <c r="R723" s="1"/>
      <c r="S723" s="1"/>
      <c r="T723" s="1"/>
    </row>
    <row r="724" spans="1:20" ht="26.25" customHeight="1">
      <c r="A724" s="17">
        <f t="shared" si="0"/>
        <v>721</v>
      </c>
      <c r="B724" s="18" t="s">
        <v>105</v>
      </c>
      <c r="C724" s="31" t="s">
        <v>3340</v>
      </c>
      <c r="D724" s="19" t="s">
        <v>124</v>
      </c>
      <c r="E724" s="20" t="s">
        <v>3341</v>
      </c>
      <c r="F724" s="21" t="s">
        <v>2062</v>
      </c>
      <c r="G724" s="33" t="s">
        <v>63</v>
      </c>
      <c r="H724" s="23" t="s">
        <v>3342</v>
      </c>
      <c r="I724" s="34" t="s">
        <v>20</v>
      </c>
      <c r="J724" s="1" t="s">
        <v>87</v>
      </c>
      <c r="K724" s="25">
        <v>4</v>
      </c>
      <c r="L724" s="1" t="str">
        <f t="shared" si="1"/>
        <v/>
      </c>
      <c r="M724" s="25"/>
      <c r="N724" s="25"/>
      <c r="O724" s="25"/>
      <c r="P724" s="25"/>
      <c r="Q724" s="25"/>
      <c r="R724" s="25"/>
      <c r="S724" s="25"/>
      <c r="T724" s="25"/>
    </row>
    <row r="725" spans="1:20" ht="26.25" customHeight="1">
      <c r="A725" s="17">
        <f t="shared" si="0"/>
        <v>722</v>
      </c>
      <c r="B725" s="18" t="s">
        <v>27</v>
      </c>
      <c r="C725" s="31" t="s">
        <v>3343</v>
      </c>
      <c r="D725" s="19" t="s">
        <v>3344</v>
      </c>
      <c r="E725" s="20" t="s">
        <v>991</v>
      </c>
      <c r="F725" s="32" t="s">
        <v>170</v>
      </c>
      <c r="G725" s="22" t="s">
        <v>53</v>
      </c>
      <c r="H725" s="23" t="s">
        <v>3345</v>
      </c>
      <c r="I725" s="24" t="s">
        <v>55</v>
      </c>
      <c r="J725" s="1" t="str">
        <f t="shared" ref="J725:J726" si="100">IFERROR(VLOOKUP(E725,#REF!,8,FALSE),"")</f>
        <v/>
      </c>
      <c r="K725" s="25">
        <v>3</v>
      </c>
      <c r="L725" s="1" t="str">
        <f t="shared" si="1"/>
        <v>2020 FRIC 서양</v>
      </c>
      <c r="M725" s="1"/>
      <c r="N725" s="1"/>
      <c r="O725" s="1"/>
      <c r="P725" s="1"/>
      <c r="Q725" s="1"/>
      <c r="R725" s="1"/>
      <c r="S725" s="1"/>
      <c r="T725" s="1"/>
    </row>
    <row r="726" spans="1:20" ht="26.25" customHeight="1">
      <c r="A726" s="17">
        <f t="shared" si="0"/>
        <v>723</v>
      </c>
      <c r="B726" s="18" t="s">
        <v>27</v>
      </c>
      <c r="C726" s="31" t="s">
        <v>3346</v>
      </c>
      <c r="D726" s="19" t="s">
        <v>246</v>
      </c>
      <c r="E726" s="20" t="s">
        <v>247</v>
      </c>
      <c r="F726" s="32" t="s">
        <v>3347</v>
      </c>
      <c r="G726" s="22" t="s">
        <v>1086</v>
      </c>
      <c r="H726" s="23" t="s">
        <v>3348</v>
      </c>
      <c r="I726" s="24" t="s">
        <v>55</v>
      </c>
      <c r="J726" s="1" t="str">
        <f t="shared" si="100"/>
        <v/>
      </c>
      <c r="K726" s="25">
        <v>3</v>
      </c>
      <c r="L726" s="1" t="str">
        <f t="shared" si="1"/>
        <v>2017 FRIC 서양</v>
      </c>
      <c r="M726" s="1"/>
      <c r="N726" s="1"/>
      <c r="O726" s="1"/>
      <c r="P726" s="1"/>
      <c r="Q726" s="1"/>
      <c r="R726" s="1"/>
      <c r="S726" s="1"/>
      <c r="T726" s="1"/>
    </row>
    <row r="727" spans="1:20" ht="26.25" customHeight="1">
      <c r="A727" s="17">
        <f t="shared" si="0"/>
        <v>724</v>
      </c>
      <c r="B727" s="18" t="s">
        <v>105</v>
      </c>
      <c r="C727" s="31" t="s">
        <v>3349</v>
      </c>
      <c r="D727" s="19" t="s">
        <v>3350</v>
      </c>
      <c r="E727" s="20" t="s">
        <v>3351</v>
      </c>
      <c r="F727" s="21" t="s">
        <v>3352</v>
      </c>
      <c r="G727" s="33" t="s">
        <v>1086</v>
      </c>
      <c r="H727" s="23" t="s">
        <v>3353</v>
      </c>
      <c r="I727" s="34" t="s">
        <v>20</v>
      </c>
      <c r="J727" s="1" t="s">
        <v>87</v>
      </c>
      <c r="K727" s="25">
        <v>4</v>
      </c>
      <c r="L727" s="1" t="str">
        <f t="shared" si="1"/>
        <v/>
      </c>
      <c r="M727" s="25"/>
      <c r="N727" s="25"/>
      <c r="O727" s="25"/>
      <c r="P727" s="25"/>
      <c r="Q727" s="25"/>
      <c r="R727" s="25"/>
      <c r="S727" s="25"/>
      <c r="T727" s="25"/>
    </row>
    <row r="728" spans="1:20" ht="26.25" customHeight="1">
      <c r="A728" s="17">
        <f t="shared" si="0"/>
        <v>725</v>
      </c>
      <c r="B728" s="18" t="s">
        <v>13</v>
      </c>
      <c r="C728" s="31" t="s">
        <v>800</v>
      </c>
      <c r="D728" s="19" t="s">
        <v>3354</v>
      </c>
      <c r="E728" s="20" t="s">
        <v>802</v>
      </c>
      <c r="F728" s="32" t="s">
        <v>170</v>
      </c>
      <c r="G728" s="22" t="s">
        <v>63</v>
      </c>
      <c r="H728" s="23" t="s">
        <v>3355</v>
      </c>
      <c r="I728" s="24" t="s">
        <v>55</v>
      </c>
      <c r="J728" s="1" t="str">
        <f t="shared" ref="J728:J729" si="101">IFERROR(VLOOKUP(E728,#REF!,8,FALSE),"")</f>
        <v/>
      </c>
      <c r="K728" s="25">
        <v>3</v>
      </c>
      <c r="L728" s="1" t="str">
        <f t="shared" si="1"/>
        <v>2020 FRIC 서양</v>
      </c>
      <c r="M728" s="1"/>
      <c r="N728" s="1"/>
      <c r="O728" s="1"/>
      <c r="P728" s="1"/>
      <c r="Q728" s="1"/>
      <c r="R728" s="1"/>
      <c r="S728" s="1"/>
      <c r="T728" s="1"/>
    </row>
    <row r="729" spans="1:20" ht="26.25" customHeight="1">
      <c r="A729" s="17">
        <f t="shared" si="0"/>
        <v>726</v>
      </c>
      <c r="B729" s="18" t="s">
        <v>81</v>
      </c>
      <c r="C729" s="31" t="s">
        <v>3356</v>
      </c>
      <c r="D729" s="19" t="s">
        <v>271</v>
      </c>
      <c r="E729" s="20" t="s">
        <v>3357</v>
      </c>
      <c r="F729" s="32" t="s">
        <v>3358</v>
      </c>
      <c r="G729" s="33" t="s">
        <v>42</v>
      </c>
      <c r="H729" s="23" t="s">
        <v>3359</v>
      </c>
      <c r="I729" s="24" t="s">
        <v>55</v>
      </c>
      <c r="J729" s="1" t="str">
        <f t="shared" si="101"/>
        <v/>
      </c>
      <c r="K729" s="1"/>
      <c r="L729" s="1" t="str">
        <f t="shared" si="1"/>
        <v/>
      </c>
      <c r="M729" s="1"/>
      <c r="N729" s="1"/>
      <c r="O729" s="1"/>
      <c r="P729" s="1"/>
      <c r="Q729" s="1"/>
      <c r="R729" s="1"/>
      <c r="S729" s="1"/>
      <c r="T729" s="1"/>
    </row>
    <row r="730" spans="1:20" ht="26.25" customHeight="1">
      <c r="A730" s="17">
        <f t="shared" si="0"/>
        <v>727</v>
      </c>
      <c r="B730" s="18" t="s">
        <v>233</v>
      </c>
      <c r="C730" s="19" t="s">
        <v>3360</v>
      </c>
      <c r="D730" s="19" t="s">
        <v>141</v>
      </c>
      <c r="E730" s="20" t="s">
        <v>3361</v>
      </c>
      <c r="F730" s="21" t="s">
        <v>293</v>
      </c>
      <c r="G730" s="22" t="s">
        <v>42</v>
      </c>
      <c r="H730" s="23" t="s">
        <v>3362</v>
      </c>
      <c r="I730" s="24" t="s">
        <v>20</v>
      </c>
      <c r="J730" s="1" t="s">
        <v>87</v>
      </c>
      <c r="K730" s="25">
        <v>4</v>
      </c>
      <c r="L730" s="1" t="str">
        <f t="shared" si="1"/>
        <v/>
      </c>
      <c r="M730" s="1"/>
      <c r="N730" s="1"/>
      <c r="O730" s="1"/>
      <c r="P730" s="1"/>
      <c r="Q730" s="1"/>
      <c r="R730" s="1"/>
      <c r="S730" s="1"/>
      <c r="T730" s="1"/>
    </row>
    <row r="731" spans="1:20" ht="26.25" customHeight="1">
      <c r="A731" s="17">
        <f t="shared" si="0"/>
        <v>728</v>
      </c>
      <c r="B731" s="18" t="s">
        <v>132</v>
      </c>
      <c r="C731" s="31" t="s">
        <v>3363</v>
      </c>
      <c r="D731" s="19" t="s">
        <v>1068</v>
      </c>
      <c r="E731" s="20" t="s">
        <v>3364</v>
      </c>
      <c r="F731" s="32" t="s">
        <v>222</v>
      </c>
      <c r="G731" s="22" t="s">
        <v>42</v>
      </c>
      <c r="H731" s="23" t="s">
        <v>3365</v>
      </c>
      <c r="I731" s="24" t="s">
        <v>55</v>
      </c>
      <c r="J731" s="1" t="str">
        <f>IFERROR(VLOOKUP(E731,#REF!,8,FALSE),"")</f>
        <v/>
      </c>
      <c r="K731" s="1"/>
      <c r="L731" s="1" t="str">
        <f t="shared" si="1"/>
        <v/>
      </c>
      <c r="M731" s="1"/>
      <c r="N731" s="1"/>
      <c r="O731" s="1"/>
      <c r="P731" s="1"/>
      <c r="Q731" s="1"/>
      <c r="R731" s="1"/>
      <c r="S731" s="1"/>
      <c r="T731" s="1"/>
    </row>
    <row r="732" spans="1:20" ht="26.25" customHeight="1">
      <c r="A732" s="17">
        <f t="shared" si="0"/>
        <v>729</v>
      </c>
      <c r="B732" s="18" t="s">
        <v>37</v>
      </c>
      <c r="C732" s="19" t="s">
        <v>3366</v>
      </c>
      <c r="D732" s="19" t="s">
        <v>124</v>
      </c>
      <c r="E732" s="20" t="s">
        <v>3367</v>
      </c>
      <c r="F732" s="21" t="s">
        <v>135</v>
      </c>
      <c r="G732" s="22" t="s">
        <v>42</v>
      </c>
      <c r="H732" s="23" t="s">
        <v>3368</v>
      </c>
      <c r="I732" s="24" t="s">
        <v>20</v>
      </c>
      <c r="J732" s="1" t="s">
        <v>21</v>
      </c>
      <c r="K732" s="25">
        <v>3</v>
      </c>
      <c r="L732" s="1" t="str">
        <f t="shared" si="1"/>
        <v/>
      </c>
      <c r="M732" s="1"/>
      <c r="N732" s="1"/>
      <c r="O732" s="1"/>
      <c r="P732" s="1"/>
      <c r="Q732" s="1"/>
      <c r="R732" s="1"/>
      <c r="S732" s="1"/>
      <c r="T732" s="1"/>
    </row>
    <row r="733" spans="1:20" ht="26.25" customHeight="1">
      <c r="A733" s="17">
        <f t="shared" si="0"/>
        <v>730</v>
      </c>
      <c r="B733" s="18" t="s">
        <v>13</v>
      </c>
      <c r="C733" s="19" t="s">
        <v>3369</v>
      </c>
      <c r="D733" s="19" t="s">
        <v>124</v>
      </c>
      <c r="E733" s="20" t="s">
        <v>3370</v>
      </c>
      <c r="F733" s="21" t="s">
        <v>135</v>
      </c>
      <c r="G733" s="22" t="s">
        <v>42</v>
      </c>
      <c r="H733" s="23" t="s">
        <v>3371</v>
      </c>
      <c r="I733" s="24" t="s">
        <v>20</v>
      </c>
      <c r="J733" s="1" t="s">
        <v>21</v>
      </c>
      <c r="K733" s="25">
        <v>3</v>
      </c>
      <c r="L733" s="1" t="str">
        <f t="shared" si="1"/>
        <v/>
      </c>
      <c r="M733" s="1"/>
      <c r="N733" s="1"/>
      <c r="O733" s="1"/>
      <c r="P733" s="1"/>
      <c r="Q733" s="1"/>
      <c r="R733" s="1"/>
      <c r="S733" s="1"/>
      <c r="T733" s="1"/>
    </row>
    <row r="734" spans="1:20" ht="26.25" customHeight="1">
      <c r="A734" s="17">
        <f t="shared" si="0"/>
        <v>731</v>
      </c>
      <c r="B734" s="18" t="s">
        <v>27</v>
      </c>
      <c r="C734" s="19" t="s">
        <v>3372</v>
      </c>
      <c r="D734" s="19" t="s">
        <v>124</v>
      </c>
      <c r="E734" s="20" t="s">
        <v>3373</v>
      </c>
      <c r="F734" s="21" t="s">
        <v>135</v>
      </c>
      <c r="G734" s="22" t="s">
        <v>42</v>
      </c>
      <c r="H734" s="23" t="s">
        <v>3374</v>
      </c>
      <c r="I734" s="24" t="s">
        <v>20</v>
      </c>
      <c r="J734" s="1" t="s">
        <v>21</v>
      </c>
      <c r="K734" s="25">
        <v>3</v>
      </c>
      <c r="L734" s="1" t="str">
        <f t="shared" si="1"/>
        <v/>
      </c>
      <c r="M734" s="1"/>
      <c r="N734" s="1"/>
      <c r="O734" s="1"/>
      <c r="P734" s="1"/>
      <c r="Q734" s="1"/>
      <c r="R734" s="1"/>
      <c r="S734" s="1"/>
      <c r="T734" s="1"/>
    </row>
    <row r="735" spans="1:20" ht="26.25" customHeight="1">
      <c r="A735" s="17">
        <f t="shared" si="0"/>
        <v>732</v>
      </c>
      <c r="B735" s="18" t="s">
        <v>105</v>
      </c>
      <c r="C735" s="31" t="s">
        <v>3375</v>
      </c>
      <c r="D735" s="19" t="s">
        <v>374</v>
      </c>
      <c r="E735" s="20" t="s">
        <v>3376</v>
      </c>
      <c r="F735" s="32" t="s">
        <v>3377</v>
      </c>
      <c r="G735" s="33" t="s">
        <v>42</v>
      </c>
      <c r="H735" s="23" t="s">
        <v>3378</v>
      </c>
      <c r="I735" s="24" t="s">
        <v>55</v>
      </c>
      <c r="J735" s="1" t="str">
        <f>IFERROR(VLOOKUP(E735,#REF!,8,FALSE),"")</f>
        <v/>
      </c>
      <c r="K735" s="1"/>
      <c r="L735" s="1" t="str">
        <f t="shared" si="1"/>
        <v/>
      </c>
      <c r="M735" s="1"/>
      <c r="N735" s="1"/>
      <c r="O735" s="1"/>
      <c r="P735" s="1"/>
      <c r="Q735" s="1"/>
      <c r="R735" s="1"/>
      <c r="S735" s="1"/>
      <c r="T735" s="1"/>
    </row>
    <row r="736" spans="1:20" ht="26.25" customHeight="1">
      <c r="A736" s="17">
        <f t="shared" si="0"/>
        <v>733</v>
      </c>
      <c r="B736" s="18" t="s">
        <v>37</v>
      </c>
      <c r="C736" s="19" t="s">
        <v>3379</v>
      </c>
      <c r="D736" s="19" t="s">
        <v>141</v>
      </c>
      <c r="E736" s="20" t="s">
        <v>3380</v>
      </c>
      <c r="F736" s="21" t="s">
        <v>3381</v>
      </c>
      <c r="G736" s="22" t="s">
        <v>42</v>
      </c>
      <c r="H736" s="23" t="s">
        <v>3382</v>
      </c>
      <c r="I736" s="24" t="s">
        <v>20</v>
      </c>
      <c r="J736" s="1" t="s">
        <v>21</v>
      </c>
      <c r="K736" s="25">
        <v>3</v>
      </c>
      <c r="L736" s="1" t="str">
        <f t="shared" si="1"/>
        <v/>
      </c>
      <c r="M736" s="1"/>
      <c r="N736" s="1"/>
      <c r="O736" s="1"/>
      <c r="P736" s="1"/>
      <c r="Q736" s="1"/>
      <c r="R736" s="1"/>
      <c r="S736" s="1"/>
      <c r="T736" s="1"/>
    </row>
    <row r="737" spans="1:20" ht="26.25" customHeight="1">
      <c r="A737" s="17">
        <f t="shared" si="0"/>
        <v>734</v>
      </c>
      <c r="B737" s="18" t="s">
        <v>27</v>
      </c>
      <c r="C737" s="31" t="s">
        <v>1083</v>
      </c>
      <c r="D737" s="19" t="s">
        <v>3383</v>
      </c>
      <c r="E737" s="20" t="s">
        <v>1085</v>
      </c>
      <c r="F737" s="32" t="s">
        <v>170</v>
      </c>
      <c r="G737" s="22" t="s">
        <v>53</v>
      </c>
      <c r="H737" s="23" t="s">
        <v>3384</v>
      </c>
      <c r="I737" s="24" t="s">
        <v>55</v>
      </c>
      <c r="J737" s="1" t="str">
        <f>IFERROR(VLOOKUP(E737,#REF!,8,FALSE),"")</f>
        <v/>
      </c>
      <c r="K737" s="25">
        <v>3</v>
      </c>
      <c r="L737" s="1" t="str">
        <f t="shared" si="1"/>
        <v>2020 FRIC 서양</v>
      </c>
      <c r="M737" s="1"/>
      <c r="N737" s="1"/>
      <c r="O737" s="1"/>
      <c r="P737" s="1"/>
      <c r="Q737" s="1"/>
      <c r="R737" s="1"/>
      <c r="S737" s="1"/>
      <c r="T737" s="1"/>
    </row>
    <row r="738" spans="1:20" ht="26.25" customHeight="1">
      <c r="A738" s="17">
        <f t="shared" si="0"/>
        <v>735</v>
      </c>
      <c r="B738" s="18" t="s">
        <v>175</v>
      </c>
      <c r="C738" s="31" t="s">
        <v>3385</v>
      </c>
      <c r="D738" s="19" t="s">
        <v>3386</v>
      </c>
      <c r="E738" s="20" t="s">
        <v>3387</v>
      </c>
      <c r="F738" s="21" t="s">
        <v>2200</v>
      </c>
      <c r="G738" s="33" t="s">
        <v>42</v>
      </c>
      <c r="H738" s="23" t="s">
        <v>3388</v>
      </c>
      <c r="I738" s="34" t="s">
        <v>20</v>
      </c>
      <c r="J738" s="1" t="s">
        <v>87</v>
      </c>
      <c r="K738" s="25">
        <v>4</v>
      </c>
      <c r="L738" s="1" t="str">
        <f t="shared" si="1"/>
        <v/>
      </c>
      <c r="M738" s="25"/>
      <c r="N738" s="25"/>
      <c r="O738" s="25"/>
      <c r="P738" s="25"/>
      <c r="Q738" s="25"/>
      <c r="R738" s="25"/>
      <c r="S738" s="25"/>
      <c r="T738" s="25"/>
    </row>
    <row r="739" spans="1:20" ht="26.25" customHeight="1">
      <c r="A739" s="17">
        <f t="shared" si="0"/>
        <v>736</v>
      </c>
      <c r="B739" s="18" t="s">
        <v>175</v>
      </c>
      <c r="C739" s="31" t="s">
        <v>3389</v>
      </c>
      <c r="D739" s="19" t="s">
        <v>3390</v>
      </c>
      <c r="E739" s="20" t="s">
        <v>3391</v>
      </c>
      <c r="F739" s="32" t="s">
        <v>3392</v>
      </c>
      <c r="G739" s="33" t="s">
        <v>42</v>
      </c>
      <c r="H739" s="23" t="s">
        <v>3393</v>
      </c>
      <c r="I739" s="24" t="s">
        <v>55</v>
      </c>
      <c r="J739" s="1" t="str">
        <f t="shared" ref="J739:J740" si="102">IFERROR(VLOOKUP(E739,#REF!,8,FALSE),"")</f>
        <v/>
      </c>
      <c r="K739" s="1"/>
      <c r="L739" s="1" t="str">
        <f t="shared" si="1"/>
        <v/>
      </c>
      <c r="M739" s="1"/>
      <c r="N739" s="1"/>
      <c r="O739" s="1"/>
      <c r="P739" s="1"/>
      <c r="Q739" s="1"/>
      <c r="R739" s="1"/>
      <c r="S739" s="1"/>
      <c r="T739" s="1"/>
    </row>
    <row r="740" spans="1:20" ht="26.25" customHeight="1">
      <c r="A740" s="17">
        <f t="shared" si="0"/>
        <v>737</v>
      </c>
      <c r="B740" s="18" t="s">
        <v>2181</v>
      </c>
      <c r="C740" s="31" t="s">
        <v>3394</v>
      </c>
      <c r="D740" s="19" t="s">
        <v>141</v>
      </c>
      <c r="E740" s="20" t="s">
        <v>3395</v>
      </c>
      <c r="F740" s="32" t="s">
        <v>3396</v>
      </c>
      <c r="G740" s="33" t="s">
        <v>350</v>
      </c>
      <c r="H740" s="23" t="s">
        <v>3397</v>
      </c>
      <c r="I740" s="24" t="s">
        <v>55</v>
      </c>
      <c r="J740" s="1" t="str">
        <f t="shared" si="102"/>
        <v/>
      </c>
      <c r="K740" s="1"/>
      <c r="L740" s="1" t="str">
        <f t="shared" si="1"/>
        <v/>
      </c>
      <c r="M740" s="1"/>
      <c r="N740" s="1"/>
      <c r="O740" s="1"/>
      <c r="P740" s="1"/>
      <c r="Q740" s="1"/>
      <c r="R740" s="1"/>
      <c r="S740" s="1"/>
      <c r="T740" s="1"/>
    </row>
    <row r="741" spans="1:20" ht="26.25" customHeight="1">
      <c r="A741" s="17">
        <f t="shared" si="0"/>
        <v>738</v>
      </c>
      <c r="B741" s="18" t="s">
        <v>1375</v>
      </c>
      <c r="C741" s="19" t="s">
        <v>3398</v>
      </c>
      <c r="D741" s="19" t="s">
        <v>45</v>
      </c>
      <c r="E741" s="20" t="s">
        <v>3399</v>
      </c>
      <c r="F741" s="21" t="s">
        <v>135</v>
      </c>
      <c r="G741" s="22" t="s">
        <v>42</v>
      </c>
      <c r="H741" s="23" t="s">
        <v>3400</v>
      </c>
      <c r="I741" s="24" t="s">
        <v>20</v>
      </c>
      <c r="J741" s="1" t="s">
        <v>87</v>
      </c>
      <c r="K741" s="25">
        <v>4</v>
      </c>
      <c r="L741" s="1" t="str">
        <f t="shared" si="1"/>
        <v/>
      </c>
      <c r="M741" s="1"/>
      <c r="N741" s="1"/>
      <c r="O741" s="1"/>
      <c r="P741" s="1"/>
      <c r="Q741" s="1"/>
      <c r="R741" s="1"/>
      <c r="S741" s="1"/>
      <c r="T741" s="1"/>
    </row>
    <row r="742" spans="1:20" ht="26.25" customHeight="1">
      <c r="A742" s="17">
        <f t="shared" si="0"/>
        <v>739</v>
      </c>
      <c r="B742" s="18" t="s">
        <v>175</v>
      </c>
      <c r="C742" s="31" t="s">
        <v>3401</v>
      </c>
      <c r="D742" s="19" t="s">
        <v>3298</v>
      </c>
      <c r="E742" s="20" t="s">
        <v>3402</v>
      </c>
      <c r="F742" s="32" t="s">
        <v>3403</v>
      </c>
      <c r="G742" s="33" t="s">
        <v>42</v>
      </c>
      <c r="H742" s="23" t="s">
        <v>3404</v>
      </c>
      <c r="I742" s="24" t="s">
        <v>55</v>
      </c>
      <c r="J742" s="1" t="str">
        <f t="shared" ref="J742:J744" si="103">IFERROR(VLOOKUP(E742,#REF!,8,FALSE),"")</f>
        <v/>
      </c>
      <c r="K742" s="1"/>
      <c r="L742" s="1" t="str">
        <f t="shared" si="1"/>
        <v/>
      </c>
      <c r="M742" s="1"/>
      <c r="N742" s="1"/>
      <c r="O742" s="1"/>
      <c r="P742" s="1"/>
      <c r="Q742" s="1"/>
      <c r="R742" s="1"/>
      <c r="S742" s="1"/>
      <c r="T742" s="1"/>
    </row>
    <row r="743" spans="1:20" ht="26.25" customHeight="1">
      <c r="A743" s="17">
        <f t="shared" si="0"/>
        <v>740</v>
      </c>
      <c r="B743" s="18" t="s">
        <v>132</v>
      </c>
      <c r="C743" s="19" t="s">
        <v>3405</v>
      </c>
      <c r="D743" s="19" t="s">
        <v>141</v>
      </c>
      <c r="E743" s="20" t="s">
        <v>1517</v>
      </c>
      <c r="F743" s="32" t="s">
        <v>52</v>
      </c>
      <c r="G743" s="22" t="s">
        <v>42</v>
      </c>
      <c r="H743" s="23" t="s">
        <v>3406</v>
      </c>
      <c r="I743" s="34" t="s">
        <v>55</v>
      </c>
      <c r="J743" s="1" t="str">
        <f t="shared" si="103"/>
        <v/>
      </c>
      <c r="K743" s="25">
        <v>4</v>
      </c>
      <c r="L743" s="1" t="str">
        <f t="shared" si="1"/>
        <v>2021 과기 서양</v>
      </c>
      <c r="M743" s="25"/>
      <c r="N743" s="25"/>
      <c r="O743" s="25"/>
      <c r="P743" s="25"/>
      <c r="Q743" s="25"/>
      <c r="R743" s="25"/>
      <c r="S743" s="25"/>
      <c r="T743" s="25"/>
    </row>
    <row r="744" spans="1:20" ht="26.25" customHeight="1">
      <c r="A744" s="17">
        <f t="shared" si="0"/>
        <v>741</v>
      </c>
      <c r="B744" s="18" t="s">
        <v>233</v>
      </c>
      <c r="C744" s="31" t="s">
        <v>3407</v>
      </c>
      <c r="D744" s="19" t="s">
        <v>3408</v>
      </c>
      <c r="E744" s="20" t="s">
        <v>122</v>
      </c>
      <c r="F744" s="32" t="s">
        <v>3409</v>
      </c>
      <c r="G744" s="22" t="s">
        <v>42</v>
      </c>
      <c r="H744" s="23" t="s">
        <v>3410</v>
      </c>
      <c r="I744" s="24" t="s">
        <v>55</v>
      </c>
      <c r="J744" s="1" t="str">
        <f t="shared" si="103"/>
        <v/>
      </c>
      <c r="K744" s="25">
        <v>3</v>
      </c>
      <c r="L744" s="1" t="str">
        <f t="shared" si="1"/>
        <v>2016 FRIC 서양</v>
      </c>
      <c r="M744" s="1"/>
      <c r="N744" s="1"/>
      <c r="O744" s="1"/>
      <c r="P744" s="1"/>
      <c r="Q744" s="1"/>
      <c r="R744" s="1"/>
      <c r="S744" s="1"/>
      <c r="T744" s="1"/>
    </row>
    <row r="745" spans="1:20" ht="26.25" customHeight="1">
      <c r="A745" s="17">
        <f t="shared" si="0"/>
        <v>742</v>
      </c>
      <c r="B745" s="18" t="s">
        <v>37</v>
      </c>
      <c r="C745" s="19" t="s">
        <v>3411</v>
      </c>
      <c r="D745" s="19" t="s">
        <v>499</v>
      </c>
      <c r="E745" s="20" t="s">
        <v>3412</v>
      </c>
      <c r="F745" s="21" t="s">
        <v>3266</v>
      </c>
      <c r="G745" s="22" t="s">
        <v>42</v>
      </c>
      <c r="H745" s="23" t="s">
        <v>3413</v>
      </c>
      <c r="I745" s="24" t="s">
        <v>20</v>
      </c>
      <c r="J745" s="1" t="s">
        <v>21</v>
      </c>
      <c r="K745" s="25">
        <v>3</v>
      </c>
      <c r="L745" s="1" t="str">
        <f t="shared" si="1"/>
        <v/>
      </c>
      <c r="M745" s="1"/>
      <c r="N745" s="1"/>
      <c r="O745" s="1"/>
      <c r="P745" s="1"/>
      <c r="Q745" s="1"/>
      <c r="R745" s="1"/>
      <c r="S745" s="1"/>
      <c r="T745" s="1"/>
    </row>
    <row r="746" spans="1:20" ht="26.25" customHeight="1">
      <c r="A746" s="17">
        <f t="shared" si="0"/>
        <v>743</v>
      </c>
      <c r="B746" s="18" t="s">
        <v>105</v>
      </c>
      <c r="C746" s="31" t="s">
        <v>3414</v>
      </c>
      <c r="D746" s="19" t="s">
        <v>3415</v>
      </c>
      <c r="E746" s="20" t="s">
        <v>3416</v>
      </c>
      <c r="F746" s="32" t="s">
        <v>738</v>
      </c>
      <c r="G746" s="33" t="s">
        <v>42</v>
      </c>
      <c r="H746" s="23" t="s">
        <v>3417</v>
      </c>
      <c r="I746" s="24" t="s">
        <v>55</v>
      </c>
      <c r="J746" s="1" t="str">
        <f t="shared" ref="J746:J757" si="104">IFERROR(VLOOKUP(E746,#REF!,8,FALSE),"")</f>
        <v/>
      </c>
      <c r="K746" s="1"/>
      <c r="L746" s="1" t="str">
        <f t="shared" si="1"/>
        <v/>
      </c>
      <c r="M746" s="1"/>
      <c r="N746" s="1"/>
      <c r="O746" s="1"/>
      <c r="P746" s="1"/>
      <c r="Q746" s="1"/>
      <c r="R746" s="1"/>
      <c r="S746" s="1"/>
      <c r="T746" s="1"/>
    </row>
    <row r="747" spans="1:20" ht="26.25" customHeight="1">
      <c r="A747" s="17">
        <f t="shared" si="0"/>
        <v>744</v>
      </c>
      <c r="B747" s="18" t="s">
        <v>1375</v>
      </c>
      <c r="C747" s="31" t="s">
        <v>3418</v>
      </c>
      <c r="D747" s="19" t="s">
        <v>1162</v>
      </c>
      <c r="E747" s="20" t="s">
        <v>1163</v>
      </c>
      <c r="F747" s="32" t="s">
        <v>3419</v>
      </c>
      <c r="G747" s="22" t="s">
        <v>53</v>
      </c>
      <c r="H747" s="23" t="s">
        <v>3420</v>
      </c>
      <c r="I747" s="24" t="s">
        <v>55</v>
      </c>
      <c r="J747" s="1" t="str">
        <f t="shared" si="104"/>
        <v/>
      </c>
      <c r="K747" s="25">
        <v>3</v>
      </c>
      <c r="L747" s="1" t="str">
        <f t="shared" si="1"/>
        <v>2020 FRIC 서양</v>
      </c>
      <c r="M747" s="1"/>
      <c r="N747" s="1"/>
      <c r="O747" s="1"/>
      <c r="P747" s="1"/>
      <c r="Q747" s="1"/>
      <c r="R747" s="1"/>
      <c r="S747" s="1"/>
      <c r="T747" s="1"/>
    </row>
    <row r="748" spans="1:20" ht="26.25" customHeight="1">
      <c r="A748" s="17">
        <f t="shared" si="0"/>
        <v>745</v>
      </c>
      <c r="B748" s="18" t="s">
        <v>146</v>
      </c>
      <c r="C748" s="31" t="s">
        <v>3421</v>
      </c>
      <c r="D748" s="19" t="s">
        <v>1181</v>
      </c>
      <c r="E748" s="20" t="s">
        <v>1182</v>
      </c>
      <c r="F748" s="32" t="s">
        <v>170</v>
      </c>
      <c r="G748" s="33" t="s">
        <v>31</v>
      </c>
      <c r="H748" s="23" t="s">
        <v>3422</v>
      </c>
      <c r="I748" s="24" t="s">
        <v>55</v>
      </c>
      <c r="J748" s="1" t="str">
        <f t="shared" si="104"/>
        <v/>
      </c>
      <c r="K748" s="25">
        <v>3</v>
      </c>
      <c r="L748" s="1" t="str">
        <f t="shared" si="1"/>
        <v>2020 FRIC 서양</v>
      </c>
      <c r="M748" s="1"/>
      <c r="N748" s="1"/>
      <c r="O748" s="1"/>
      <c r="P748" s="1"/>
      <c r="Q748" s="1"/>
      <c r="R748" s="1"/>
      <c r="S748" s="1"/>
      <c r="T748" s="1"/>
    </row>
    <row r="749" spans="1:20" ht="26.25" customHeight="1">
      <c r="A749" s="17">
        <f t="shared" si="0"/>
        <v>746</v>
      </c>
      <c r="B749" s="18" t="s">
        <v>175</v>
      </c>
      <c r="C749" s="31" t="s">
        <v>3423</v>
      </c>
      <c r="D749" s="19" t="s">
        <v>2858</v>
      </c>
      <c r="E749" s="20" t="s">
        <v>3424</v>
      </c>
      <c r="F749" s="32" t="s">
        <v>3425</v>
      </c>
      <c r="G749" s="33" t="s">
        <v>42</v>
      </c>
      <c r="H749" s="23" t="s">
        <v>3426</v>
      </c>
      <c r="I749" s="24" t="s">
        <v>55</v>
      </c>
      <c r="J749" s="1" t="str">
        <f t="shared" si="104"/>
        <v/>
      </c>
      <c r="K749" s="1"/>
      <c r="L749" s="1" t="str">
        <f t="shared" si="1"/>
        <v/>
      </c>
      <c r="M749" s="1"/>
      <c r="N749" s="1"/>
      <c r="O749" s="1"/>
      <c r="P749" s="1"/>
      <c r="Q749" s="1"/>
      <c r="R749" s="1"/>
      <c r="S749" s="1"/>
      <c r="T749" s="1"/>
    </row>
    <row r="750" spans="1:20" ht="26.25" customHeight="1">
      <c r="A750" s="17">
        <f t="shared" si="0"/>
        <v>747</v>
      </c>
      <c r="B750" s="18" t="s">
        <v>132</v>
      </c>
      <c r="C750" s="31" t="s">
        <v>3427</v>
      </c>
      <c r="D750" s="19" t="s">
        <v>374</v>
      </c>
      <c r="E750" s="20" t="s">
        <v>3428</v>
      </c>
      <c r="F750" s="32" t="s">
        <v>416</v>
      </c>
      <c r="G750" s="33" t="s">
        <v>42</v>
      </c>
      <c r="H750" s="23" t="s">
        <v>3429</v>
      </c>
      <c r="I750" s="24" t="s">
        <v>55</v>
      </c>
      <c r="J750" s="1" t="str">
        <f t="shared" si="104"/>
        <v/>
      </c>
      <c r="K750" s="1"/>
      <c r="L750" s="1" t="str">
        <f t="shared" si="1"/>
        <v/>
      </c>
      <c r="M750" s="1"/>
      <c r="N750" s="1"/>
      <c r="O750" s="1"/>
      <c r="P750" s="1"/>
      <c r="Q750" s="1"/>
      <c r="R750" s="1"/>
      <c r="S750" s="1"/>
      <c r="T750" s="1"/>
    </row>
    <row r="751" spans="1:20" ht="26.25" customHeight="1">
      <c r="A751" s="17">
        <f t="shared" si="0"/>
        <v>748</v>
      </c>
      <c r="B751" s="18" t="s">
        <v>13</v>
      </c>
      <c r="C751" s="31" t="s">
        <v>3430</v>
      </c>
      <c r="D751" s="19" t="s">
        <v>3431</v>
      </c>
      <c r="E751" s="20" t="s">
        <v>3432</v>
      </c>
      <c r="F751" s="32" t="s">
        <v>3433</v>
      </c>
      <c r="G751" s="33" t="s">
        <v>63</v>
      </c>
      <c r="H751" s="23" t="s">
        <v>3434</v>
      </c>
      <c r="I751" s="24" t="s">
        <v>55</v>
      </c>
      <c r="J751" s="1" t="str">
        <f t="shared" si="104"/>
        <v/>
      </c>
      <c r="K751" s="1"/>
      <c r="L751" s="1" t="str">
        <f t="shared" si="1"/>
        <v/>
      </c>
      <c r="M751" s="1"/>
      <c r="N751" s="1"/>
      <c r="O751" s="1"/>
      <c r="P751" s="1"/>
      <c r="Q751" s="1"/>
      <c r="R751" s="1"/>
      <c r="S751" s="1"/>
      <c r="T751" s="1"/>
    </row>
    <row r="752" spans="1:20" ht="26.25" customHeight="1">
      <c r="A752" s="17">
        <f t="shared" si="0"/>
        <v>749</v>
      </c>
      <c r="B752" s="18" t="s">
        <v>175</v>
      </c>
      <c r="C752" s="31" t="s">
        <v>3435</v>
      </c>
      <c r="D752" s="19" t="s">
        <v>2072</v>
      </c>
      <c r="E752" s="20" t="s">
        <v>3436</v>
      </c>
      <c r="F752" s="32" t="s">
        <v>3437</v>
      </c>
      <c r="G752" s="33" t="s">
        <v>42</v>
      </c>
      <c r="H752" s="23" t="s">
        <v>3438</v>
      </c>
      <c r="I752" s="24" t="s">
        <v>55</v>
      </c>
      <c r="J752" s="1" t="str">
        <f t="shared" si="104"/>
        <v/>
      </c>
      <c r="K752" s="1"/>
      <c r="L752" s="1" t="str">
        <f t="shared" si="1"/>
        <v/>
      </c>
      <c r="M752" s="1"/>
      <c r="N752" s="1"/>
      <c r="O752" s="1"/>
      <c r="P752" s="1"/>
      <c r="Q752" s="1"/>
      <c r="R752" s="1"/>
      <c r="S752" s="1"/>
      <c r="T752" s="1"/>
    </row>
    <row r="753" spans="1:20" ht="26.25" customHeight="1">
      <c r="A753" s="17">
        <f t="shared" si="0"/>
        <v>750</v>
      </c>
      <c r="B753" s="18" t="s">
        <v>105</v>
      </c>
      <c r="C753" s="31" t="s">
        <v>3439</v>
      </c>
      <c r="D753" s="19" t="s">
        <v>1546</v>
      </c>
      <c r="E753" s="20" t="s">
        <v>1547</v>
      </c>
      <c r="F753" s="32" t="s">
        <v>2902</v>
      </c>
      <c r="G753" s="33" t="s">
        <v>53</v>
      </c>
      <c r="H753" s="23" t="s">
        <v>3440</v>
      </c>
      <c r="I753" s="34" t="s">
        <v>55</v>
      </c>
      <c r="J753" s="1" t="str">
        <f t="shared" si="104"/>
        <v/>
      </c>
      <c r="K753" s="25">
        <v>4</v>
      </c>
      <c r="L753" s="1" t="str">
        <f t="shared" si="1"/>
        <v>2021 과기 서양</v>
      </c>
      <c r="M753" s="25"/>
      <c r="N753" s="25"/>
      <c r="O753" s="25"/>
      <c r="P753" s="25"/>
      <c r="Q753" s="25"/>
      <c r="R753" s="25"/>
      <c r="S753" s="25"/>
      <c r="T753" s="25"/>
    </row>
    <row r="754" spans="1:20" ht="26.25" customHeight="1">
      <c r="A754" s="17">
        <f t="shared" si="0"/>
        <v>751</v>
      </c>
      <c r="B754" s="18" t="s">
        <v>13</v>
      </c>
      <c r="C754" s="31" t="s">
        <v>3441</v>
      </c>
      <c r="D754" s="19" t="s">
        <v>3442</v>
      </c>
      <c r="E754" s="20" t="s">
        <v>3443</v>
      </c>
      <c r="F754" s="32" t="s">
        <v>3444</v>
      </c>
      <c r="G754" s="22" t="s">
        <v>1086</v>
      </c>
      <c r="H754" s="23" t="s">
        <v>3445</v>
      </c>
      <c r="I754" s="24" t="s">
        <v>55</v>
      </c>
      <c r="J754" s="1" t="str">
        <f t="shared" si="104"/>
        <v/>
      </c>
      <c r="K754" s="1"/>
      <c r="L754" s="1" t="str">
        <f t="shared" si="1"/>
        <v/>
      </c>
      <c r="M754" s="1"/>
      <c r="N754" s="1"/>
      <c r="O754" s="1"/>
      <c r="P754" s="1"/>
      <c r="Q754" s="1"/>
      <c r="R754" s="1"/>
      <c r="S754" s="1"/>
      <c r="T754" s="1"/>
    </row>
    <row r="755" spans="1:20" ht="26.25" customHeight="1">
      <c r="A755" s="17">
        <f t="shared" si="0"/>
        <v>752</v>
      </c>
      <c r="B755" s="18" t="s">
        <v>1375</v>
      </c>
      <c r="C755" s="31" t="s">
        <v>3446</v>
      </c>
      <c r="D755" s="19" t="s">
        <v>3447</v>
      </c>
      <c r="E755" s="20" t="s">
        <v>3448</v>
      </c>
      <c r="F755" s="32" t="s">
        <v>3449</v>
      </c>
      <c r="G755" s="22" t="s">
        <v>53</v>
      </c>
      <c r="H755" s="23" t="s">
        <v>3450</v>
      </c>
      <c r="I755" s="24" t="s">
        <v>55</v>
      </c>
      <c r="J755" s="1" t="str">
        <f t="shared" si="104"/>
        <v/>
      </c>
      <c r="K755" s="1"/>
      <c r="L755" s="1" t="str">
        <f t="shared" si="1"/>
        <v/>
      </c>
      <c r="M755" s="1"/>
      <c r="N755" s="1"/>
      <c r="O755" s="1"/>
      <c r="P755" s="1"/>
      <c r="Q755" s="1"/>
      <c r="R755" s="1"/>
      <c r="S755" s="1"/>
      <c r="T755" s="1"/>
    </row>
    <row r="756" spans="1:20" ht="26.25" customHeight="1">
      <c r="A756" s="17">
        <f t="shared" si="0"/>
        <v>753</v>
      </c>
      <c r="B756" s="18" t="s">
        <v>1375</v>
      </c>
      <c r="C756" s="31" t="s">
        <v>3451</v>
      </c>
      <c r="D756" s="19" t="s">
        <v>3452</v>
      </c>
      <c r="E756" s="20" t="s">
        <v>3453</v>
      </c>
      <c r="F756" s="32" t="s">
        <v>3454</v>
      </c>
      <c r="G756" s="22" t="s">
        <v>53</v>
      </c>
      <c r="H756" s="23" t="s">
        <v>3455</v>
      </c>
      <c r="I756" s="24" t="s">
        <v>55</v>
      </c>
      <c r="J756" s="1" t="str">
        <f t="shared" si="104"/>
        <v/>
      </c>
      <c r="K756" s="1"/>
      <c r="L756" s="1" t="str">
        <f t="shared" si="1"/>
        <v/>
      </c>
      <c r="M756" s="1"/>
      <c r="N756" s="1"/>
      <c r="O756" s="1"/>
      <c r="P756" s="1"/>
      <c r="Q756" s="1"/>
      <c r="R756" s="1"/>
      <c r="S756" s="1"/>
      <c r="T756" s="1"/>
    </row>
    <row r="757" spans="1:20" ht="26.25" customHeight="1">
      <c r="A757" s="17">
        <f t="shared" si="0"/>
        <v>754</v>
      </c>
      <c r="B757" s="18" t="s">
        <v>37</v>
      </c>
      <c r="C757" s="31" t="s">
        <v>3456</v>
      </c>
      <c r="D757" s="19" t="s">
        <v>1804</v>
      </c>
      <c r="E757" s="20"/>
      <c r="F757" s="32" t="s">
        <v>170</v>
      </c>
      <c r="G757" s="33" t="s">
        <v>53</v>
      </c>
      <c r="H757" s="23" t="s">
        <v>3457</v>
      </c>
      <c r="I757" s="24" t="s">
        <v>55</v>
      </c>
      <c r="J757" s="1" t="str">
        <f t="shared" si="104"/>
        <v/>
      </c>
      <c r="K757" s="1"/>
      <c r="L757" s="1" t="str">
        <f t="shared" si="1"/>
        <v/>
      </c>
      <c r="M757" s="1"/>
      <c r="N757" s="1"/>
      <c r="O757" s="1"/>
      <c r="P757" s="1"/>
      <c r="Q757" s="1"/>
      <c r="R757" s="1"/>
      <c r="S757" s="1"/>
      <c r="T757" s="1"/>
    </row>
    <row r="758" spans="1:20" ht="26.25" customHeight="1">
      <c r="A758" s="17">
        <f t="shared" si="0"/>
        <v>755</v>
      </c>
      <c r="B758" s="18" t="s">
        <v>867</v>
      </c>
      <c r="C758" s="31" t="s">
        <v>3458</v>
      </c>
      <c r="D758" s="19" t="s">
        <v>3459</v>
      </c>
      <c r="E758" s="20" t="s">
        <v>3460</v>
      </c>
      <c r="F758" s="21" t="s">
        <v>2284</v>
      </c>
      <c r="G758" s="33" t="s">
        <v>42</v>
      </c>
      <c r="H758" s="23" t="s">
        <v>3461</v>
      </c>
      <c r="I758" s="24" t="s">
        <v>20</v>
      </c>
      <c r="J758" s="1" t="s">
        <v>87</v>
      </c>
      <c r="K758" s="25">
        <v>4</v>
      </c>
      <c r="L758" s="1" t="str">
        <f t="shared" si="1"/>
        <v/>
      </c>
      <c r="M758" s="1"/>
      <c r="N758" s="1"/>
      <c r="O758" s="1"/>
      <c r="P758" s="1"/>
      <c r="Q758" s="1"/>
      <c r="R758" s="1"/>
      <c r="S758" s="1"/>
      <c r="T758" s="1"/>
    </row>
    <row r="759" spans="1:20" ht="26.25" customHeight="1">
      <c r="A759" s="17">
        <f t="shared" si="0"/>
        <v>756</v>
      </c>
      <c r="B759" s="18" t="s">
        <v>867</v>
      </c>
      <c r="C759" s="31" t="s">
        <v>3462</v>
      </c>
      <c r="D759" s="19" t="s">
        <v>3463</v>
      </c>
      <c r="E759" s="20" t="s">
        <v>3464</v>
      </c>
      <c r="F759" s="32" t="s">
        <v>3465</v>
      </c>
      <c r="G759" s="33" t="s">
        <v>53</v>
      </c>
      <c r="H759" s="23" t="s">
        <v>3466</v>
      </c>
      <c r="I759" s="24" t="s">
        <v>55</v>
      </c>
      <c r="J759" s="1" t="str">
        <f t="shared" ref="J759:J760" si="105">IFERROR(VLOOKUP(E759,#REF!,8,FALSE),"")</f>
        <v/>
      </c>
      <c r="K759" s="1"/>
      <c r="L759" s="1" t="str">
        <f t="shared" si="1"/>
        <v/>
      </c>
      <c r="M759" s="1"/>
      <c r="N759" s="1"/>
      <c r="O759" s="1"/>
      <c r="P759" s="1"/>
      <c r="Q759" s="1"/>
      <c r="R759" s="1"/>
      <c r="S759" s="1"/>
      <c r="T759" s="1"/>
    </row>
    <row r="760" spans="1:20" ht="26.25" customHeight="1">
      <c r="A760" s="17">
        <f t="shared" si="0"/>
        <v>757</v>
      </c>
      <c r="B760" s="18" t="s">
        <v>132</v>
      </c>
      <c r="C760" s="31" t="s">
        <v>3467</v>
      </c>
      <c r="D760" s="19" t="s">
        <v>3468</v>
      </c>
      <c r="E760" s="20" t="s">
        <v>1235</v>
      </c>
      <c r="F760" s="32" t="s">
        <v>170</v>
      </c>
      <c r="G760" s="22" t="s">
        <v>42</v>
      </c>
      <c r="H760" s="23" t="s">
        <v>3469</v>
      </c>
      <c r="I760" s="24" t="s">
        <v>55</v>
      </c>
      <c r="J760" s="1" t="str">
        <f t="shared" si="105"/>
        <v/>
      </c>
      <c r="K760" s="25">
        <v>3</v>
      </c>
      <c r="L760" s="1" t="str">
        <f t="shared" si="1"/>
        <v>2020 FRIC 서양</v>
      </c>
      <c r="M760" s="1"/>
      <c r="N760" s="1"/>
      <c r="O760" s="1"/>
      <c r="P760" s="1"/>
      <c r="Q760" s="1"/>
      <c r="R760" s="1"/>
      <c r="S760" s="1"/>
      <c r="T760" s="1"/>
    </row>
    <row r="761" spans="1:20" ht="26.25" customHeight="1">
      <c r="A761" s="17">
        <f t="shared" si="0"/>
        <v>758</v>
      </c>
      <c r="B761" s="18" t="s">
        <v>37</v>
      </c>
      <c r="C761" s="19" t="s">
        <v>3470</v>
      </c>
      <c r="D761" s="19" t="s">
        <v>173</v>
      </c>
      <c r="E761" s="20" t="s">
        <v>3471</v>
      </c>
      <c r="F761" s="21" t="s">
        <v>905</v>
      </c>
      <c r="G761" s="22" t="s">
        <v>31</v>
      </c>
      <c r="H761" s="23" t="s">
        <v>3472</v>
      </c>
      <c r="I761" s="24" t="s">
        <v>20</v>
      </c>
      <c r="J761" s="1" t="s">
        <v>21</v>
      </c>
      <c r="K761" s="25">
        <v>3</v>
      </c>
      <c r="L761" s="1" t="str">
        <f t="shared" si="1"/>
        <v/>
      </c>
      <c r="M761" s="1"/>
      <c r="N761" s="1"/>
      <c r="O761" s="1"/>
      <c r="P761" s="1"/>
      <c r="Q761" s="1"/>
      <c r="R761" s="1"/>
      <c r="S761" s="1"/>
      <c r="T761" s="1"/>
    </row>
    <row r="762" spans="1:20" ht="26.25" customHeight="1">
      <c r="A762" s="17">
        <f t="shared" si="0"/>
        <v>759</v>
      </c>
      <c r="B762" s="18" t="s">
        <v>233</v>
      </c>
      <c r="C762" s="31" t="s">
        <v>3473</v>
      </c>
      <c r="D762" s="19" t="s">
        <v>3474</v>
      </c>
      <c r="E762" s="20" t="s">
        <v>3475</v>
      </c>
      <c r="F762" s="32" t="s">
        <v>3476</v>
      </c>
      <c r="G762" s="22" t="s">
        <v>42</v>
      </c>
      <c r="H762" s="23" t="s">
        <v>3477</v>
      </c>
      <c r="I762" s="24" t="s">
        <v>55</v>
      </c>
      <c r="J762" s="1" t="str">
        <f>IFERROR(VLOOKUP(E762,#REF!,8,FALSE),"")</f>
        <v/>
      </c>
      <c r="K762" s="1"/>
      <c r="L762" s="1" t="str">
        <f t="shared" si="1"/>
        <v/>
      </c>
      <c r="M762" s="1"/>
      <c r="N762" s="1"/>
      <c r="O762" s="1"/>
      <c r="P762" s="1"/>
      <c r="Q762" s="1"/>
      <c r="R762" s="1"/>
      <c r="S762" s="1"/>
      <c r="T762" s="1"/>
    </row>
    <row r="763" spans="1:20" ht="26.25" customHeight="1">
      <c r="A763" s="17">
        <f t="shared" si="0"/>
        <v>760</v>
      </c>
      <c r="B763" s="18" t="s">
        <v>1375</v>
      </c>
      <c r="C763" s="19" t="s">
        <v>3478</v>
      </c>
      <c r="D763" s="19" t="s">
        <v>1162</v>
      </c>
      <c r="E763" s="20" t="s">
        <v>3479</v>
      </c>
      <c r="F763" s="21" t="s">
        <v>293</v>
      </c>
      <c r="G763" s="22" t="s">
        <v>31</v>
      </c>
      <c r="H763" s="23" t="s">
        <v>3480</v>
      </c>
      <c r="I763" s="24" t="s">
        <v>20</v>
      </c>
      <c r="J763" s="1" t="s">
        <v>21</v>
      </c>
      <c r="K763" s="25">
        <v>3</v>
      </c>
      <c r="L763" s="1" t="str">
        <f t="shared" si="1"/>
        <v/>
      </c>
      <c r="M763" s="1"/>
      <c r="N763" s="1"/>
      <c r="O763" s="1"/>
      <c r="P763" s="1"/>
      <c r="Q763" s="1"/>
      <c r="R763" s="1"/>
      <c r="S763" s="1"/>
      <c r="T763" s="1"/>
    </row>
    <row r="764" spans="1:20" ht="26.25" customHeight="1">
      <c r="A764" s="17">
        <f t="shared" si="0"/>
        <v>761</v>
      </c>
      <c r="B764" s="18" t="s">
        <v>132</v>
      </c>
      <c r="C764" s="31" t="s">
        <v>1551</v>
      </c>
      <c r="D764" s="19" t="s">
        <v>3481</v>
      </c>
      <c r="E764" s="20" t="s">
        <v>1553</v>
      </c>
      <c r="F764" s="32" t="s">
        <v>52</v>
      </c>
      <c r="G764" s="22" t="s">
        <v>53</v>
      </c>
      <c r="H764" s="23" t="s">
        <v>3482</v>
      </c>
      <c r="I764" s="34" t="s">
        <v>55</v>
      </c>
      <c r="J764" s="1" t="str">
        <f t="shared" ref="J764:J766" si="106">IFERROR(VLOOKUP(E764,#REF!,8,FALSE),"")</f>
        <v/>
      </c>
      <c r="K764" s="25">
        <v>4</v>
      </c>
      <c r="L764" s="1" t="str">
        <f t="shared" si="1"/>
        <v>2021 과기 서양</v>
      </c>
      <c r="M764" s="25"/>
      <c r="N764" s="25"/>
      <c r="O764" s="25"/>
      <c r="P764" s="25"/>
      <c r="Q764" s="25"/>
      <c r="R764" s="25"/>
      <c r="S764" s="25"/>
      <c r="T764" s="25"/>
    </row>
    <row r="765" spans="1:20" ht="26.25" customHeight="1">
      <c r="A765" s="17">
        <f t="shared" si="0"/>
        <v>762</v>
      </c>
      <c r="B765" s="18" t="s">
        <v>132</v>
      </c>
      <c r="C765" s="31" t="s">
        <v>352</v>
      </c>
      <c r="D765" s="19" t="s">
        <v>141</v>
      </c>
      <c r="E765" s="20" t="s">
        <v>354</v>
      </c>
      <c r="F765" s="32" t="s">
        <v>3483</v>
      </c>
      <c r="G765" s="22" t="s">
        <v>42</v>
      </c>
      <c r="H765" s="23" t="s">
        <v>3484</v>
      </c>
      <c r="I765" s="24" t="s">
        <v>55</v>
      </c>
      <c r="J765" s="1" t="str">
        <f t="shared" si="106"/>
        <v/>
      </c>
      <c r="K765" s="25">
        <v>3</v>
      </c>
      <c r="L765" s="1" t="str">
        <f t="shared" si="1"/>
        <v>2018 FRIC 서양</v>
      </c>
      <c r="M765" s="1"/>
      <c r="N765" s="1"/>
      <c r="O765" s="1"/>
      <c r="P765" s="1"/>
      <c r="Q765" s="1"/>
      <c r="R765" s="1"/>
      <c r="S765" s="1"/>
      <c r="T765" s="1"/>
    </row>
    <row r="766" spans="1:20" ht="26.25" customHeight="1">
      <c r="A766" s="17">
        <f t="shared" si="0"/>
        <v>763</v>
      </c>
      <c r="B766" s="18" t="s">
        <v>132</v>
      </c>
      <c r="C766" s="31" t="s">
        <v>3485</v>
      </c>
      <c r="D766" s="19" t="s">
        <v>3486</v>
      </c>
      <c r="E766" s="20" t="s">
        <v>3487</v>
      </c>
      <c r="F766" s="32" t="s">
        <v>3080</v>
      </c>
      <c r="G766" s="22" t="s">
        <v>63</v>
      </c>
      <c r="H766" s="23" t="s">
        <v>3488</v>
      </c>
      <c r="I766" s="24" t="s">
        <v>55</v>
      </c>
      <c r="J766" s="1" t="str">
        <f t="shared" si="106"/>
        <v/>
      </c>
      <c r="K766" s="1"/>
      <c r="L766" s="1" t="str">
        <f t="shared" si="1"/>
        <v/>
      </c>
      <c r="M766" s="1"/>
      <c r="N766" s="1"/>
      <c r="O766" s="1"/>
      <c r="P766" s="1"/>
      <c r="Q766" s="1"/>
      <c r="R766" s="1"/>
      <c r="S766" s="1"/>
      <c r="T766" s="1"/>
    </row>
    <row r="767" spans="1:20" ht="26.25" customHeight="1">
      <c r="A767" s="17">
        <f t="shared" si="0"/>
        <v>764</v>
      </c>
      <c r="B767" s="18" t="s">
        <v>132</v>
      </c>
      <c r="C767" s="19" t="s">
        <v>3489</v>
      </c>
      <c r="D767" s="19" t="s">
        <v>124</v>
      </c>
      <c r="E767" s="20" t="s">
        <v>3490</v>
      </c>
      <c r="F767" s="21" t="s">
        <v>135</v>
      </c>
      <c r="G767" s="22" t="s">
        <v>42</v>
      </c>
      <c r="H767" s="23" t="s">
        <v>3491</v>
      </c>
      <c r="I767" s="24" t="s">
        <v>20</v>
      </c>
      <c r="J767" s="1" t="s">
        <v>21</v>
      </c>
      <c r="K767" s="25">
        <v>3</v>
      </c>
      <c r="L767" s="1" t="str">
        <f t="shared" si="1"/>
        <v/>
      </c>
      <c r="M767" s="1"/>
      <c r="N767" s="1"/>
      <c r="O767" s="1"/>
      <c r="P767" s="1"/>
      <c r="Q767" s="1"/>
      <c r="R767" s="1"/>
      <c r="S767" s="1"/>
      <c r="T767" s="1"/>
    </row>
    <row r="768" spans="1:20" ht="26.25" customHeight="1">
      <c r="A768" s="17">
        <f t="shared" si="0"/>
        <v>765</v>
      </c>
      <c r="B768" s="18" t="s">
        <v>233</v>
      </c>
      <c r="C768" s="19" t="s">
        <v>3492</v>
      </c>
      <c r="D768" s="19" t="s">
        <v>3493</v>
      </c>
      <c r="E768" s="20" t="s">
        <v>3494</v>
      </c>
      <c r="F768" s="21" t="s">
        <v>135</v>
      </c>
      <c r="G768" s="22" t="s">
        <v>63</v>
      </c>
      <c r="H768" s="23" t="s">
        <v>3495</v>
      </c>
      <c r="I768" s="24" t="s">
        <v>20</v>
      </c>
      <c r="J768" s="1" t="s">
        <v>21</v>
      </c>
      <c r="K768" s="25">
        <v>3</v>
      </c>
      <c r="L768" s="1" t="str">
        <f t="shared" si="1"/>
        <v/>
      </c>
      <c r="M768" s="1"/>
      <c r="N768" s="1"/>
      <c r="O768" s="1"/>
      <c r="P768" s="1"/>
      <c r="Q768" s="1"/>
      <c r="R768" s="1"/>
      <c r="S768" s="1"/>
      <c r="T768" s="1"/>
    </row>
    <row r="769" spans="1:20" ht="26.25" customHeight="1">
      <c r="A769" s="17">
        <f t="shared" si="0"/>
        <v>766</v>
      </c>
      <c r="B769" s="18" t="s">
        <v>2181</v>
      </c>
      <c r="C769" s="31" t="s">
        <v>3496</v>
      </c>
      <c r="D769" s="19" t="s">
        <v>370</v>
      </c>
      <c r="E769" s="20" t="s">
        <v>3497</v>
      </c>
      <c r="F769" s="32" t="s">
        <v>222</v>
      </c>
      <c r="G769" s="33" t="s">
        <v>53</v>
      </c>
      <c r="H769" s="23" t="s">
        <v>3498</v>
      </c>
      <c r="I769" s="24" t="s">
        <v>55</v>
      </c>
      <c r="J769" s="1" t="str">
        <f>IFERROR(VLOOKUP(E769,#REF!,8,FALSE),"")</f>
        <v/>
      </c>
      <c r="K769" s="1"/>
      <c r="L769" s="1" t="str">
        <f t="shared" si="1"/>
        <v/>
      </c>
      <c r="M769" s="1"/>
      <c r="N769" s="1"/>
      <c r="O769" s="1"/>
      <c r="P769" s="1"/>
      <c r="Q769" s="1"/>
      <c r="R769" s="1"/>
      <c r="S769" s="1"/>
      <c r="T769" s="1"/>
    </row>
    <row r="770" spans="1:20" ht="26.25" customHeight="1">
      <c r="A770" s="17">
        <f t="shared" si="0"/>
        <v>767</v>
      </c>
      <c r="B770" s="18" t="s">
        <v>132</v>
      </c>
      <c r="C770" s="19" t="s">
        <v>3499</v>
      </c>
      <c r="D770" s="19" t="s">
        <v>124</v>
      </c>
      <c r="E770" s="20" t="s">
        <v>3500</v>
      </c>
      <c r="F770" s="21" t="s">
        <v>135</v>
      </c>
      <c r="G770" s="22" t="s">
        <v>42</v>
      </c>
      <c r="H770" s="23" t="s">
        <v>3501</v>
      </c>
      <c r="I770" s="24" t="s">
        <v>20</v>
      </c>
      <c r="J770" s="1" t="s">
        <v>21</v>
      </c>
      <c r="K770" s="25">
        <v>3</v>
      </c>
      <c r="L770" s="1" t="str">
        <f t="shared" si="1"/>
        <v/>
      </c>
      <c r="M770" s="1"/>
      <c r="N770" s="1"/>
      <c r="O770" s="1"/>
      <c r="P770" s="1"/>
      <c r="Q770" s="1"/>
      <c r="R770" s="1"/>
      <c r="S770" s="1"/>
      <c r="T770" s="1"/>
    </row>
    <row r="771" spans="1:20" ht="26.25" customHeight="1">
      <c r="A771" s="17">
        <f t="shared" si="0"/>
        <v>768</v>
      </c>
      <c r="B771" s="18" t="s">
        <v>642</v>
      </c>
      <c r="C771" s="31" t="s">
        <v>3502</v>
      </c>
      <c r="D771" s="19" t="s">
        <v>488</v>
      </c>
      <c r="E771" s="20" t="s">
        <v>3503</v>
      </c>
      <c r="F771" s="32" t="s">
        <v>3504</v>
      </c>
      <c r="G771" s="33" t="s">
        <v>53</v>
      </c>
      <c r="H771" s="23" t="s">
        <v>3505</v>
      </c>
      <c r="I771" s="24" t="s">
        <v>55</v>
      </c>
      <c r="J771" s="1" t="str">
        <f t="shared" ref="J771:J776" si="107">IFERROR(VLOOKUP(E771,#REF!,8,FALSE),"")</f>
        <v/>
      </c>
      <c r="K771" s="1"/>
      <c r="L771" s="1" t="str">
        <f t="shared" si="1"/>
        <v/>
      </c>
      <c r="M771" s="1"/>
      <c r="N771" s="1"/>
      <c r="O771" s="1"/>
      <c r="P771" s="1"/>
      <c r="Q771" s="1"/>
      <c r="R771" s="1"/>
      <c r="S771" s="1"/>
      <c r="T771" s="1"/>
    </row>
    <row r="772" spans="1:20" ht="26.25" customHeight="1">
      <c r="A772" s="17">
        <f t="shared" si="0"/>
        <v>769</v>
      </c>
      <c r="B772" s="18" t="s">
        <v>13</v>
      </c>
      <c r="C772" s="31" t="s">
        <v>1475</v>
      </c>
      <c r="D772" s="19" t="s">
        <v>3506</v>
      </c>
      <c r="E772" s="20" t="s">
        <v>1477</v>
      </c>
      <c r="F772" s="32" t="s">
        <v>3507</v>
      </c>
      <c r="G772" s="22" t="s">
        <v>53</v>
      </c>
      <c r="H772" s="23" t="s">
        <v>3508</v>
      </c>
      <c r="I772" s="34" t="s">
        <v>55</v>
      </c>
      <c r="J772" s="1" t="str">
        <f t="shared" si="107"/>
        <v/>
      </c>
      <c r="K772" s="25">
        <v>4</v>
      </c>
      <c r="L772" s="1" t="str">
        <f t="shared" si="1"/>
        <v>2021 과기 서양</v>
      </c>
      <c r="M772" s="25"/>
      <c r="N772" s="25"/>
      <c r="O772" s="25"/>
      <c r="P772" s="25"/>
      <c r="Q772" s="25"/>
      <c r="R772" s="25"/>
      <c r="S772" s="25"/>
      <c r="T772" s="25"/>
    </row>
    <row r="773" spans="1:20" ht="26.25" customHeight="1">
      <c r="A773" s="17">
        <f t="shared" si="0"/>
        <v>770</v>
      </c>
      <c r="B773" s="18" t="s">
        <v>1375</v>
      </c>
      <c r="C773" s="31" t="s">
        <v>3509</v>
      </c>
      <c r="D773" s="19" t="s">
        <v>1162</v>
      </c>
      <c r="E773" s="20" t="s">
        <v>3510</v>
      </c>
      <c r="F773" s="32" t="s">
        <v>2718</v>
      </c>
      <c r="G773" s="22" t="s">
        <v>53</v>
      </c>
      <c r="H773" s="23" t="s">
        <v>3511</v>
      </c>
      <c r="I773" s="24" t="s">
        <v>55</v>
      </c>
      <c r="J773" s="1" t="str">
        <f t="shared" si="107"/>
        <v/>
      </c>
      <c r="K773" s="1"/>
      <c r="L773" s="1" t="str">
        <f t="shared" si="1"/>
        <v/>
      </c>
      <c r="M773" s="1"/>
      <c r="N773" s="1"/>
      <c r="O773" s="1"/>
      <c r="P773" s="1"/>
      <c r="Q773" s="1"/>
      <c r="R773" s="1"/>
      <c r="S773" s="1"/>
      <c r="T773" s="1"/>
    </row>
    <row r="774" spans="1:20" ht="26.25" customHeight="1">
      <c r="A774" s="17">
        <f t="shared" si="0"/>
        <v>771</v>
      </c>
      <c r="B774" s="18" t="s">
        <v>1197</v>
      </c>
      <c r="C774" s="31" t="s">
        <v>507</v>
      </c>
      <c r="D774" s="19" t="s">
        <v>3512</v>
      </c>
      <c r="E774" s="20" t="s">
        <v>509</v>
      </c>
      <c r="F774" s="32" t="s">
        <v>3513</v>
      </c>
      <c r="G774" s="33" t="s">
        <v>53</v>
      </c>
      <c r="H774" s="59" t="s">
        <v>3514</v>
      </c>
      <c r="I774" s="24" t="s">
        <v>55</v>
      </c>
      <c r="J774" s="1" t="str">
        <f t="shared" si="107"/>
        <v/>
      </c>
      <c r="K774" s="25">
        <v>4</v>
      </c>
      <c r="L774" s="1" t="str">
        <f t="shared" si="1"/>
        <v>2019 과기 서양</v>
      </c>
      <c r="M774" s="1"/>
      <c r="N774" s="1"/>
      <c r="O774" s="1"/>
      <c r="P774" s="1"/>
      <c r="Q774" s="1"/>
      <c r="R774" s="1"/>
      <c r="S774" s="1"/>
      <c r="T774" s="1"/>
    </row>
    <row r="775" spans="1:20" ht="26.25" customHeight="1">
      <c r="A775" s="17">
        <f t="shared" si="0"/>
        <v>772</v>
      </c>
      <c r="B775" s="18" t="s">
        <v>1197</v>
      </c>
      <c r="C775" s="31" t="s">
        <v>3515</v>
      </c>
      <c r="D775" s="19" t="s">
        <v>3516</v>
      </c>
      <c r="E775" s="20" t="s">
        <v>3517</v>
      </c>
      <c r="F775" s="32" t="s">
        <v>3518</v>
      </c>
      <c r="G775" s="33" t="s">
        <v>53</v>
      </c>
      <c r="H775" s="23" t="s">
        <v>3519</v>
      </c>
      <c r="I775" s="24" t="s">
        <v>55</v>
      </c>
      <c r="J775" s="1" t="str">
        <f t="shared" si="107"/>
        <v/>
      </c>
      <c r="K775" s="1"/>
      <c r="L775" s="1" t="str">
        <f t="shared" si="1"/>
        <v/>
      </c>
      <c r="M775" s="1"/>
      <c r="N775" s="1"/>
      <c r="O775" s="1"/>
      <c r="P775" s="1"/>
      <c r="Q775" s="1"/>
      <c r="R775" s="1"/>
      <c r="S775" s="1"/>
      <c r="T775" s="1"/>
    </row>
    <row r="776" spans="1:20" ht="26.25" customHeight="1">
      <c r="A776" s="17">
        <f t="shared" si="0"/>
        <v>773</v>
      </c>
      <c r="B776" s="18" t="s">
        <v>1197</v>
      </c>
      <c r="C776" s="31" t="s">
        <v>3520</v>
      </c>
      <c r="D776" s="19" t="s">
        <v>3516</v>
      </c>
      <c r="E776" s="20" t="s">
        <v>3521</v>
      </c>
      <c r="F776" s="32" t="s">
        <v>3522</v>
      </c>
      <c r="G776" s="33" t="s">
        <v>42</v>
      </c>
      <c r="H776" s="23" t="s">
        <v>3523</v>
      </c>
      <c r="I776" s="24" t="s">
        <v>55</v>
      </c>
      <c r="J776" s="1" t="str">
        <f t="shared" si="107"/>
        <v/>
      </c>
      <c r="K776" s="1"/>
      <c r="L776" s="1" t="str">
        <f t="shared" si="1"/>
        <v/>
      </c>
      <c r="M776" s="1"/>
      <c r="N776" s="1"/>
      <c r="O776" s="1"/>
      <c r="P776" s="1"/>
      <c r="Q776" s="1"/>
      <c r="R776" s="1"/>
      <c r="S776" s="1"/>
      <c r="T776" s="1"/>
    </row>
    <row r="777" spans="1:20" ht="26.25" customHeight="1">
      <c r="A777" s="17">
        <f t="shared" si="0"/>
        <v>774</v>
      </c>
      <c r="B777" s="18" t="s">
        <v>1197</v>
      </c>
      <c r="C777" s="19" t="s">
        <v>3524</v>
      </c>
      <c r="D777" s="19" t="s">
        <v>3525</v>
      </c>
      <c r="E777" s="20" t="s">
        <v>3526</v>
      </c>
      <c r="F777" s="21" t="s">
        <v>135</v>
      </c>
      <c r="G777" s="33" t="s">
        <v>42</v>
      </c>
      <c r="H777" s="23" t="s">
        <v>3527</v>
      </c>
      <c r="I777" s="24" t="s">
        <v>20</v>
      </c>
      <c r="J777" s="1" t="s">
        <v>21</v>
      </c>
      <c r="K777" s="25">
        <v>3</v>
      </c>
      <c r="L777" s="1" t="str">
        <f t="shared" si="1"/>
        <v/>
      </c>
      <c r="M777" s="1"/>
      <c r="N777" s="1"/>
      <c r="O777" s="1"/>
      <c r="P777" s="1"/>
      <c r="Q777" s="1"/>
      <c r="R777" s="1"/>
      <c r="S777" s="1"/>
      <c r="T777" s="1"/>
    </row>
    <row r="778" spans="1:20" ht="26.25" customHeight="1">
      <c r="A778" s="17">
        <f t="shared" si="0"/>
        <v>775</v>
      </c>
      <c r="B778" s="18" t="s">
        <v>1197</v>
      </c>
      <c r="C778" s="31" t="s">
        <v>3528</v>
      </c>
      <c r="D778" s="19" t="s">
        <v>698</v>
      </c>
      <c r="E778" s="20" t="s">
        <v>3529</v>
      </c>
      <c r="F778" s="32" t="s">
        <v>3530</v>
      </c>
      <c r="G778" s="33" t="s">
        <v>42</v>
      </c>
      <c r="H778" s="23" t="s">
        <v>3531</v>
      </c>
      <c r="I778" s="24" t="s">
        <v>55</v>
      </c>
      <c r="J778" s="1" t="str">
        <f t="shared" ref="J778:J780" si="108">IFERROR(VLOOKUP(E778,#REF!,8,FALSE),"")</f>
        <v/>
      </c>
      <c r="K778" s="1"/>
      <c r="L778" s="1" t="str">
        <f t="shared" si="1"/>
        <v/>
      </c>
      <c r="M778" s="1"/>
      <c r="N778" s="1"/>
      <c r="O778" s="1"/>
      <c r="P778" s="1"/>
      <c r="Q778" s="1"/>
      <c r="R778" s="1"/>
      <c r="S778" s="1"/>
      <c r="T778" s="1"/>
    </row>
    <row r="779" spans="1:20" ht="26.25" customHeight="1">
      <c r="A779" s="17">
        <f t="shared" si="0"/>
        <v>776</v>
      </c>
      <c r="B779" s="18" t="s">
        <v>132</v>
      </c>
      <c r="C779" s="31" t="s">
        <v>3532</v>
      </c>
      <c r="D779" s="19" t="s">
        <v>196</v>
      </c>
      <c r="E779" s="20" t="s">
        <v>3533</v>
      </c>
      <c r="F779" s="32" t="s">
        <v>222</v>
      </c>
      <c r="G779" s="22" t="s">
        <v>42</v>
      </c>
      <c r="H779" s="23" t="s">
        <v>3534</v>
      </c>
      <c r="I779" s="24" t="s">
        <v>55</v>
      </c>
      <c r="J779" s="1" t="str">
        <f t="shared" si="108"/>
        <v/>
      </c>
      <c r="K779" s="1"/>
      <c r="L779" s="1" t="str">
        <f t="shared" si="1"/>
        <v/>
      </c>
      <c r="M779" s="1"/>
      <c r="N779" s="1"/>
      <c r="O779" s="1"/>
      <c r="P779" s="1"/>
      <c r="Q779" s="1"/>
      <c r="R779" s="1"/>
      <c r="S779" s="1"/>
      <c r="T779" s="1"/>
    </row>
    <row r="780" spans="1:20" ht="26.25" customHeight="1">
      <c r="A780" s="17">
        <f t="shared" si="0"/>
        <v>777</v>
      </c>
      <c r="B780" s="18" t="s">
        <v>132</v>
      </c>
      <c r="C780" s="31" t="s">
        <v>884</v>
      </c>
      <c r="D780" s="19" t="s">
        <v>124</v>
      </c>
      <c r="E780" s="20" t="s">
        <v>885</v>
      </c>
      <c r="F780" s="32" t="s">
        <v>170</v>
      </c>
      <c r="G780" s="22" t="s">
        <v>53</v>
      </c>
      <c r="H780" s="23" t="s">
        <v>3535</v>
      </c>
      <c r="I780" s="24" t="s">
        <v>55</v>
      </c>
      <c r="J780" s="1" t="str">
        <f t="shared" si="108"/>
        <v/>
      </c>
      <c r="K780" s="25">
        <v>3</v>
      </c>
      <c r="L780" s="1" t="str">
        <f t="shared" si="1"/>
        <v>2020 FRIC 서양</v>
      </c>
      <c r="M780" s="1"/>
      <c r="N780" s="1"/>
      <c r="O780" s="1"/>
      <c r="P780" s="1"/>
      <c r="Q780" s="1"/>
      <c r="R780" s="1"/>
      <c r="S780" s="1"/>
      <c r="T780" s="1"/>
    </row>
    <row r="781" spans="1:20" ht="26.25" customHeight="1">
      <c r="A781" s="17">
        <f t="shared" si="0"/>
        <v>778</v>
      </c>
      <c r="B781" s="18" t="s">
        <v>132</v>
      </c>
      <c r="C781" s="19" t="s">
        <v>3536</v>
      </c>
      <c r="D781" s="19" t="s">
        <v>3537</v>
      </c>
      <c r="E781" s="20" t="s">
        <v>3538</v>
      </c>
      <c r="F781" s="21" t="s">
        <v>3539</v>
      </c>
      <c r="G781" s="22" t="s">
        <v>42</v>
      </c>
      <c r="H781" s="23" t="s">
        <v>3540</v>
      </c>
      <c r="I781" s="24" t="s">
        <v>20</v>
      </c>
      <c r="J781" s="1" t="s">
        <v>21</v>
      </c>
      <c r="K781" s="25">
        <v>3</v>
      </c>
      <c r="L781" s="1" t="str">
        <f t="shared" si="1"/>
        <v/>
      </c>
      <c r="M781" s="1"/>
      <c r="N781" s="1"/>
      <c r="O781" s="1"/>
      <c r="P781" s="1"/>
      <c r="Q781" s="1"/>
      <c r="R781" s="1"/>
      <c r="S781" s="1"/>
      <c r="T781" s="1"/>
    </row>
    <row r="782" spans="1:20" ht="26.25" customHeight="1">
      <c r="A782" s="17">
        <f t="shared" si="0"/>
        <v>779</v>
      </c>
      <c r="B782" s="18" t="s">
        <v>132</v>
      </c>
      <c r="C782" s="31" t="s">
        <v>3541</v>
      </c>
      <c r="D782" s="19" t="s">
        <v>607</v>
      </c>
      <c r="E782" s="20" t="s">
        <v>1484</v>
      </c>
      <c r="F782" s="32" t="s">
        <v>52</v>
      </c>
      <c r="G782" s="22" t="s">
        <v>53</v>
      </c>
      <c r="H782" s="23" t="s">
        <v>3542</v>
      </c>
      <c r="I782" s="34" t="s">
        <v>55</v>
      </c>
      <c r="J782" s="1" t="str">
        <f>IFERROR(VLOOKUP(E782,#REF!,8,FALSE),"")</f>
        <v/>
      </c>
      <c r="K782" s="25">
        <v>4</v>
      </c>
      <c r="L782" s="1" t="str">
        <f t="shared" si="1"/>
        <v>2021 과기 서양</v>
      </c>
      <c r="M782" s="25"/>
      <c r="N782" s="25"/>
      <c r="O782" s="25"/>
      <c r="P782" s="25"/>
      <c r="Q782" s="25"/>
      <c r="R782" s="25"/>
      <c r="S782" s="25"/>
      <c r="T782" s="25"/>
    </row>
    <row r="783" spans="1:20" ht="26.25" customHeight="1">
      <c r="A783" s="17">
        <f t="shared" si="0"/>
        <v>780</v>
      </c>
      <c r="B783" s="18" t="s">
        <v>13</v>
      </c>
      <c r="C783" s="19" t="s">
        <v>3543</v>
      </c>
      <c r="D783" s="19" t="s">
        <v>1058</v>
      </c>
      <c r="E783" s="20" t="s">
        <v>3544</v>
      </c>
      <c r="F783" s="21" t="s">
        <v>135</v>
      </c>
      <c r="G783" s="22" t="s">
        <v>42</v>
      </c>
      <c r="H783" s="23" t="s">
        <v>3545</v>
      </c>
      <c r="I783" s="24" t="s">
        <v>20</v>
      </c>
      <c r="J783" s="1" t="s">
        <v>21</v>
      </c>
      <c r="K783" s="25">
        <v>3</v>
      </c>
      <c r="L783" s="1" t="str">
        <f t="shared" si="1"/>
        <v/>
      </c>
      <c r="M783" s="1"/>
      <c r="N783" s="1"/>
      <c r="O783" s="1"/>
      <c r="P783" s="1"/>
      <c r="Q783" s="1"/>
      <c r="R783" s="1"/>
      <c r="S783" s="1"/>
      <c r="T783" s="1"/>
    </row>
    <row r="784" spans="1:20" ht="26.25" customHeight="1">
      <c r="A784" s="17">
        <f t="shared" si="0"/>
        <v>781</v>
      </c>
      <c r="B784" s="18" t="s">
        <v>105</v>
      </c>
      <c r="C784" s="31" t="s">
        <v>3546</v>
      </c>
      <c r="D784" s="19" t="s">
        <v>3547</v>
      </c>
      <c r="E784" s="20" t="s">
        <v>523</v>
      </c>
      <c r="F784" s="32" t="s">
        <v>1033</v>
      </c>
      <c r="G784" s="33" t="s">
        <v>42</v>
      </c>
      <c r="H784" s="23" t="s">
        <v>3548</v>
      </c>
      <c r="I784" s="24" t="s">
        <v>55</v>
      </c>
      <c r="J784" s="1" t="str">
        <f t="shared" ref="J784:J787" si="109">IFERROR(VLOOKUP(E784,#REF!,8,FALSE),"")</f>
        <v/>
      </c>
      <c r="K784" s="25">
        <v>4</v>
      </c>
      <c r="L784" s="1" t="str">
        <f t="shared" si="1"/>
        <v>2019 과기 서양</v>
      </c>
      <c r="M784" s="1"/>
      <c r="N784" s="1"/>
      <c r="O784" s="1"/>
      <c r="P784" s="1"/>
      <c r="Q784" s="1"/>
      <c r="R784" s="1"/>
      <c r="S784" s="1"/>
      <c r="T784" s="1"/>
    </row>
    <row r="785" spans="1:20" ht="26.25" customHeight="1">
      <c r="A785" s="17">
        <f t="shared" si="0"/>
        <v>782</v>
      </c>
      <c r="B785" s="18" t="s">
        <v>175</v>
      </c>
      <c r="C785" s="31" t="s">
        <v>3549</v>
      </c>
      <c r="D785" s="19" t="s">
        <v>722</v>
      </c>
      <c r="E785" s="20" t="s">
        <v>197</v>
      </c>
      <c r="F785" s="32">
        <v>2015</v>
      </c>
      <c r="G785" s="33" t="s">
        <v>42</v>
      </c>
      <c r="H785" s="23" t="s">
        <v>3550</v>
      </c>
      <c r="I785" s="24" t="s">
        <v>55</v>
      </c>
      <c r="J785" s="1" t="str">
        <f t="shared" si="109"/>
        <v/>
      </c>
      <c r="K785" s="25">
        <v>3</v>
      </c>
      <c r="L785" s="1" t="str">
        <f t="shared" si="1"/>
        <v>2016 FRIC 서양</v>
      </c>
      <c r="M785" s="1"/>
      <c r="N785" s="1"/>
      <c r="O785" s="1"/>
      <c r="P785" s="1"/>
      <c r="Q785" s="1"/>
      <c r="R785" s="1"/>
      <c r="S785" s="1"/>
      <c r="T785" s="1"/>
    </row>
    <row r="786" spans="1:20" ht="26.25" customHeight="1">
      <c r="A786" s="17">
        <f t="shared" si="0"/>
        <v>783</v>
      </c>
      <c r="B786" s="18" t="s">
        <v>37</v>
      </c>
      <c r="C786" s="31" t="s">
        <v>3551</v>
      </c>
      <c r="D786" s="19" t="s">
        <v>3552</v>
      </c>
      <c r="E786" s="20" t="s">
        <v>3553</v>
      </c>
      <c r="F786" s="32" t="s">
        <v>3554</v>
      </c>
      <c r="G786" s="22" t="s">
        <v>53</v>
      </c>
      <c r="H786" s="23" t="s">
        <v>3555</v>
      </c>
      <c r="I786" s="24" t="s">
        <v>55</v>
      </c>
      <c r="J786" s="1" t="str">
        <f t="shared" si="109"/>
        <v/>
      </c>
      <c r="K786" s="1"/>
      <c r="L786" s="1" t="str">
        <f t="shared" si="1"/>
        <v/>
      </c>
      <c r="M786" s="1"/>
      <c r="N786" s="1"/>
      <c r="O786" s="1"/>
      <c r="P786" s="1"/>
      <c r="Q786" s="1"/>
      <c r="R786" s="1"/>
      <c r="S786" s="1"/>
      <c r="T786" s="1"/>
    </row>
    <row r="787" spans="1:20" ht="26.25" customHeight="1">
      <c r="A787" s="17">
        <f t="shared" si="0"/>
        <v>784</v>
      </c>
      <c r="B787" s="18" t="s">
        <v>13</v>
      </c>
      <c r="C787" s="31" t="s">
        <v>3556</v>
      </c>
      <c r="D787" s="19" t="s">
        <v>650</v>
      </c>
      <c r="E787" s="20" t="s">
        <v>1242</v>
      </c>
      <c r="F787" s="32" t="s">
        <v>170</v>
      </c>
      <c r="G787" s="22" t="s">
        <v>53</v>
      </c>
      <c r="H787" s="23" t="s">
        <v>3557</v>
      </c>
      <c r="I787" s="24" t="s">
        <v>55</v>
      </c>
      <c r="J787" s="1" t="str">
        <f t="shared" si="109"/>
        <v/>
      </c>
      <c r="K787" s="25">
        <v>3</v>
      </c>
      <c r="L787" s="1" t="str">
        <f t="shared" si="1"/>
        <v>2020 FRIC 서양</v>
      </c>
      <c r="M787" s="1"/>
      <c r="N787" s="1"/>
      <c r="O787" s="1"/>
      <c r="P787" s="1"/>
      <c r="Q787" s="1"/>
      <c r="R787" s="1"/>
      <c r="S787" s="1"/>
      <c r="T787" s="1"/>
    </row>
    <row r="788" spans="1:20" ht="26.25" customHeight="1">
      <c r="A788" s="17">
        <f t="shared" si="0"/>
        <v>785</v>
      </c>
      <c r="B788" s="18" t="s">
        <v>867</v>
      </c>
      <c r="C788" s="31" t="s">
        <v>3558</v>
      </c>
      <c r="D788" s="19" t="s">
        <v>3559</v>
      </c>
      <c r="E788" s="20" t="s">
        <v>3560</v>
      </c>
      <c r="F788" s="21" t="s">
        <v>933</v>
      </c>
      <c r="G788" s="33" t="s">
        <v>42</v>
      </c>
      <c r="H788" s="23" t="s">
        <v>3561</v>
      </c>
      <c r="I788" s="34" t="s">
        <v>20</v>
      </c>
      <c r="J788" s="1" t="s">
        <v>87</v>
      </c>
      <c r="K788" s="25">
        <v>4</v>
      </c>
      <c r="L788" s="1" t="str">
        <f t="shared" si="1"/>
        <v/>
      </c>
      <c r="M788" s="25"/>
      <c r="N788" s="25"/>
      <c r="O788" s="25"/>
      <c r="P788" s="25"/>
      <c r="Q788" s="25"/>
      <c r="R788" s="25"/>
      <c r="S788" s="25"/>
      <c r="T788" s="25"/>
    </row>
    <row r="789" spans="1:20" ht="26.25" customHeight="1">
      <c r="A789" s="17">
        <f t="shared" si="0"/>
        <v>786</v>
      </c>
      <c r="B789" s="18" t="s">
        <v>27</v>
      </c>
      <c r="C789" s="19" t="s">
        <v>3562</v>
      </c>
      <c r="D789" s="19" t="s">
        <v>3563</v>
      </c>
      <c r="E789" s="20" t="s">
        <v>3564</v>
      </c>
      <c r="F789" s="21" t="s">
        <v>41</v>
      </c>
      <c r="G789" s="22" t="s">
        <v>53</v>
      </c>
      <c r="H789" s="23" t="s">
        <v>3565</v>
      </c>
      <c r="I789" s="24" t="s">
        <v>20</v>
      </c>
      <c r="J789" s="1" t="s">
        <v>21</v>
      </c>
      <c r="K789" s="25">
        <v>3</v>
      </c>
      <c r="L789" s="1" t="str">
        <f t="shared" si="1"/>
        <v/>
      </c>
      <c r="M789" s="1"/>
      <c r="N789" s="1"/>
      <c r="O789" s="1"/>
      <c r="P789" s="1"/>
      <c r="Q789" s="1"/>
      <c r="R789" s="1"/>
      <c r="S789" s="1"/>
      <c r="T789" s="1"/>
    </row>
    <row r="790" spans="1:20" ht="26.25" customHeight="1">
      <c r="A790" s="17">
        <f t="shared" si="0"/>
        <v>787</v>
      </c>
      <c r="B790" s="18" t="s">
        <v>13</v>
      </c>
      <c r="C790" s="31" t="s">
        <v>3566</v>
      </c>
      <c r="D790" s="19" t="s">
        <v>3567</v>
      </c>
      <c r="E790" s="20" t="s">
        <v>3568</v>
      </c>
      <c r="F790" s="32" t="s">
        <v>3569</v>
      </c>
      <c r="G790" s="22" t="s">
        <v>53</v>
      </c>
      <c r="H790" s="23" t="s">
        <v>3570</v>
      </c>
      <c r="I790" s="24" t="s">
        <v>55</v>
      </c>
      <c r="J790" s="1" t="str">
        <f>IFERROR(VLOOKUP(E790,#REF!,8,FALSE),"")</f>
        <v/>
      </c>
      <c r="K790" s="1"/>
      <c r="L790" s="1" t="str">
        <f t="shared" si="1"/>
        <v/>
      </c>
      <c r="M790" s="1"/>
      <c r="N790" s="1"/>
      <c r="O790" s="1"/>
      <c r="P790" s="1"/>
      <c r="Q790" s="1"/>
      <c r="R790" s="1"/>
      <c r="S790" s="1"/>
      <c r="T790" s="1"/>
    </row>
    <row r="791" spans="1:20" ht="26.25" customHeight="1">
      <c r="A791" s="17">
        <f t="shared" si="0"/>
        <v>788</v>
      </c>
      <c r="B791" s="18" t="s">
        <v>13</v>
      </c>
      <c r="C791" s="19" t="s">
        <v>3571</v>
      </c>
      <c r="D791" s="19" t="s">
        <v>3567</v>
      </c>
      <c r="E791" s="20" t="s">
        <v>3572</v>
      </c>
      <c r="F791" s="21" t="s">
        <v>3573</v>
      </c>
      <c r="G791" s="22" t="s">
        <v>53</v>
      </c>
      <c r="H791" s="23" t="s">
        <v>3574</v>
      </c>
      <c r="I791" s="24" t="s">
        <v>20</v>
      </c>
      <c r="J791" s="1" t="s">
        <v>21</v>
      </c>
      <c r="K791" s="25">
        <v>3</v>
      </c>
      <c r="L791" s="1" t="str">
        <f t="shared" si="1"/>
        <v/>
      </c>
      <c r="M791" s="1"/>
      <c r="N791" s="1"/>
      <c r="O791" s="1"/>
      <c r="P791" s="1"/>
      <c r="Q791" s="1"/>
      <c r="R791" s="1"/>
      <c r="S791" s="1"/>
      <c r="T791" s="1"/>
    </row>
    <row r="792" spans="1:20" ht="26.25" customHeight="1">
      <c r="A792" s="17">
        <f t="shared" si="0"/>
        <v>789</v>
      </c>
      <c r="B792" s="18" t="s">
        <v>81</v>
      </c>
      <c r="C792" s="31" t="s">
        <v>3575</v>
      </c>
      <c r="D792" s="19" t="s">
        <v>3576</v>
      </c>
      <c r="E792" s="20" t="s">
        <v>3577</v>
      </c>
      <c r="F792" s="21" t="s">
        <v>2052</v>
      </c>
      <c r="G792" s="33" t="s">
        <v>53</v>
      </c>
      <c r="H792" s="23" t="s">
        <v>3578</v>
      </c>
      <c r="I792" s="34" t="s">
        <v>20</v>
      </c>
      <c r="J792" s="1" t="s">
        <v>87</v>
      </c>
      <c r="K792" s="25">
        <v>4</v>
      </c>
      <c r="L792" s="1" t="str">
        <f t="shared" si="1"/>
        <v/>
      </c>
      <c r="M792" s="25"/>
      <c r="N792" s="25"/>
      <c r="O792" s="25"/>
      <c r="P792" s="25"/>
      <c r="Q792" s="25"/>
      <c r="R792" s="25"/>
      <c r="S792" s="25"/>
      <c r="T792" s="25"/>
    </row>
    <row r="793" spans="1:20" ht="26.25" customHeight="1">
      <c r="A793" s="17">
        <f t="shared" si="0"/>
        <v>790</v>
      </c>
      <c r="B793" s="18" t="s">
        <v>13</v>
      </c>
      <c r="C793" s="19" t="s">
        <v>3579</v>
      </c>
      <c r="D793" s="19" t="s">
        <v>3580</v>
      </c>
      <c r="E793" s="20" t="s">
        <v>1850</v>
      </c>
      <c r="F793" s="32" t="s">
        <v>3581</v>
      </c>
      <c r="G793" s="22" t="s">
        <v>53</v>
      </c>
      <c r="H793" s="23" t="s">
        <v>3582</v>
      </c>
      <c r="I793" s="34" t="s">
        <v>55</v>
      </c>
      <c r="J793" s="1" t="str">
        <f>IFERROR(VLOOKUP(E793,#REF!,8,FALSE),"")</f>
        <v/>
      </c>
      <c r="K793" s="25">
        <v>3</v>
      </c>
      <c r="L793" s="1" t="str">
        <f t="shared" si="1"/>
        <v>2021 FRIC 동양</v>
      </c>
      <c r="M793" s="25"/>
      <c r="N793" s="25"/>
      <c r="O793" s="25"/>
      <c r="P793" s="25"/>
      <c r="Q793" s="25"/>
      <c r="R793" s="25"/>
      <c r="S793" s="25"/>
      <c r="T793" s="25"/>
    </row>
    <row r="794" spans="1:20" ht="26.25" customHeight="1">
      <c r="A794" s="17">
        <f t="shared" si="0"/>
        <v>791</v>
      </c>
      <c r="B794" s="18" t="s">
        <v>132</v>
      </c>
      <c r="C794" s="19" t="s">
        <v>3583</v>
      </c>
      <c r="D794" s="19" t="s">
        <v>3584</v>
      </c>
      <c r="E794" s="20" t="s">
        <v>3585</v>
      </c>
      <c r="F794" s="21" t="s">
        <v>905</v>
      </c>
      <c r="G794" s="22" t="s">
        <v>53</v>
      </c>
      <c r="H794" s="23" t="s">
        <v>3586</v>
      </c>
      <c r="I794" s="24" t="s">
        <v>20</v>
      </c>
      <c r="J794" s="1" t="s">
        <v>21</v>
      </c>
      <c r="K794" s="25">
        <v>3</v>
      </c>
      <c r="L794" s="1" t="str">
        <f t="shared" si="1"/>
        <v/>
      </c>
      <c r="M794" s="1"/>
      <c r="N794" s="1"/>
      <c r="O794" s="1"/>
      <c r="P794" s="1"/>
      <c r="Q794" s="1"/>
      <c r="R794" s="1"/>
      <c r="S794" s="1"/>
      <c r="T794" s="1"/>
    </row>
    <row r="795" spans="1:20" ht="26.25" customHeight="1">
      <c r="A795" s="17">
        <f t="shared" si="0"/>
        <v>792</v>
      </c>
      <c r="B795" s="18" t="s">
        <v>13</v>
      </c>
      <c r="C795" s="31" t="s">
        <v>786</v>
      </c>
      <c r="D795" s="19" t="s">
        <v>3587</v>
      </c>
      <c r="E795" s="20" t="s">
        <v>788</v>
      </c>
      <c r="F795" s="32" t="s">
        <v>1033</v>
      </c>
      <c r="G795" s="22" t="s">
        <v>53</v>
      </c>
      <c r="H795" s="23" t="s">
        <v>3588</v>
      </c>
      <c r="I795" s="24" t="s">
        <v>55</v>
      </c>
      <c r="J795" s="1" t="str">
        <f t="shared" ref="J795:J797" si="110">IFERROR(VLOOKUP(E795,#REF!,8,FALSE),"")</f>
        <v/>
      </c>
      <c r="K795" s="25">
        <v>3</v>
      </c>
      <c r="L795" s="1" t="str">
        <f t="shared" si="1"/>
        <v>2020 FRIC 동양</v>
      </c>
      <c r="M795" s="1"/>
      <c r="N795" s="1"/>
      <c r="O795" s="1"/>
      <c r="P795" s="1"/>
      <c r="Q795" s="1"/>
      <c r="R795" s="1"/>
      <c r="S795" s="1"/>
      <c r="T795" s="1"/>
    </row>
    <row r="796" spans="1:20" ht="26.25" customHeight="1">
      <c r="A796" s="17">
        <f t="shared" si="0"/>
        <v>793</v>
      </c>
      <c r="B796" s="18" t="s">
        <v>27</v>
      </c>
      <c r="C796" s="31" t="s">
        <v>3589</v>
      </c>
      <c r="D796" s="19" t="s">
        <v>3590</v>
      </c>
      <c r="E796" s="20" t="s">
        <v>795</v>
      </c>
      <c r="F796" s="32" t="s">
        <v>2100</v>
      </c>
      <c r="G796" s="22" t="s">
        <v>53</v>
      </c>
      <c r="H796" s="23" t="s">
        <v>3591</v>
      </c>
      <c r="I796" s="24" t="s">
        <v>55</v>
      </c>
      <c r="J796" s="1" t="str">
        <f t="shared" si="110"/>
        <v/>
      </c>
      <c r="K796" s="25">
        <v>3</v>
      </c>
      <c r="L796" s="1" t="str">
        <f t="shared" si="1"/>
        <v>2020 FRIC 동양</v>
      </c>
      <c r="M796" s="1"/>
      <c r="N796" s="1"/>
      <c r="O796" s="1"/>
      <c r="P796" s="1"/>
      <c r="Q796" s="1"/>
      <c r="R796" s="1"/>
      <c r="S796" s="1"/>
      <c r="T796" s="1"/>
    </row>
    <row r="797" spans="1:20" ht="26.25" customHeight="1">
      <c r="A797" s="17">
        <f t="shared" si="0"/>
        <v>794</v>
      </c>
      <c r="B797" s="18" t="s">
        <v>132</v>
      </c>
      <c r="C797" s="19" t="s">
        <v>3592</v>
      </c>
      <c r="D797" s="19" t="s">
        <v>3593</v>
      </c>
      <c r="E797" s="20" t="s">
        <v>1875</v>
      </c>
      <c r="F797" s="32" t="s">
        <v>2902</v>
      </c>
      <c r="G797" s="22" t="s">
        <v>53</v>
      </c>
      <c r="H797" s="23" t="s">
        <v>3594</v>
      </c>
      <c r="I797" s="34" t="s">
        <v>55</v>
      </c>
      <c r="J797" s="1" t="str">
        <f t="shared" si="110"/>
        <v/>
      </c>
      <c r="K797" s="25">
        <v>3</v>
      </c>
      <c r="L797" s="1" t="str">
        <f t="shared" si="1"/>
        <v>2021 FRIC 동양</v>
      </c>
      <c r="M797" s="25"/>
      <c r="N797" s="25"/>
      <c r="O797" s="25"/>
      <c r="P797" s="25"/>
      <c r="Q797" s="25"/>
      <c r="R797" s="25"/>
      <c r="S797" s="25"/>
      <c r="T797" s="25"/>
    </row>
    <row r="798" spans="1:20" ht="26.25" customHeight="1">
      <c r="A798" s="17">
        <f t="shared" si="0"/>
        <v>795</v>
      </c>
      <c r="B798" s="18" t="s">
        <v>13</v>
      </c>
      <c r="C798" s="19" t="s">
        <v>3595</v>
      </c>
      <c r="D798" s="19" t="s">
        <v>3596</v>
      </c>
      <c r="E798" s="20" t="s">
        <v>3597</v>
      </c>
      <c r="F798" s="21" t="s">
        <v>135</v>
      </c>
      <c r="G798" s="22" t="s">
        <v>53</v>
      </c>
      <c r="H798" s="23" t="s">
        <v>3598</v>
      </c>
      <c r="I798" s="24" t="s">
        <v>20</v>
      </c>
      <c r="J798" s="1" t="s">
        <v>21</v>
      </c>
      <c r="K798" s="25">
        <v>3</v>
      </c>
      <c r="L798" s="1" t="str">
        <f t="shared" si="1"/>
        <v/>
      </c>
      <c r="M798" s="1"/>
      <c r="N798" s="1"/>
      <c r="O798" s="1"/>
      <c r="P798" s="1"/>
      <c r="Q798" s="1"/>
      <c r="R798" s="1"/>
      <c r="S798" s="1"/>
      <c r="T798" s="1"/>
    </row>
    <row r="799" spans="1:20" ht="26.25" customHeight="1">
      <c r="A799" s="17">
        <f t="shared" si="0"/>
        <v>796</v>
      </c>
      <c r="B799" s="18" t="s">
        <v>13</v>
      </c>
      <c r="C799" s="31" t="s">
        <v>3599</v>
      </c>
      <c r="D799" s="19" t="s">
        <v>3600</v>
      </c>
      <c r="E799" s="20" t="s">
        <v>3601</v>
      </c>
      <c r="F799" s="32" t="s">
        <v>2718</v>
      </c>
      <c r="G799" s="22" t="s">
        <v>53</v>
      </c>
      <c r="H799" s="23" t="s">
        <v>3602</v>
      </c>
      <c r="I799" s="24" t="s">
        <v>55</v>
      </c>
      <c r="J799" s="1" t="str">
        <f t="shared" ref="J799:J802" si="111">IFERROR(VLOOKUP(E799,#REF!,8,FALSE),"")</f>
        <v/>
      </c>
      <c r="K799" s="1"/>
      <c r="L799" s="1" t="str">
        <f t="shared" si="1"/>
        <v/>
      </c>
      <c r="M799" s="1"/>
      <c r="N799" s="1"/>
      <c r="O799" s="1"/>
      <c r="P799" s="1"/>
      <c r="Q799" s="1"/>
      <c r="R799" s="1"/>
      <c r="S799" s="1"/>
      <c r="T799" s="1"/>
    </row>
    <row r="800" spans="1:20" ht="26.25" customHeight="1">
      <c r="A800" s="17">
        <f t="shared" si="0"/>
        <v>797</v>
      </c>
      <c r="B800" s="18" t="s">
        <v>1375</v>
      </c>
      <c r="C800" s="19" t="s">
        <v>3603</v>
      </c>
      <c r="D800" s="19" t="s">
        <v>3604</v>
      </c>
      <c r="E800" s="20" t="s">
        <v>1881</v>
      </c>
      <c r="F800" s="32" t="s">
        <v>178</v>
      </c>
      <c r="G800" s="22" t="s">
        <v>53</v>
      </c>
      <c r="H800" s="23" t="s">
        <v>3605</v>
      </c>
      <c r="I800" s="34" t="s">
        <v>55</v>
      </c>
      <c r="J800" s="1" t="str">
        <f t="shared" si="111"/>
        <v/>
      </c>
      <c r="K800" s="25">
        <v>3</v>
      </c>
      <c r="L800" s="1" t="str">
        <f t="shared" si="1"/>
        <v>2021 FRIC 동양</v>
      </c>
      <c r="M800" s="25"/>
      <c r="N800" s="25"/>
      <c r="O800" s="25"/>
      <c r="P800" s="25"/>
      <c r="Q800" s="25"/>
      <c r="R800" s="25"/>
      <c r="S800" s="25"/>
      <c r="T800" s="25"/>
    </row>
    <row r="801" spans="1:20" ht="26.25" customHeight="1">
      <c r="A801" s="17">
        <f t="shared" si="0"/>
        <v>798</v>
      </c>
      <c r="B801" s="18" t="s">
        <v>1375</v>
      </c>
      <c r="C801" s="31" t="s">
        <v>3606</v>
      </c>
      <c r="D801" s="19" t="s">
        <v>3607</v>
      </c>
      <c r="E801" s="20" t="s">
        <v>3608</v>
      </c>
      <c r="F801" s="32" t="s">
        <v>3609</v>
      </c>
      <c r="G801" s="22" t="s">
        <v>53</v>
      </c>
      <c r="H801" s="23" t="s">
        <v>3610</v>
      </c>
      <c r="I801" s="24" t="s">
        <v>55</v>
      </c>
      <c r="J801" s="1" t="str">
        <f t="shared" si="111"/>
        <v/>
      </c>
      <c r="K801" s="1"/>
      <c r="L801" s="1" t="str">
        <f t="shared" si="1"/>
        <v/>
      </c>
      <c r="M801" s="1"/>
      <c r="N801" s="1"/>
      <c r="O801" s="1"/>
      <c r="P801" s="1"/>
      <c r="Q801" s="1"/>
      <c r="R801" s="1"/>
      <c r="S801" s="1"/>
      <c r="T801" s="1"/>
    </row>
    <row r="802" spans="1:20" ht="26.25" customHeight="1">
      <c r="A802" s="17">
        <f t="shared" si="0"/>
        <v>799</v>
      </c>
      <c r="B802" s="18" t="s">
        <v>37</v>
      </c>
      <c r="C802" s="39" t="s">
        <v>1885</v>
      </c>
      <c r="D802" s="19" t="s">
        <v>3611</v>
      </c>
      <c r="E802" s="20"/>
      <c r="F802" s="32" t="s">
        <v>3612</v>
      </c>
      <c r="G802" s="33" t="s">
        <v>53</v>
      </c>
      <c r="H802" s="23" t="s">
        <v>3613</v>
      </c>
      <c r="I802" s="34" t="s">
        <v>55</v>
      </c>
      <c r="J802" s="1" t="str">
        <f t="shared" si="111"/>
        <v/>
      </c>
      <c r="K802" s="1"/>
      <c r="L802" s="1" t="str">
        <f t="shared" si="1"/>
        <v/>
      </c>
      <c r="M802" s="25"/>
      <c r="N802" s="25"/>
      <c r="O802" s="25"/>
      <c r="P802" s="25"/>
      <c r="Q802" s="25"/>
      <c r="R802" s="25"/>
      <c r="S802" s="25"/>
      <c r="T802" s="25"/>
    </row>
    <row r="803" spans="1:20" ht="26.25" customHeight="1">
      <c r="A803" s="17">
        <f t="shared" si="0"/>
        <v>800</v>
      </c>
      <c r="B803" s="18" t="s">
        <v>132</v>
      </c>
      <c r="C803" s="19" t="s">
        <v>3614</v>
      </c>
      <c r="D803" s="19" t="s">
        <v>3615</v>
      </c>
      <c r="E803" s="20" t="s">
        <v>3616</v>
      </c>
      <c r="F803" s="21" t="s">
        <v>1011</v>
      </c>
      <c r="G803" s="22" t="s">
        <v>53</v>
      </c>
      <c r="H803" s="23" t="s">
        <v>3617</v>
      </c>
      <c r="I803" s="24" t="s">
        <v>20</v>
      </c>
      <c r="J803" s="1" t="s">
        <v>21</v>
      </c>
      <c r="K803" s="25">
        <v>3</v>
      </c>
      <c r="L803" s="1" t="str">
        <f t="shared" si="1"/>
        <v/>
      </c>
      <c r="M803" s="1"/>
      <c r="N803" s="1"/>
      <c r="O803" s="1"/>
      <c r="P803" s="1"/>
      <c r="Q803" s="1"/>
      <c r="R803" s="1"/>
      <c r="S803" s="1"/>
      <c r="T803" s="1"/>
    </row>
    <row r="804" spans="1:20" ht="26.25" customHeight="1">
      <c r="A804" s="17">
        <f t="shared" si="0"/>
        <v>801</v>
      </c>
      <c r="B804" s="18" t="s">
        <v>132</v>
      </c>
      <c r="C804" s="19" t="s">
        <v>3618</v>
      </c>
      <c r="D804" s="19" t="s">
        <v>3584</v>
      </c>
      <c r="E804" s="20" t="s">
        <v>3619</v>
      </c>
      <c r="F804" s="21" t="s">
        <v>3266</v>
      </c>
      <c r="G804" s="22" t="s">
        <v>53</v>
      </c>
      <c r="H804" s="23" t="s">
        <v>3620</v>
      </c>
      <c r="I804" s="24" t="s">
        <v>20</v>
      </c>
      <c r="J804" s="1" t="s">
        <v>21</v>
      </c>
      <c r="K804" s="25">
        <v>3</v>
      </c>
      <c r="L804" s="1" t="str">
        <f t="shared" si="1"/>
        <v/>
      </c>
      <c r="M804" s="1"/>
      <c r="N804" s="1"/>
      <c r="O804" s="1"/>
      <c r="P804" s="1"/>
      <c r="Q804" s="1"/>
      <c r="R804" s="1"/>
      <c r="S804" s="1"/>
      <c r="T804" s="1"/>
    </row>
    <row r="805" spans="1:20" ht="26.25" customHeight="1">
      <c r="A805" s="17">
        <f t="shared" si="0"/>
        <v>802</v>
      </c>
      <c r="B805" s="18" t="s">
        <v>13</v>
      </c>
      <c r="C805" s="19" t="s">
        <v>1768</v>
      </c>
      <c r="D805" s="19" t="s">
        <v>1769</v>
      </c>
      <c r="E805" s="20" t="s">
        <v>1770</v>
      </c>
      <c r="F805" s="32" t="s">
        <v>178</v>
      </c>
      <c r="G805" s="22" t="s">
        <v>53</v>
      </c>
      <c r="H805" s="23" t="s">
        <v>3621</v>
      </c>
      <c r="I805" s="34" t="s">
        <v>55</v>
      </c>
      <c r="J805" s="1" t="str">
        <f t="shared" ref="J805:J806" si="112">IFERROR(VLOOKUP(E805,#REF!,8,FALSE),"")</f>
        <v/>
      </c>
      <c r="K805" s="25">
        <v>3</v>
      </c>
      <c r="L805" s="1" t="str">
        <f t="shared" si="1"/>
        <v>2021 FRIC 동양</v>
      </c>
      <c r="M805" s="25"/>
      <c r="N805" s="25"/>
      <c r="O805" s="25"/>
      <c r="P805" s="25"/>
      <c r="Q805" s="25"/>
      <c r="R805" s="25"/>
      <c r="S805" s="25"/>
      <c r="T805" s="25"/>
    </row>
    <row r="806" spans="1:20" ht="26.25" customHeight="1">
      <c r="A806" s="17">
        <f t="shared" si="0"/>
        <v>803</v>
      </c>
      <c r="B806" s="18" t="s">
        <v>13</v>
      </c>
      <c r="C806" s="19" t="s">
        <v>1772</v>
      </c>
      <c r="D806" s="19" t="s">
        <v>3622</v>
      </c>
      <c r="E806" s="20" t="s">
        <v>1774</v>
      </c>
      <c r="F806" s="32" t="s">
        <v>52</v>
      </c>
      <c r="G806" s="22" t="s">
        <v>53</v>
      </c>
      <c r="H806" s="23" t="s">
        <v>3623</v>
      </c>
      <c r="I806" s="34" t="s">
        <v>55</v>
      </c>
      <c r="J806" s="1" t="str">
        <f t="shared" si="112"/>
        <v/>
      </c>
      <c r="K806" s="25">
        <v>3</v>
      </c>
      <c r="L806" s="1" t="str">
        <f t="shared" si="1"/>
        <v>2021 FRIC 동양</v>
      </c>
      <c r="M806" s="25"/>
      <c r="N806" s="25"/>
      <c r="O806" s="25"/>
      <c r="P806" s="25"/>
      <c r="Q806" s="25"/>
      <c r="R806" s="25"/>
      <c r="S806" s="25"/>
      <c r="T806" s="25"/>
    </row>
    <row r="807" spans="1:20" ht="26.25" customHeight="1">
      <c r="A807" s="17">
        <f t="shared" si="0"/>
        <v>804</v>
      </c>
      <c r="B807" s="18" t="s">
        <v>13</v>
      </c>
      <c r="C807" s="19" t="s">
        <v>3624</v>
      </c>
      <c r="D807" s="19" t="s">
        <v>3625</v>
      </c>
      <c r="E807" s="20" t="s">
        <v>3626</v>
      </c>
      <c r="F807" s="21" t="s">
        <v>3627</v>
      </c>
      <c r="G807" s="22" t="s">
        <v>53</v>
      </c>
      <c r="H807" s="23" t="s">
        <v>3628</v>
      </c>
      <c r="I807" s="24" t="s">
        <v>20</v>
      </c>
      <c r="J807" s="1" t="s">
        <v>21</v>
      </c>
      <c r="K807" s="25">
        <v>3</v>
      </c>
      <c r="L807" s="1" t="str">
        <f t="shared" si="1"/>
        <v/>
      </c>
      <c r="M807" s="1"/>
      <c r="N807" s="1"/>
      <c r="O807" s="1"/>
      <c r="P807" s="1"/>
      <c r="Q807" s="1"/>
      <c r="R807" s="1"/>
      <c r="S807" s="1"/>
      <c r="T807" s="1"/>
    </row>
    <row r="808" spans="1:20" ht="26.25" customHeight="1">
      <c r="A808" s="17">
        <f t="shared" si="0"/>
        <v>805</v>
      </c>
      <c r="B808" s="18" t="s">
        <v>13</v>
      </c>
      <c r="C808" s="31" t="s">
        <v>3629</v>
      </c>
      <c r="D808" s="19" t="s">
        <v>3630</v>
      </c>
      <c r="E808" s="20" t="s">
        <v>3631</v>
      </c>
      <c r="F808" s="32" t="s">
        <v>3632</v>
      </c>
      <c r="G808" s="22" t="s">
        <v>53</v>
      </c>
      <c r="H808" s="23" t="s">
        <v>3633</v>
      </c>
      <c r="I808" s="24" t="s">
        <v>55</v>
      </c>
      <c r="J808" s="1" t="str">
        <f>IFERROR(VLOOKUP(E808,#REF!,8,FALSE),"")</f>
        <v/>
      </c>
      <c r="K808" s="1"/>
      <c r="L808" s="1" t="str">
        <f t="shared" si="1"/>
        <v/>
      </c>
      <c r="M808" s="1"/>
      <c r="N808" s="1"/>
      <c r="O808" s="1"/>
      <c r="P808" s="1"/>
      <c r="Q808" s="1"/>
      <c r="R808" s="1"/>
      <c r="S808" s="1"/>
      <c r="T808" s="1"/>
    </row>
    <row r="809" spans="1:20" ht="26.25" customHeight="1">
      <c r="A809" s="17">
        <f t="shared" si="0"/>
        <v>806</v>
      </c>
      <c r="B809" s="18" t="s">
        <v>13</v>
      </c>
      <c r="C809" s="19" t="s">
        <v>3634</v>
      </c>
      <c r="D809" s="19" t="s">
        <v>3635</v>
      </c>
      <c r="E809" s="79" t="s">
        <v>3636</v>
      </c>
      <c r="F809" s="21" t="s">
        <v>3637</v>
      </c>
      <c r="G809" s="22" t="s">
        <v>53</v>
      </c>
      <c r="H809" s="23" t="s">
        <v>3638</v>
      </c>
      <c r="I809" s="24" t="s">
        <v>20</v>
      </c>
      <c r="J809" s="1" t="s">
        <v>21</v>
      </c>
      <c r="K809" s="25">
        <v>3</v>
      </c>
      <c r="L809" s="1" t="str">
        <f t="shared" si="1"/>
        <v/>
      </c>
      <c r="M809" s="1"/>
      <c r="N809" s="1"/>
      <c r="O809" s="1"/>
      <c r="P809" s="1"/>
      <c r="Q809" s="1"/>
      <c r="R809" s="1"/>
      <c r="S809" s="1"/>
      <c r="T809" s="1"/>
    </row>
    <row r="810" spans="1:20" ht="26.25" customHeight="1">
      <c r="A810" s="17">
        <f t="shared" si="0"/>
        <v>807</v>
      </c>
      <c r="B810" s="18" t="s">
        <v>13</v>
      </c>
      <c r="C810" s="19" t="s">
        <v>1779</v>
      </c>
      <c r="D810" s="19" t="s">
        <v>3584</v>
      </c>
      <c r="E810" s="20" t="s">
        <v>1781</v>
      </c>
      <c r="F810" s="32" t="s">
        <v>52</v>
      </c>
      <c r="G810" s="22" t="s">
        <v>53</v>
      </c>
      <c r="H810" s="23" t="s">
        <v>3639</v>
      </c>
      <c r="I810" s="34" t="s">
        <v>55</v>
      </c>
      <c r="J810" s="1" t="str">
        <f>IFERROR(VLOOKUP(E810,#REF!,8,FALSE),"")</f>
        <v/>
      </c>
      <c r="K810" s="25">
        <v>3</v>
      </c>
      <c r="L810" s="1" t="str">
        <f t="shared" si="1"/>
        <v>2021 FRIC 동양</v>
      </c>
      <c r="M810" s="25"/>
      <c r="N810" s="25"/>
      <c r="O810" s="25"/>
      <c r="P810" s="25"/>
      <c r="Q810" s="25"/>
      <c r="R810" s="25"/>
      <c r="S810" s="25"/>
      <c r="T810" s="25"/>
    </row>
    <row r="811" spans="1:20" ht="26.25" customHeight="1">
      <c r="A811" s="17">
        <f t="shared" si="0"/>
        <v>808</v>
      </c>
      <c r="B811" s="18" t="s">
        <v>13</v>
      </c>
      <c r="C811" s="19" t="s">
        <v>3640</v>
      </c>
      <c r="D811" s="19" t="s">
        <v>2015</v>
      </c>
      <c r="E811" s="20" t="s">
        <v>3641</v>
      </c>
      <c r="F811" s="21" t="s">
        <v>3642</v>
      </c>
      <c r="G811" s="22" t="s">
        <v>53</v>
      </c>
      <c r="H811" s="23" t="s">
        <v>3643</v>
      </c>
      <c r="I811" s="24" t="s">
        <v>20</v>
      </c>
      <c r="J811" s="1" t="s">
        <v>21</v>
      </c>
      <c r="K811" s="25">
        <v>3</v>
      </c>
      <c r="L811" s="1" t="str">
        <f t="shared" si="1"/>
        <v/>
      </c>
      <c r="M811" s="1"/>
      <c r="N811" s="1"/>
      <c r="O811" s="1"/>
      <c r="P811" s="1"/>
      <c r="Q811" s="1"/>
      <c r="R811" s="1"/>
      <c r="S811" s="1"/>
      <c r="T811" s="1"/>
    </row>
    <row r="812" spans="1:20" ht="26.25" customHeight="1">
      <c r="A812" s="17">
        <f t="shared" si="0"/>
        <v>809</v>
      </c>
      <c r="B812" s="18" t="s">
        <v>37</v>
      </c>
      <c r="C812" s="19" t="s">
        <v>3644</v>
      </c>
      <c r="D812" s="19" t="s">
        <v>3645</v>
      </c>
      <c r="E812" s="20" t="s">
        <v>3646</v>
      </c>
      <c r="F812" s="21" t="s">
        <v>3647</v>
      </c>
      <c r="G812" s="22" t="s">
        <v>53</v>
      </c>
      <c r="H812" s="23" t="s">
        <v>3648</v>
      </c>
      <c r="I812" s="24" t="s">
        <v>20</v>
      </c>
      <c r="J812" s="1" t="s">
        <v>21</v>
      </c>
      <c r="K812" s="25">
        <v>3</v>
      </c>
      <c r="L812" s="1" t="str">
        <f t="shared" si="1"/>
        <v/>
      </c>
      <c r="M812" s="1"/>
      <c r="N812" s="1"/>
      <c r="O812" s="1"/>
      <c r="P812" s="1"/>
      <c r="Q812" s="1"/>
      <c r="R812" s="1"/>
      <c r="S812" s="1"/>
      <c r="T812" s="1"/>
    </row>
    <row r="813" spans="1:20" ht="26.25" customHeight="1">
      <c r="A813" s="17">
        <f t="shared" si="0"/>
        <v>810</v>
      </c>
      <c r="B813" s="18" t="s">
        <v>105</v>
      </c>
      <c r="C813" s="31" t="s">
        <v>3649</v>
      </c>
      <c r="D813" s="19" t="s">
        <v>3650</v>
      </c>
      <c r="E813" s="20" t="s">
        <v>3651</v>
      </c>
      <c r="F813" s="32" t="s">
        <v>3652</v>
      </c>
      <c r="G813" s="33" t="s">
        <v>53</v>
      </c>
      <c r="H813" s="23" t="s">
        <v>3653</v>
      </c>
      <c r="I813" s="24" t="s">
        <v>55</v>
      </c>
      <c r="J813" s="1" t="str">
        <f>IFERROR(VLOOKUP(E813,#REF!,8,FALSE),"")</f>
        <v/>
      </c>
      <c r="K813" s="1"/>
      <c r="L813" s="1" t="str">
        <f t="shared" si="1"/>
        <v/>
      </c>
      <c r="M813" s="1"/>
      <c r="N813" s="1"/>
      <c r="O813" s="1"/>
      <c r="P813" s="1"/>
      <c r="Q813" s="1"/>
      <c r="R813" s="1"/>
      <c r="S813" s="1"/>
      <c r="T813" s="1"/>
    </row>
    <row r="814" spans="1:20" ht="26.25" customHeight="1">
      <c r="A814" s="17">
        <f t="shared" si="0"/>
        <v>811</v>
      </c>
      <c r="B814" s="18" t="s">
        <v>132</v>
      </c>
      <c r="C814" s="19" t="s">
        <v>3654</v>
      </c>
      <c r="D814" s="19" t="s">
        <v>3655</v>
      </c>
      <c r="E814" s="20" t="s">
        <v>3656</v>
      </c>
      <c r="F814" s="21" t="s">
        <v>3657</v>
      </c>
      <c r="G814" s="22" t="s">
        <v>53</v>
      </c>
      <c r="H814" s="23" t="s">
        <v>3658</v>
      </c>
      <c r="I814" s="24" t="s">
        <v>20</v>
      </c>
      <c r="J814" s="1" t="s">
        <v>21</v>
      </c>
      <c r="K814" s="25">
        <v>3</v>
      </c>
      <c r="L814" s="1" t="str">
        <f t="shared" si="1"/>
        <v/>
      </c>
      <c r="M814" s="1"/>
      <c r="N814" s="1"/>
      <c r="O814" s="1"/>
      <c r="P814" s="1"/>
      <c r="Q814" s="1"/>
      <c r="R814" s="1"/>
      <c r="S814" s="1"/>
      <c r="T814" s="1"/>
    </row>
    <row r="815" spans="1:20" ht="26.25" customHeight="1">
      <c r="A815" s="17">
        <f t="shared" si="0"/>
        <v>812</v>
      </c>
      <c r="B815" s="18" t="s">
        <v>132</v>
      </c>
      <c r="C815" s="31" t="s">
        <v>3659</v>
      </c>
      <c r="D815" s="19" t="s">
        <v>3660</v>
      </c>
      <c r="E815" s="20" t="s">
        <v>3661</v>
      </c>
      <c r="F815" s="32" t="s">
        <v>3662</v>
      </c>
      <c r="G815" s="22" t="s">
        <v>53</v>
      </c>
      <c r="H815" s="23" t="s">
        <v>3663</v>
      </c>
      <c r="I815" s="24" t="s">
        <v>55</v>
      </c>
      <c r="J815" s="1" t="str">
        <f>IFERROR(VLOOKUP(E815,#REF!,8,FALSE),"")</f>
        <v/>
      </c>
      <c r="K815" s="1"/>
      <c r="L815" s="1" t="str">
        <f t="shared" si="1"/>
        <v/>
      </c>
      <c r="M815" s="1"/>
      <c r="N815" s="1"/>
      <c r="O815" s="1"/>
      <c r="P815" s="1"/>
      <c r="Q815" s="1"/>
      <c r="R815" s="1"/>
      <c r="S815" s="1"/>
      <c r="T815" s="1"/>
    </row>
    <row r="816" spans="1:20" ht="26.25" customHeight="1">
      <c r="A816" s="17">
        <f t="shared" si="0"/>
        <v>813</v>
      </c>
      <c r="B816" s="18" t="s">
        <v>27</v>
      </c>
      <c r="C816" s="19" t="s">
        <v>3664</v>
      </c>
      <c r="D816" s="19" t="s">
        <v>3665</v>
      </c>
      <c r="E816" s="20" t="s">
        <v>3666</v>
      </c>
      <c r="F816" s="21" t="s">
        <v>3667</v>
      </c>
      <c r="G816" s="22" t="s">
        <v>53</v>
      </c>
      <c r="H816" s="23" t="s">
        <v>3668</v>
      </c>
      <c r="I816" s="24" t="s">
        <v>20</v>
      </c>
      <c r="J816" s="1" t="s">
        <v>21</v>
      </c>
      <c r="K816" s="25">
        <v>3</v>
      </c>
      <c r="L816" s="1" t="str">
        <f t="shared" si="1"/>
        <v/>
      </c>
      <c r="M816" s="1"/>
      <c r="N816" s="1"/>
      <c r="O816" s="1"/>
      <c r="P816" s="1"/>
      <c r="Q816" s="1"/>
      <c r="R816" s="1"/>
      <c r="S816" s="1"/>
      <c r="T816" s="1"/>
    </row>
    <row r="817" spans="1:20" ht="26.25" customHeight="1">
      <c r="A817" s="17">
        <f t="shared" si="0"/>
        <v>814</v>
      </c>
      <c r="B817" s="18" t="s">
        <v>132</v>
      </c>
      <c r="C817" s="19" t="s">
        <v>3669</v>
      </c>
      <c r="D817" s="19" t="s">
        <v>3670</v>
      </c>
      <c r="E817" s="20" t="s">
        <v>3671</v>
      </c>
      <c r="F817" s="21" t="s">
        <v>135</v>
      </c>
      <c r="G817" s="22" t="s">
        <v>53</v>
      </c>
      <c r="H817" s="23" t="s">
        <v>3672</v>
      </c>
      <c r="I817" s="24" t="s">
        <v>20</v>
      </c>
      <c r="J817" s="1" t="s">
        <v>21</v>
      </c>
      <c r="K817" s="25">
        <v>3</v>
      </c>
      <c r="L817" s="1" t="str">
        <f t="shared" si="1"/>
        <v/>
      </c>
      <c r="M817" s="1"/>
      <c r="N817" s="1"/>
      <c r="O817" s="1"/>
      <c r="P817" s="1"/>
      <c r="Q817" s="1"/>
      <c r="R817" s="1"/>
      <c r="S817" s="1"/>
      <c r="T817" s="1"/>
    </row>
    <row r="818" spans="1:20" ht="26.25" customHeight="1">
      <c r="A818" s="17">
        <f t="shared" si="0"/>
        <v>815</v>
      </c>
      <c r="B818" s="18" t="s">
        <v>132</v>
      </c>
      <c r="C818" s="31" t="s">
        <v>3673</v>
      </c>
      <c r="D818" s="19" t="s">
        <v>3670</v>
      </c>
      <c r="E818" s="20" t="s">
        <v>758</v>
      </c>
      <c r="F818" s="32" t="s">
        <v>170</v>
      </c>
      <c r="G818" s="22" t="s">
        <v>53</v>
      </c>
      <c r="H818" s="23" t="s">
        <v>3674</v>
      </c>
      <c r="I818" s="24" t="s">
        <v>55</v>
      </c>
      <c r="J818" s="1" t="str">
        <f>IFERROR(VLOOKUP(E818,#REF!,8,FALSE),"")</f>
        <v/>
      </c>
      <c r="K818" s="25">
        <v>3</v>
      </c>
      <c r="L818" s="1" t="str">
        <f t="shared" si="1"/>
        <v>2020 FRIC 동양</v>
      </c>
      <c r="M818" s="1"/>
      <c r="N818" s="1"/>
      <c r="O818" s="1"/>
      <c r="P818" s="1"/>
      <c r="Q818" s="1"/>
      <c r="R818" s="1"/>
      <c r="S818" s="1"/>
      <c r="T818" s="1"/>
    </row>
    <row r="819" spans="1:20" ht="26.25" customHeight="1">
      <c r="A819" s="17">
        <f t="shared" si="0"/>
        <v>816</v>
      </c>
      <c r="B819" s="18" t="s">
        <v>37</v>
      </c>
      <c r="C819" s="19" t="s">
        <v>3675</v>
      </c>
      <c r="D819" s="19" t="s">
        <v>3676</v>
      </c>
      <c r="E819" s="20" t="s">
        <v>3677</v>
      </c>
      <c r="F819" s="21" t="s">
        <v>3678</v>
      </c>
      <c r="G819" s="22" t="s">
        <v>53</v>
      </c>
      <c r="H819" s="23" t="s">
        <v>3679</v>
      </c>
      <c r="I819" s="24" t="s">
        <v>20</v>
      </c>
      <c r="J819" s="1" t="s">
        <v>21</v>
      </c>
      <c r="K819" s="25">
        <v>3</v>
      </c>
      <c r="L819" s="1" t="str">
        <f t="shared" si="1"/>
        <v/>
      </c>
      <c r="M819" s="1"/>
      <c r="N819" s="1"/>
      <c r="O819" s="1"/>
      <c r="P819" s="1"/>
      <c r="Q819" s="1"/>
      <c r="R819" s="1"/>
      <c r="S819" s="1"/>
      <c r="T819" s="1"/>
    </row>
    <row r="820" spans="1:20" ht="26.25" customHeight="1">
      <c r="A820" s="17">
        <f t="shared" si="0"/>
        <v>817</v>
      </c>
      <c r="B820" s="18" t="s">
        <v>13</v>
      </c>
      <c r="C820" s="31" t="s">
        <v>3680</v>
      </c>
      <c r="D820" s="19" t="s">
        <v>3681</v>
      </c>
      <c r="E820" s="20" t="s">
        <v>3682</v>
      </c>
      <c r="F820" s="32" t="s">
        <v>3683</v>
      </c>
      <c r="G820" s="22" t="s">
        <v>53</v>
      </c>
      <c r="H820" s="23" t="s">
        <v>3684</v>
      </c>
      <c r="I820" s="24" t="s">
        <v>55</v>
      </c>
      <c r="J820" s="1" t="str">
        <f t="shared" ref="J820:J823" si="113">IFERROR(VLOOKUP(E820,#REF!,8,FALSE),"")</f>
        <v/>
      </c>
      <c r="K820" s="1"/>
      <c r="L820" s="1" t="str">
        <f t="shared" si="1"/>
        <v/>
      </c>
      <c r="M820" s="1"/>
      <c r="N820" s="1"/>
      <c r="O820" s="1"/>
      <c r="P820" s="1"/>
      <c r="Q820" s="1"/>
      <c r="R820" s="1"/>
      <c r="S820" s="1"/>
      <c r="T820" s="1"/>
    </row>
    <row r="821" spans="1:20" ht="26.25" customHeight="1">
      <c r="A821" s="17">
        <f t="shared" si="0"/>
        <v>818</v>
      </c>
      <c r="B821" s="18" t="s">
        <v>1375</v>
      </c>
      <c r="C821" s="31" t="s">
        <v>3685</v>
      </c>
      <c r="D821" s="19" t="s">
        <v>3686</v>
      </c>
      <c r="E821" s="20" t="s">
        <v>3687</v>
      </c>
      <c r="F821" s="32" t="s">
        <v>3688</v>
      </c>
      <c r="G821" s="22" t="s">
        <v>53</v>
      </c>
      <c r="H821" s="23" t="s">
        <v>3689</v>
      </c>
      <c r="I821" s="24" t="s">
        <v>55</v>
      </c>
      <c r="J821" s="1" t="str">
        <f t="shared" si="113"/>
        <v/>
      </c>
      <c r="K821" s="1"/>
      <c r="L821" s="1" t="str">
        <f t="shared" si="1"/>
        <v/>
      </c>
      <c r="M821" s="1"/>
      <c r="N821" s="1"/>
      <c r="O821" s="1"/>
      <c r="P821" s="1"/>
      <c r="Q821" s="1"/>
      <c r="R821" s="1"/>
      <c r="S821" s="1"/>
      <c r="T821" s="1"/>
    </row>
    <row r="822" spans="1:20" ht="26.25" customHeight="1">
      <c r="A822" s="17">
        <f t="shared" si="0"/>
        <v>819</v>
      </c>
      <c r="B822" s="18" t="s">
        <v>13</v>
      </c>
      <c r="C822" s="31" t="s">
        <v>3690</v>
      </c>
      <c r="D822" s="19" t="s">
        <v>3691</v>
      </c>
      <c r="E822" s="20" t="s">
        <v>3692</v>
      </c>
      <c r="F822" s="32" t="s">
        <v>3693</v>
      </c>
      <c r="G822" s="22" t="s">
        <v>53</v>
      </c>
      <c r="H822" s="23" t="s">
        <v>3694</v>
      </c>
      <c r="I822" s="24" t="s">
        <v>55</v>
      </c>
      <c r="J822" s="1" t="str">
        <f t="shared" si="113"/>
        <v/>
      </c>
      <c r="K822" s="1"/>
      <c r="L822" s="1" t="str">
        <f t="shared" si="1"/>
        <v/>
      </c>
      <c r="M822" s="1"/>
      <c r="N822" s="1"/>
      <c r="O822" s="1"/>
      <c r="P822" s="1"/>
      <c r="Q822" s="1"/>
      <c r="R822" s="1"/>
      <c r="S822" s="1"/>
      <c r="T822" s="1"/>
    </row>
    <row r="823" spans="1:20" ht="26.25" customHeight="1">
      <c r="A823" s="17">
        <f t="shared" si="0"/>
        <v>820</v>
      </c>
      <c r="B823" s="18" t="s">
        <v>13</v>
      </c>
      <c r="C823" s="31" t="s">
        <v>3695</v>
      </c>
      <c r="D823" s="19" t="s">
        <v>3696</v>
      </c>
      <c r="E823" s="20" t="s">
        <v>3697</v>
      </c>
      <c r="F823" s="32" t="s">
        <v>3698</v>
      </c>
      <c r="G823" s="22" t="s">
        <v>53</v>
      </c>
      <c r="H823" s="23" t="s">
        <v>3699</v>
      </c>
      <c r="I823" s="24" t="s">
        <v>55</v>
      </c>
      <c r="J823" s="1" t="str">
        <f t="shared" si="113"/>
        <v/>
      </c>
      <c r="K823" s="1"/>
      <c r="L823" s="1" t="str">
        <f t="shared" si="1"/>
        <v/>
      </c>
      <c r="M823" s="1"/>
      <c r="N823" s="1"/>
      <c r="O823" s="1"/>
      <c r="P823" s="1"/>
      <c r="Q823" s="1"/>
      <c r="R823" s="1"/>
      <c r="S823" s="1"/>
      <c r="T823" s="1"/>
    </row>
    <row r="824" spans="1:20" ht="26.25" customHeight="1">
      <c r="A824" s="17">
        <f t="shared" si="0"/>
        <v>821</v>
      </c>
      <c r="B824" s="18" t="s">
        <v>13</v>
      </c>
      <c r="C824" s="19" t="s">
        <v>3700</v>
      </c>
      <c r="D824" s="19" t="s">
        <v>3701</v>
      </c>
      <c r="E824" s="20" t="s">
        <v>3702</v>
      </c>
      <c r="F824" s="21" t="s">
        <v>17</v>
      </c>
      <c r="G824" s="22" t="s">
        <v>53</v>
      </c>
      <c r="H824" s="23" t="s">
        <v>3703</v>
      </c>
      <c r="I824" s="24" t="s">
        <v>20</v>
      </c>
      <c r="J824" s="1" t="s">
        <v>21</v>
      </c>
      <c r="K824" s="25">
        <v>3</v>
      </c>
      <c r="L824" s="1" t="str">
        <f t="shared" si="1"/>
        <v/>
      </c>
      <c r="M824" s="1"/>
      <c r="N824" s="1"/>
      <c r="O824" s="1"/>
      <c r="P824" s="1"/>
      <c r="Q824" s="1"/>
      <c r="R824" s="1"/>
      <c r="S824" s="1"/>
      <c r="T824" s="1"/>
    </row>
    <row r="825" spans="1:20" ht="26.25" customHeight="1">
      <c r="A825" s="17">
        <f t="shared" si="0"/>
        <v>822</v>
      </c>
      <c r="B825" s="18" t="s">
        <v>13</v>
      </c>
      <c r="C825" s="19" t="s">
        <v>3704</v>
      </c>
      <c r="D825" s="19" t="s">
        <v>3705</v>
      </c>
      <c r="E825" s="20" t="s">
        <v>3706</v>
      </c>
      <c r="F825" s="21" t="s">
        <v>905</v>
      </c>
      <c r="G825" s="22" t="s">
        <v>53</v>
      </c>
      <c r="H825" s="23" t="s">
        <v>3707</v>
      </c>
      <c r="I825" s="24" t="s">
        <v>20</v>
      </c>
      <c r="J825" s="1" t="s">
        <v>21</v>
      </c>
      <c r="K825" s="25">
        <v>3</v>
      </c>
      <c r="L825" s="1" t="str">
        <f t="shared" si="1"/>
        <v/>
      </c>
      <c r="M825" s="1"/>
      <c r="N825" s="1"/>
      <c r="O825" s="1"/>
      <c r="P825" s="1"/>
      <c r="Q825" s="1"/>
      <c r="R825" s="1"/>
      <c r="S825" s="1"/>
      <c r="T825" s="1"/>
    </row>
    <row r="826" spans="1:20" ht="26.25" customHeight="1">
      <c r="A826" s="17">
        <f t="shared" si="0"/>
        <v>823</v>
      </c>
      <c r="B826" s="18" t="s">
        <v>37</v>
      </c>
      <c r="C826" s="19" t="s">
        <v>3708</v>
      </c>
      <c r="D826" s="19" t="s">
        <v>3709</v>
      </c>
      <c r="E826" s="20" t="s">
        <v>3710</v>
      </c>
      <c r="F826" s="21" t="s">
        <v>3711</v>
      </c>
      <c r="G826" s="22" t="s">
        <v>53</v>
      </c>
      <c r="H826" s="23" t="s">
        <v>3712</v>
      </c>
      <c r="I826" s="24" t="s">
        <v>20</v>
      </c>
      <c r="J826" s="1" t="s">
        <v>21</v>
      </c>
      <c r="K826" s="25">
        <v>3</v>
      </c>
      <c r="L826" s="1" t="str">
        <f t="shared" si="1"/>
        <v/>
      </c>
      <c r="M826" s="1"/>
      <c r="N826" s="1"/>
      <c r="O826" s="1"/>
      <c r="P826" s="1"/>
      <c r="Q826" s="1"/>
      <c r="R826" s="1"/>
      <c r="S826" s="1"/>
      <c r="T826" s="1"/>
    </row>
    <row r="827" spans="1:20" ht="26.25" customHeight="1">
      <c r="A827" s="17">
        <f t="shared" si="0"/>
        <v>824</v>
      </c>
      <c r="B827" s="18" t="s">
        <v>132</v>
      </c>
      <c r="C827" s="19" t="s">
        <v>3713</v>
      </c>
      <c r="D827" s="19" t="s">
        <v>3714</v>
      </c>
      <c r="E827" s="20" t="s">
        <v>1787</v>
      </c>
      <c r="F827" s="32" t="s">
        <v>3715</v>
      </c>
      <c r="G827" s="22" t="s">
        <v>53</v>
      </c>
      <c r="H827" s="23" t="s">
        <v>3716</v>
      </c>
      <c r="I827" s="34" t="s">
        <v>55</v>
      </c>
      <c r="J827" s="1" t="str">
        <f t="shared" ref="J827:J829" si="114">IFERROR(VLOOKUP(E827,#REF!,8,FALSE),"")</f>
        <v/>
      </c>
      <c r="K827" s="25">
        <v>3</v>
      </c>
      <c r="L827" s="1" t="str">
        <f t="shared" si="1"/>
        <v>2021 FRIC 동양</v>
      </c>
      <c r="M827" s="25"/>
      <c r="N827" s="25"/>
      <c r="O827" s="25"/>
      <c r="P827" s="25"/>
      <c r="Q827" s="25"/>
      <c r="R827" s="25"/>
      <c r="S827" s="25"/>
      <c r="T827" s="25"/>
    </row>
    <row r="828" spans="1:20" ht="26.25" customHeight="1">
      <c r="A828" s="17">
        <f t="shared" si="0"/>
        <v>825</v>
      </c>
      <c r="B828" s="18" t="s">
        <v>132</v>
      </c>
      <c r="C828" s="19" t="s">
        <v>3717</v>
      </c>
      <c r="D828" s="19" t="s">
        <v>3718</v>
      </c>
      <c r="E828" s="20" t="s">
        <v>1794</v>
      </c>
      <c r="F828" s="32" t="s">
        <v>3719</v>
      </c>
      <c r="G828" s="22" t="s">
        <v>53</v>
      </c>
      <c r="H828" s="23" t="s">
        <v>3720</v>
      </c>
      <c r="I828" s="34" t="s">
        <v>55</v>
      </c>
      <c r="J828" s="1" t="str">
        <f t="shared" si="114"/>
        <v/>
      </c>
      <c r="K828" s="25">
        <v>3</v>
      </c>
      <c r="L828" s="1" t="str">
        <f t="shared" si="1"/>
        <v>2021 FRIC 동양</v>
      </c>
      <c r="M828" s="25"/>
      <c r="N828" s="25"/>
      <c r="O828" s="25"/>
      <c r="P828" s="25"/>
      <c r="Q828" s="25"/>
      <c r="R828" s="25"/>
      <c r="S828" s="25"/>
      <c r="T828" s="25"/>
    </row>
    <row r="829" spans="1:20" ht="26.25" customHeight="1">
      <c r="A829" s="17">
        <f t="shared" si="0"/>
        <v>826</v>
      </c>
      <c r="B829" s="18" t="s">
        <v>132</v>
      </c>
      <c r="C829" s="19" t="s">
        <v>1796</v>
      </c>
      <c r="D829" s="19" t="s">
        <v>3676</v>
      </c>
      <c r="E829" s="20" t="s">
        <v>1798</v>
      </c>
      <c r="F829" s="32" t="s">
        <v>3721</v>
      </c>
      <c r="G829" s="22" t="s">
        <v>53</v>
      </c>
      <c r="H829" s="23" t="s">
        <v>3722</v>
      </c>
      <c r="I829" s="34" t="s">
        <v>55</v>
      </c>
      <c r="J829" s="1" t="str">
        <f t="shared" si="114"/>
        <v/>
      </c>
      <c r="K829" s="25">
        <v>3</v>
      </c>
      <c r="L829" s="1" t="str">
        <f t="shared" si="1"/>
        <v>2021 FRIC 동양</v>
      </c>
      <c r="M829" s="25"/>
      <c r="N829" s="25"/>
      <c r="O829" s="25"/>
      <c r="P829" s="25"/>
      <c r="Q829" s="25"/>
      <c r="R829" s="25"/>
      <c r="S829" s="25"/>
      <c r="T829" s="25"/>
    </row>
    <row r="830" spans="1:20" ht="26.25" customHeight="1">
      <c r="A830" s="17">
        <f t="shared" si="0"/>
        <v>827</v>
      </c>
      <c r="B830" s="18" t="s">
        <v>132</v>
      </c>
      <c r="C830" s="19" t="s">
        <v>3723</v>
      </c>
      <c r="D830" s="19" t="s">
        <v>3676</v>
      </c>
      <c r="E830" s="20" t="s">
        <v>3724</v>
      </c>
      <c r="F830" s="21" t="s">
        <v>2382</v>
      </c>
      <c r="G830" s="22" t="s">
        <v>53</v>
      </c>
      <c r="H830" s="23" t="s">
        <v>3725</v>
      </c>
      <c r="I830" s="24" t="s">
        <v>20</v>
      </c>
      <c r="J830" s="1" t="s">
        <v>21</v>
      </c>
      <c r="K830" s="25">
        <v>3</v>
      </c>
      <c r="L830" s="1" t="str">
        <f t="shared" si="1"/>
        <v/>
      </c>
      <c r="M830" s="1"/>
      <c r="N830" s="1"/>
      <c r="O830" s="1"/>
      <c r="P830" s="1"/>
      <c r="Q830" s="1"/>
      <c r="R830" s="1"/>
      <c r="S830" s="1"/>
      <c r="T830" s="1"/>
    </row>
    <row r="831" spans="1:20" ht="26.25" customHeight="1">
      <c r="A831" s="17">
        <f t="shared" si="0"/>
        <v>828</v>
      </c>
      <c r="B831" s="18" t="s">
        <v>132</v>
      </c>
      <c r="C831" s="19" t="s">
        <v>3726</v>
      </c>
      <c r="D831" s="19" t="s">
        <v>3727</v>
      </c>
      <c r="E831" s="20" t="s">
        <v>3728</v>
      </c>
      <c r="F831" s="21" t="s">
        <v>3729</v>
      </c>
      <c r="G831" s="22" t="s">
        <v>53</v>
      </c>
      <c r="H831" s="23" t="s">
        <v>3730</v>
      </c>
      <c r="I831" s="24" t="s">
        <v>20</v>
      </c>
      <c r="J831" s="1" t="s">
        <v>21</v>
      </c>
      <c r="K831" s="25">
        <v>3</v>
      </c>
      <c r="L831" s="1" t="str">
        <f t="shared" si="1"/>
        <v/>
      </c>
      <c r="M831" s="1"/>
      <c r="N831" s="1"/>
      <c r="O831" s="1"/>
      <c r="P831" s="1"/>
      <c r="Q831" s="1"/>
      <c r="R831" s="1"/>
      <c r="S831" s="1"/>
      <c r="T831" s="1"/>
    </row>
    <row r="832" spans="1:20" ht="26.25" customHeight="1">
      <c r="A832" s="17">
        <f t="shared" si="0"/>
        <v>829</v>
      </c>
      <c r="B832" s="18" t="s">
        <v>105</v>
      </c>
      <c r="C832" s="31" t="s">
        <v>3731</v>
      </c>
      <c r="D832" s="19" t="s">
        <v>2460</v>
      </c>
      <c r="E832" s="20" t="s">
        <v>283</v>
      </c>
      <c r="F832" s="32" t="s">
        <v>3732</v>
      </c>
      <c r="G832" s="33" t="s">
        <v>53</v>
      </c>
      <c r="H832" s="23" t="s">
        <v>3733</v>
      </c>
      <c r="I832" s="24" t="s">
        <v>55</v>
      </c>
      <c r="J832" s="1" t="str">
        <f t="shared" ref="J832:J834" si="115">IFERROR(VLOOKUP(E832,#REF!,8,FALSE),"")</f>
        <v/>
      </c>
      <c r="K832" s="25">
        <v>4</v>
      </c>
      <c r="L832" s="1" t="str">
        <f t="shared" si="1"/>
        <v>2018 과기 동양</v>
      </c>
      <c r="M832" s="1"/>
      <c r="N832" s="1"/>
      <c r="O832" s="1"/>
      <c r="P832" s="1"/>
      <c r="Q832" s="1"/>
      <c r="R832" s="1"/>
      <c r="S832" s="1"/>
      <c r="T832" s="1"/>
    </row>
    <row r="833" spans="1:20" ht="26.25" customHeight="1">
      <c r="A833" s="17">
        <f t="shared" si="0"/>
        <v>830</v>
      </c>
      <c r="B833" s="18" t="s">
        <v>13</v>
      </c>
      <c r="C833" s="19" t="s">
        <v>3734</v>
      </c>
      <c r="D833" s="19" t="s">
        <v>3735</v>
      </c>
      <c r="E833" s="20" t="s">
        <v>1802</v>
      </c>
      <c r="F833" s="32" t="s">
        <v>3736</v>
      </c>
      <c r="G833" s="33" t="s">
        <v>53</v>
      </c>
      <c r="H833" s="23" t="s">
        <v>3737</v>
      </c>
      <c r="I833" s="34" t="s">
        <v>55</v>
      </c>
      <c r="J833" s="1" t="str">
        <f t="shared" si="115"/>
        <v/>
      </c>
      <c r="K833" s="25">
        <v>3</v>
      </c>
      <c r="L833" s="1" t="str">
        <f t="shared" si="1"/>
        <v>2021 FRIC 동양</v>
      </c>
      <c r="M833" s="25"/>
      <c r="N833" s="25"/>
      <c r="O833" s="25"/>
      <c r="P833" s="25"/>
      <c r="Q833" s="25"/>
      <c r="R833" s="25"/>
      <c r="S833" s="25"/>
      <c r="T833" s="25"/>
    </row>
    <row r="834" spans="1:20" ht="26.25" customHeight="1">
      <c r="A834" s="17">
        <f t="shared" si="0"/>
        <v>831</v>
      </c>
      <c r="B834" s="18" t="s">
        <v>132</v>
      </c>
      <c r="C834" s="31" t="s">
        <v>3738</v>
      </c>
      <c r="D834" s="19" t="s">
        <v>3739</v>
      </c>
      <c r="E834" s="20" t="s">
        <v>3740</v>
      </c>
      <c r="F834" s="32" t="s">
        <v>3741</v>
      </c>
      <c r="G834" s="33" t="s">
        <v>53</v>
      </c>
      <c r="H834" s="23" t="s">
        <v>3742</v>
      </c>
      <c r="I834" s="24" t="s">
        <v>55</v>
      </c>
      <c r="J834" s="1" t="str">
        <f t="shared" si="115"/>
        <v/>
      </c>
      <c r="K834" s="1"/>
      <c r="L834" s="1" t="str">
        <f t="shared" si="1"/>
        <v/>
      </c>
      <c r="M834" s="1"/>
      <c r="N834" s="1"/>
      <c r="O834" s="1"/>
      <c r="P834" s="1"/>
      <c r="Q834" s="1"/>
      <c r="R834" s="1"/>
      <c r="S834" s="1"/>
      <c r="T834" s="1"/>
    </row>
    <row r="835" spans="1:20" ht="26.25" customHeight="1">
      <c r="A835" s="17">
        <f t="shared" si="0"/>
        <v>832</v>
      </c>
      <c r="B835" s="18" t="s">
        <v>27</v>
      </c>
      <c r="C835" s="19" t="s">
        <v>3743</v>
      </c>
      <c r="D835" s="19" t="s">
        <v>3744</v>
      </c>
      <c r="E835" s="20" t="s">
        <v>3745</v>
      </c>
      <c r="F835" s="21" t="s">
        <v>135</v>
      </c>
      <c r="G835" s="33" t="s">
        <v>53</v>
      </c>
      <c r="H835" s="23" t="s">
        <v>3746</v>
      </c>
      <c r="I835" s="24" t="s">
        <v>20</v>
      </c>
      <c r="J835" s="1" t="s">
        <v>21</v>
      </c>
      <c r="K835" s="25">
        <v>3</v>
      </c>
      <c r="L835" s="1" t="str">
        <f t="shared" si="1"/>
        <v/>
      </c>
      <c r="M835" s="1"/>
      <c r="N835" s="1"/>
      <c r="O835" s="1"/>
      <c r="P835" s="1"/>
      <c r="Q835" s="1"/>
      <c r="R835" s="1"/>
      <c r="S835" s="1"/>
      <c r="T835" s="1"/>
    </row>
    <row r="836" spans="1:20" ht="26.25" customHeight="1">
      <c r="A836" s="17">
        <f t="shared" si="0"/>
        <v>833</v>
      </c>
      <c r="B836" s="18" t="s">
        <v>867</v>
      </c>
      <c r="C836" s="31" t="s">
        <v>3747</v>
      </c>
      <c r="D836" s="19" t="s">
        <v>3718</v>
      </c>
      <c r="E836" s="20" t="s">
        <v>3748</v>
      </c>
      <c r="F836" s="32" t="s">
        <v>3749</v>
      </c>
      <c r="G836" s="33" t="s">
        <v>53</v>
      </c>
      <c r="H836" s="23" t="s">
        <v>3750</v>
      </c>
      <c r="I836" s="24" t="s">
        <v>55</v>
      </c>
      <c r="J836" s="1" t="str">
        <f t="shared" ref="J836:J837" si="116">IFERROR(VLOOKUP(E836,#REF!,8,FALSE),"")</f>
        <v/>
      </c>
      <c r="K836" s="1"/>
      <c r="L836" s="1" t="str">
        <f t="shared" si="1"/>
        <v/>
      </c>
      <c r="M836" s="1"/>
      <c r="N836" s="1"/>
      <c r="O836" s="1"/>
      <c r="P836" s="1"/>
      <c r="Q836" s="1"/>
      <c r="R836" s="1"/>
      <c r="S836" s="1"/>
      <c r="T836" s="1"/>
    </row>
    <row r="837" spans="1:20" ht="26.25" customHeight="1">
      <c r="A837" s="17">
        <f t="shared" si="0"/>
        <v>834</v>
      </c>
      <c r="B837" s="18" t="s">
        <v>867</v>
      </c>
      <c r="C837" s="31" t="s">
        <v>3751</v>
      </c>
      <c r="D837" s="19" t="s">
        <v>3752</v>
      </c>
      <c r="E837" s="20" t="s">
        <v>3753</v>
      </c>
      <c r="F837" s="32" t="s">
        <v>3754</v>
      </c>
      <c r="G837" s="33" t="s">
        <v>53</v>
      </c>
      <c r="H837" s="23" t="s">
        <v>3755</v>
      </c>
      <c r="I837" s="24" t="s">
        <v>55</v>
      </c>
      <c r="J837" s="1" t="str">
        <f t="shared" si="116"/>
        <v/>
      </c>
      <c r="K837" s="1"/>
      <c r="L837" s="1" t="str">
        <f t="shared" si="1"/>
        <v/>
      </c>
      <c r="M837" s="1"/>
      <c r="N837" s="1"/>
      <c r="O837" s="1"/>
      <c r="P837" s="1"/>
      <c r="Q837" s="1"/>
      <c r="R837" s="1"/>
      <c r="S837" s="1"/>
      <c r="T837" s="1"/>
    </row>
    <row r="838" spans="1:20" ht="26.25" customHeight="1">
      <c r="A838" s="17">
        <f t="shared" si="0"/>
        <v>835</v>
      </c>
      <c r="B838" s="18" t="s">
        <v>13</v>
      </c>
      <c r="C838" s="19" t="s">
        <v>3756</v>
      </c>
      <c r="D838" s="19" t="s">
        <v>3757</v>
      </c>
      <c r="E838" s="20" t="s">
        <v>3758</v>
      </c>
      <c r="F838" s="21" t="s">
        <v>2052</v>
      </c>
      <c r="G838" s="33" t="s">
        <v>53</v>
      </c>
      <c r="H838" s="23" t="s">
        <v>3759</v>
      </c>
      <c r="I838" s="24" t="s">
        <v>20</v>
      </c>
      <c r="J838" s="1" t="s">
        <v>21</v>
      </c>
      <c r="K838" s="25">
        <v>3</v>
      </c>
      <c r="L838" s="1" t="str">
        <f t="shared" si="1"/>
        <v/>
      </c>
      <c r="M838" s="1"/>
      <c r="N838" s="1"/>
      <c r="O838" s="1"/>
      <c r="P838" s="1"/>
      <c r="Q838" s="1"/>
      <c r="R838" s="1"/>
      <c r="S838" s="1"/>
      <c r="T838" s="1"/>
    </row>
    <row r="839" spans="1:20" ht="26.25" customHeight="1">
      <c r="A839" s="17">
        <f t="shared" si="0"/>
        <v>836</v>
      </c>
      <c r="B839" s="18" t="s">
        <v>175</v>
      </c>
      <c r="C839" s="31" t="s">
        <v>3760</v>
      </c>
      <c r="D839" s="19" t="s">
        <v>3761</v>
      </c>
      <c r="E839" s="20" t="s">
        <v>3762</v>
      </c>
      <c r="F839" s="21" t="s">
        <v>2052</v>
      </c>
      <c r="G839" s="33" t="s">
        <v>53</v>
      </c>
      <c r="H839" s="23" t="s">
        <v>3763</v>
      </c>
      <c r="I839" s="34" t="s">
        <v>20</v>
      </c>
      <c r="J839" s="1" t="s">
        <v>87</v>
      </c>
      <c r="K839" s="25">
        <v>4</v>
      </c>
      <c r="L839" s="1" t="str">
        <f t="shared" si="1"/>
        <v/>
      </c>
      <c r="M839" s="25"/>
      <c r="N839" s="25"/>
      <c r="O839" s="25"/>
      <c r="P839" s="25"/>
      <c r="Q839" s="25"/>
      <c r="R839" s="25"/>
      <c r="S839" s="25"/>
      <c r="T839" s="25"/>
    </row>
    <row r="840" spans="1:20" ht="26.25" customHeight="1">
      <c r="A840" s="17">
        <f t="shared" si="0"/>
        <v>837</v>
      </c>
      <c r="B840" s="18" t="s">
        <v>3194</v>
      </c>
      <c r="C840" s="31" t="s">
        <v>3764</v>
      </c>
      <c r="D840" s="19" t="s">
        <v>3765</v>
      </c>
      <c r="E840" s="20" t="s">
        <v>3766</v>
      </c>
      <c r="F840" s="32" t="s">
        <v>3767</v>
      </c>
      <c r="G840" s="33" t="s">
        <v>53</v>
      </c>
      <c r="H840" s="23" t="s">
        <v>3768</v>
      </c>
      <c r="I840" s="24" t="s">
        <v>55</v>
      </c>
      <c r="J840" s="1" t="str">
        <f t="shared" ref="J840:J843" si="117">IFERROR(VLOOKUP(E840,#REF!,8,FALSE),"")</f>
        <v/>
      </c>
      <c r="K840" s="1"/>
      <c r="L840" s="1" t="str">
        <f t="shared" si="1"/>
        <v/>
      </c>
      <c r="M840" s="1"/>
      <c r="N840" s="1"/>
      <c r="O840" s="1"/>
      <c r="P840" s="1"/>
      <c r="Q840" s="1"/>
      <c r="R840" s="1"/>
      <c r="S840" s="1"/>
      <c r="T840" s="1"/>
    </row>
    <row r="841" spans="1:20" ht="26.25" customHeight="1">
      <c r="A841" s="17">
        <f t="shared" si="0"/>
        <v>838</v>
      </c>
      <c r="B841" s="18" t="s">
        <v>175</v>
      </c>
      <c r="C841" s="31" t="s">
        <v>3769</v>
      </c>
      <c r="D841" s="19" t="s">
        <v>3770</v>
      </c>
      <c r="E841" s="20" t="s">
        <v>432</v>
      </c>
      <c r="F841" s="32" t="s">
        <v>3771</v>
      </c>
      <c r="G841" s="33" t="s">
        <v>53</v>
      </c>
      <c r="H841" s="23" t="s">
        <v>3772</v>
      </c>
      <c r="I841" s="24" t="s">
        <v>55</v>
      </c>
      <c r="J841" s="1" t="str">
        <f t="shared" si="117"/>
        <v/>
      </c>
      <c r="K841" s="25">
        <v>4</v>
      </c>
      <c r="L841" s="1" t="str">
        <f t="shared" si="1"/>
        <v>2019 과기 동양</v>
      </c>
      <c r="M841" s="1"/>
      <c r="N841" s="1"/>
      <c r="O841" s="1"/>
      <c r="P841" s="1"/>
      <c r="Q841" s="1"/>
      <c r="R841" s="1"/>
      <c r="S841" s="1"/>
      <c r="T841" s="1"/>
    </row>
    <row r="842" spans="1:20" ht="26.25" customHeight="1">
      <c r="A842" s="17">
        <f t="shared" si="0"/>
        <v>839</v>
      </c>
      <c r="B842" s="18" t="s">
        <v>175</v>
      </c>
      <c r="C842" s="31" t="s">
        <v>3773</v>
      </c>
      <c r="D842" s="19" t="s">
        <v>3774</v>
      </c>
      <c r="E842" s="20" t="s">
        <v>1583</v>
      </c>
      <c r="F842" s="21" t="s">
        <v>3775</v>
      </c>
      <c r="G842" s="33" t="s">
        <v>53</v>
      </c>
      <c r="H842" s="23" t="s">
        <v>3776</v>
      </c>
      <c r="I842" s="34" t="s">
        <v>55</v>
      </c>
      <c r="J842" s="1" t="str">
        <f t="shared" si="117"/>
        <v/>
      </c>
      <c r="K842" s="25">
        <v>4</v>
      </c>
      <c r="L842" s="1" t="str">
        <f t="shared" si="1"/>
        <v>2021 과기 동양</v>
      </c>
      <c r="M842" s="25"/>
      <c r="N842" s="25"/>
      <c r="O842" s="25"/>
      <c r="P842" s="25"/>
      <c r="Q842" s="25"/>
      <c r="R842" s="25"/>
      <c r="S842" s="25"/>
      <c r="T842" s="25"/>
    </row>
    <row r="843" spans="1:20" ht="26.25" customHeight="1">
      <c r="A843" s="17">
        <f t="shared" si="0"/>
        <v>840</v>
      </c>
      <c r="B843" s="18" t="s">
        <v>27</v>
      </c>
      <c r="C843" s="31" t="s">
        <v>3777</v>
      </c>
      <c r="D843" s="19" t="s">
        <v>3778</v>
      </c>
      <c r="E843" s="1"/>
      <c r="F843" s="32" t="s">
        <v>3779</v>
      </c>
      <c r="G843" s="33" t="s">
        <v>53</v>
      </c>
      <c r="H843" s="23" t="s">
        <v>3780</v>
      </c>
      <c r="I843" s="24" t="s">
        <v>55</v>
      </c>
      <c r="J843" s="1" t="str">
        <f t="shared" si="117"/>
        <v/>
      </c>
      <c r="K843" s="1"/>
      <c r="L843" s="1" t="str">
        <f t="shared" si="1"/>
        <v/>
      </c>
      <c r="M843" s="1"/>
      <c r="N843" s="1"/>
      <c r="O843" s="1"/>
      <c r="P843" s="1"/>
      <c r="Q843" s="1"/>
      <c r="R843" s="1"/>
      <c r="S843" s="1"/>
      <c r="T843" s="1"/>
    </row>
    <row r="844" spans="1:20" ht="26.25" customHeight="1">
      <c r="A844" s="17">
        <f t="shared" si="0"/>
        <v>841</v>
      </c>
      <c r="B844" s="18" t="s">
        <v>132</v>
      </c>
      <c r="C844" s="19" t="s">
        <v>3781</v>
      </c>
      <c r="D844" s="19" t="s">
        <v>3782</v>
      </c>
      <c r="E844" s="20" t="s">
        <v>3783</v>
      </c>
      <c r="F844" s="21" t="s">
        <v>2052</v>
      </c>
      <c r="G844" s="22" t="s">
        <v>53</v>
      </c>
      <c r="H844" s="23" t="s">
        <v>3784</v>
      </c>
      <c r="I844" s="24" t="s">
        <v>20</v>
      </c>
      <c r="J844" s="1" t="s">
        <v>21</v>
      </c>
      <c r="K844" s="25">
        <v>3</v>
      </c>
      <c r="L844" s="1" t="str">
        <f t="shared" si="1"/>
        <v/>
      </c>
      <c r="M844" s="1"/>
      <c r="N844" s="1"/>
      <c r="O844" s="1"/>
      <c r="P844" s="1"/>
      <c r="Q844" s="1"/>
      <c r="R844" s="1"/>
      <c r="S844" s="1"/>
      <c r="T844" s="1"/>
    </row>
    <row r="845" spans="1:20" ht="26.25" customHeight="1">
      <c r="A845" s="17">
        <f t="shared" si="0"/>
        <v>842</v>
      </c>
      <c r="B845" s="18" t="s">
        <v>105</v>
      </c>
      <c r="C845" s="31" t="s">
        <v>3785</v>
      </c>
      <c r="D845" s="19" t="s">
        <v>3786</v>
      </c>
      <c r="E845" s="20" t="s">
        <v>3787</v>
      </c>
      <c r="F845" s="21" t="s">
        <v>2236</v>
      </c>
      <c r="G845" s="33" t="s">
        <v>53</v>
      </c>
      <c r="H845" s="23" t="s">
        <v>3788</v>
      </c>
      <c r="I845" s="34" t="s">
        <v>20</v>
      </c>
      <c r="J845" s="1" t="s">
        <v>87</v>
      </c>
      <c r="K845" s="25">
        <v>4</v>
      </c>
      <c r="L845" s="1" t="str">
        <f t="shared" si="1"/>
        <v/>
      </c>
      <c r="M845" s="25"/>
      <c r="N845" s="25"/>
      <c r="O845" s="25"/>
      <c r="P845" s="25"/>
      <c r="Q845" s="25"/>
      <c r="R845" s="25"/>
      <c r="S845" s="25"/>
      <c r="T845" s="25"/>
    </row>
    <row r="846" spans="1:20" ht="26.25" customHeight="1">
      <c r="A846" s="17">
        <f t="shared" si="0"/>
        <v>843</v>
      </c>
      <c r="B846" s="18" t="s">
        <v>13</v>
      </c>
      <c r="C846" s="19" t="s">
        <v>3789</v>
      </c>
      <c r="D846" s="19" t="s">
        <v>3790</v>
      </c>
      <c r="E846" s="79" t="s">
        <v>3791</v>
      </c>
      <c r="F846" s="21" t="s">
        <v>3792</v>
      </c>
      <c r="G846" s="33" t="s">
        <v>53</v>
      </c>
      <c r="H846" s="23" t="s">
        <v>3793</v>
      </c>
      <c r="I846" s="24" t="s">
        <v>20</v>
      </c>
      <c r="J846" s="1" t="s">
        <v>21</v>
      </c>
      <c r="K846" s="25">
        <v>3</v>
      </c>
      <c r="L846" s="1" t="str">
        <f t="shared" si="1"/>
        <v/>
      </c>
      <c r="M846" s="1"/>
      <c r="N846" s="1"/>
      <c r="O846" s="1"/>
      <c r="P846" s="1"/>
      <c r="Q846" s="1"/>
      <c r="R846" s="1"/>
      <c r="S846" s="1"/>
      <c r="T846" s="1"/>
    </row>
    <row r="847" spans="1:20" ht="26.25" customHeight="1">
      <c r="A847" s="17">
        <f t="shared" si="0"/>
        <v>844</v>
      </c>
      <c r="B847" s="18" t="s">
        <v>37</v>
      </c>
      <c r="C847" s="31" t="s">
        <v>202</v>
      </c>
      <c r="D847" s="19" t="s">
        <v>3794</v>
      </c>
      <c r="E847" s="20" t="s">
        <v>204</v>
      </c>
      <c r="F847" s="32" t="s">
        <v>3795</v>
      </c>
      <c r="G847" s="33" t="s">
        <v>53</v>
      </c>
      <c r="H847" s="23" t="s">
        <v>3796</v>
      </c>
      <c r="I847" s="24" t="s">
        <v>55</v>
      </c>
      <c r="J847" s="1" t="str">
        <f>IFERROR(VLOOKUP(E847,#REF!,8,FALSE),"")</f>
        <v/>
      </c>
      <c r="K847" s="25">
        <v>3</v>
      </c>
      <c r="L847" s="1" t="str">
        <f t="shared" si="1"/>
        <v>2016 FRIC 동양</v>
      </c>
      <c r="M847" s="1"/>
      <c r="N847" s="1"/>
      <c r="O847" s="1"/>
      <c r="P847" s="1"/>
      <c r="Q847" s="1"/>
      <c r="R847" s="1"/>
      <c r="S847" s="1"/>
      <c r="T847" s="1"/>
    </row>
    <row r="848" spans="1:20" ht="26.25" customHeight="1">
      <c r="A848" s="17">
        <f t="shared" si="0"/>
        <v>845</v>
      </c>
      <c r="B848" s="18" t="s">
        <v>37</v>
      </c>
      <c r="C848" s="19" t="s">
        <v>3797</v>
      </c>
      <c r="D848" s="19" t="s">
        <v>3798</v>
      </c>
      <c r="E848" s="20" t="s">
        <v>3799</v>
      </c>
      <c r="F848" s="21" t="s">
        <v>3800</v>
      </c>
      <c r="G848" s="33" t="s">
        <v>53</v>
      </c>
      <c r="H848" s="23" t="s">
        <v>3801</v>
      </c>
      <c r="I848" s="24" t="s">
        <v>20</v>
      </c>
      <c r="J848" s="1" t="s">
        <v>21</v>
      </c>
      <c r="K848" s="25">
        <v>3</v>
      </c>
      <c r="L848" s="1" t="str">
        <f t="shared" si="1"/>
        <v/>
      </c>
      <c r="M848" s="1"/>
      <c r="N848" s="1"/>
      <c r="O848" s="1"/>
      <c r="P848" s="1"/>
      <c r="Q848" s="1"/>
      <c r="R848" s="1"/>
      <c r="S848" s="1"/>
      <c r="T848" s="1"/>
    </row>
    <row r="849" spans="1:20" ht="26.25" customHeight="1">
      <c r="A849" s="17">
        <f t="shared" si="0"/>
        <v>846</v>
      </c>
      <c r="B849" s="18" t="s">
        <v>37</v>
      </c>
      <c r="C849" s="19" t="s">
        <v>3802</v>
      </c>
      <c r="D849" s="19" t="s">
        <v>3803</v>
      </c>
      <c r="E849" s="20" t="s">
        <v>3804</v>
      </c>
      <c r="F849" s="21" t="s">
        <v>3805</v>
      </c>
      <c r="G849" s="33" t="s">
        <v>53</v>
      </c>
      <c r="H849" s="23" t="s">
        <v>3806</v>
      </c>
      <c r="I849" s="24" t="s">
        <v>20</v>
      </c>
      <c r="J849" s="1" t="s">
        <v>21</v>
      </c>
      <c r="K849" s="25">
        <v>3</v>
      </c>
      <c r="L849" s="1" t="str">
        <f t="shared" si="1"/>
        <v/>
      </c>
      <c r="M849" s="1"/>
      <c r="N849" s="1"/>
      <c r="O849" s="1"/>
      <c r="P849" s="1"/>
      <c r="Q849" s="1"/>
      <c r="R849" s="1"/>
      <c r="S849" s="1"/>
      <c r="T849" s="1"/>
    </row>
    <row r="850" spans="1:20" ht="26.25" customHeight="1">
      <c r="A850" s="17">
        <f t="shared" si="0"/>
        <v>847</v>
      </c>
      <c r="B850" s="18" t="s">
        <v>37</v>
      </c>
      <c r="C850" s="19" t="s">
        <v>3807</v>
      </c>
      <c r="D850" s="19" t="s">
        <v>3808</v>
      </c>
      <c r="E850" s="20" t="s">
        <v>3809</v>
      </c>
      <c r="F850" s="21" t="s">
        <v>3810</v>
      </c>
      <c r="G850" s="22" t="s">
        <v>31</v>
      </c>
      <c r="H850" s="23" t="s">
        <v>3811</v>
      </c>
      <c r="I850" s="24" t="s">
        <v>20</v>
      </c>
      <c r="J850" s="1" t="s">
        <v>21</v>
      </c>
      <c r="K850" s="25">
        <v>3</v>
      </c>
      <c r="L850" s="1" t="str">
        <f t="shared" si="1"/>
        <v/>
      </c>
      <c r="M850" s="1"/>
      <c r="N850" s="1"/>
      <c r="O850" s="1"/>
      <c r="P850" s="1"/>
      <c r="Q850" s="1"/>
      <c r="R850" s="1"/>
      <c r="S850" s="1"/>
      <c r="T850" s="1"/>
    </row>
    <row r="851" spans="1:20" ht="26.25" customHeight="1">
      <c r="A851" s="17">
        <f t="shared" si="0"/>
        <v>848</v>
      </c>
      <c r="B851" s="18" t="s">
        <v>175</v>
      </c>
      <c r="C851" s="31" t="s">
        <v>3812</v>
      </c>
      <c r="D851" s="19" t="s">
        <v>3813</v>
      </c>
      <c r="E851" s="20" t="s">
        <v>3814</v>
      </c>
      <c r="F851" s="32" t="s">
        <v>3815</v>
      </c>
      <c r="G851" s="33" t="s">
        <v>53</v>
      </c>
      <c r="H851" s="23" t="s">
        <v>3816</v>
      </c>
      <c r="I851" s="24" t="s">
        <v>55</v>
      </c>
      <c r="J851" s="1" t="str">
        <f>IFERROR(VLOOKUP(E851,#REF!,8,FALSE),"")</f>
        <v/>
      </c>
      <c r="K851" s="1"/>
      <c r="L851" s="1" t="str">
        <f t="shared" si="1"/>
        <v/>
      </c>
      <c r="M851" s="1"/>
      <c r="N851" s="1"/>
      <c r="O851" s="1"/>
      <c r="P851" s="1"/>
      <c r="Q851" s="1"/>
      <c r="R851" s="1"/>
      <c r="S851" s="1"/>
      <c r="T851" s="1"/>
    </row>
    <row r="852" spans="1:20" ht="26.25" customHeight="1">
      <c r="A852" s="17">
        <f t="shared" si="0"/>
        <v>849</v>
      </c>
      <c r="B852" s="18" t="s">
        <v>132</v>
      </c>
      <c r="C852" s="19" t="s">
        <v>3817</v>
      </c>
      <c r="D852" s="19" t="s">
        <v>3818</v>
      </c>
      <c r="E852" s="20" t="s">
        <v>3819</v>
      </c>
      <c r="F852" s="21" t="s">
        <v>3820</v>
      </c>
      <c r="G852" s="33" t="s">
        <v>53</v>
      </c>
      <c r="H852" s="23" t="s">
        <v>3821</v>
      </c>
      <c r="I852" s="24" t="s">
        <v>20</v>
      </c>
      <c r="J852" s="1" t="s">
        <v>21</v>
      </c>
      <c r="K852" s="25">
        <v>3</v>
      </c>
      <c r="L852" s="1" t="str">
        <f t="shared" si="1"/>
        <v/>
      </c>
      <c r="M852" s="1"/>
      <c r="N852" s="1"/>
      <c r="O852" s="1"/>
      <c r="P852" s="1"/>
      <c r="Q852" s="1"/>
      <c r="R852" s="1"/>
      <c r="S852" s="1"/>
      <c r="T852" s="1"/>
    </row>
    <row r="853" spans="1:20" ht="26.25" customHeight="1">
      <c r="A853" s="17">
        <f t="shared" si="0"/>
        <v>850</v>
      </c>
      <c r="B853" s="18" t="s">
        <v>1197</v>
      </c>
      <c r="C853" s="19" t="s">
        <v>1807</v>
      </c>
      <c r="D853" s="19" t="s">
        <v>3822</v>
      </c>
      <c r="E853" s="20" t="s">
        <v>1809</v>
      </c>
      <c r="F853" s="32" t="s">
        <v>3823</v>
      </c>
      <c r="G853" s="33" t="s">
        <v>53</v>
      </c>
      <c r="H853" s="23" t="s">
        <v>3824</v>
      </c>
      <c r="I853" s="34" t="s">
        <v>55</v>
      </c>
      <c r="J853" s="1" t="str">
        <f t="shared" ref="J853:J856" si="118">IFERROR(VLOOKUP(E853,#REF!,8,FALSE),"")</f>
        <v/>
      </c>
      <c r="K853" s="25">
        <v>3</v>
      </c>
      <c r="L853" s="1" t="str">
        <f t="shared" si="1"/>
        <v>2021 FRIC 동양</v>
      </c>
      <c r="M853" s="25"/>
      <c r="N853" s="25"/>
      <c r="O853" s="25"/>
      <c r="P853" s="25"/>
      <c r="Q853" s="25"/>
      <c r="R853" s="25"/>
      <c r="S853" s="25"/>
      <c r="T853" s="25"/>
    </row>
    <row r="854" spans="1:20" ht="26.25" customHeight="1">
      <c r="A854" s="17">
        <f t="shared" si="0"/>
        <v>851</v>
      </c>
      <c r="B854" s="18" t="s">
        <v>105</v>
      </c>
      <c r="C854" s="31" t="s">
        <v>3825</v>
      </c>
      <c r="D854" s="19" t="s">
        <v>478</v>
      </c>
      <c r="E854" s="20" t="s">
        <v>479</v>
      </c>
      <c r="F854" s="32" t="s">
        <v>3826</v>
      </c>
      <c r="G854" s="33" t="s">
        <v>53</v>
      </c>
      <c r="H854" s="23" t="s">
        <v>3827</v>
      </c>
      <c r="I854" s="24" t="s">
        <v>55</v>
      </c>
      <c r="J854" s="1" t="str">
        <f t="shared" si="118"/>
        <v/>
      </c>
      <c r="K854" s="25">
        <v>4</v>
      </c>
      <c r="L854" s="1" t="str">
        <f t="shared" si="1"/>
        <v>2019 과기 동양</v>
      </c>
      <c r="M854" s="1"/>
      <c r="N854" s="1"/>
      <c r="O854" s="1"/>
      <c r="P854" s="1"/>
      <c r="Q854" s="1"/>
      <c r="R854" s="1"/>
      <c r="S854" s="1"/>
      <c r="T854" s="1"/>
    </row>
    <row r="855" spans="1:20" ht="26.25" customHeight="1">
      <c r="A855" s="17">
        <f t="shared" si="0"/>
        <v>852</v>
      </c>
      <c r="B855" s="18" t="s">
        <v>13</v>
      </c>
      <c r="C855" s="31" t="s">
        <v>3828</v>
      </c>
      <c r="D855" s="19" t="s">
        <v>3829</v>
      </c>
      <c r="E855" s="20" t="s">
        <v>3830</v>
      </c>
      <c r="F855" s="32" t="s">
        <v>170</v>
      </c>
      <c r="G855" s="33" t="s">
        <v>53</v>
      </c>
      <c r="H855" s="23" t="s">
        <v>3831</v>
      </c>
      <c r="I855" s="24" t="s">
        <v>55</v>
      </c>
      <c r="J855" s="1" t="str">
        <f t="shared" si="118"/>
        <v/>
      </c>
      <c r="K855" s="1"/>
      <c r="L855" s="1" t="str">
        <f t="shared" si="1"/>
        <v/>
      </c>
      <c r="M855" s="1"/>
      <c r="N855" s="1"/>
      <c r="O855" s="1"/>
      <c r="P855" s="1"/>
      <c r="Q855" s="1"/>
      <c r="R855" s="1"/>
      <c r="S855" s="1"/>
      <c r="T855" s="1"/>
    </row>
    <row r="856" spans="1:20" ht="26.25" customHeight="1">
      <c r="A856" s="17">
        <f t="shared" si="0"/>
        <v>853</v>
      </c>
      <c r="B856" s="18" t="s">
        <v>867</v>
      </c>
      <c r="C856" s="31" t="s">
        <v>3832</v>
      </c>
      <c r="D856" s="19" t="s">
        <v>3833</v>
      </c>
      <c r="E856" s="20" t="s">
        <v>1561</v>
      </c>
      <c r="F856" s="21" t="s">
        <v>3834</v>
      </c>
      <c r="G856" s="33" t="s">
        <v>53</v>
      </c>
      <c r="H856" s="23" t="s">
        <v>3835</v>
      </c>
      <c r="I856" s="34" t="s">
        <v>55</v>
      </c>
      <c r="J856" s="1" t="str">
        <f t="shared" si="118"/>
        <v/>
      </c>
      <c r="K856" s="25">
        <v>4</v>
      </c>
      <c r="L856" s="1" t="str">
        <f t="shared" si="1"/>
        <v>2021 과기 동양</v>
      </c>
      <c r="M856" s="25"/>
      <c r="N856" s="25"/>
      <c r="O856" s="25"/>
      <c r="P856" s="25"/>
      <c r="Q856" s="25"/>
      <c r="R856" s="25"/>
      <c r="S856" s="25"/>
      <c r="T856" s="25"/>
    </row>
    <row r="857" spans="1:20" ht="26.25" customHeight="1">
      <c r="A857" s="17">
        <f t="shared" si="0"/>
        <v>854</v>
      </c>
      <c r="B857" s="18" t="s">
        <v>867</v>
      </c>
      <c r="C857" s="31" t="s">
        <v>3836</v>
      </c>
      <c r="D857" s="19" t="s">
        <v>3837</v>
      </c>
      <c r="E857" s="20" t="s">
        <v>3838</v>
      </c>
      <c r="F857" s="21" t="s">
        <v>3839</v>
      </c>
      <c r="G857" s="33" t="s">
        <v>53</v>
      </c>
      <c r="H857" s="23" t="s">
        <v>3840</v>
      </c>
      <c r="I857" s="34" t="s">
        <v>20</v>
      </c>
      <c r="J857" s="1" t="s">
        <v>87</v>
      </c>
      <c r="K857" s="25">
        <v>4</v>
      </c>
      <c r="L857" s="1" t="str">
        <f t="shared" si="1"/>
        <v/>
      </c>
      <c r="M857" s="25"/>
      <c r="N857" s="25"/>
      <c r="O857" s="25"/>
      <c r="P857" s="25"/>
      <c r="Q857" s="25"/>
      <c r="R857" s="25"/>
      <c r="S857" s="25"/>
      <c r="T857" s="25"/>
    </row>
    <row r="858" spans="1:20" ht="26.25" customHeight="1">
      <c r="A858" s="17">
        <f t="shared" si="0"/>
        <v>855</v>
      </c>
      <c r="B858" s="18" t="s">
        <v>13</v>
      </c>
      <c r="C858" s="19" t="s">
        <v>3841</v>
      </c>
      <c r="D858" s="77" t="s">
        <v>3842</v>
      </c>
      <c r="E858" s="103" t="s">
        <v>3843</v>
      </c>
      <c r="F858" s="21" t="s">
        <v>1609</v>
      </c>
      <c r="G858" s="33" t="s">
        <v>53</v>
      </c>
      <c r="H858" s="23" t="s">
        <v>3844</v>
      </c>
      <c r="I858" s="24" t="s">
        <v>20</v>
      </c>
      <c r="J858" s="1" t="s">
        <v>21</v>
      </c>
      <c r="K858" s="25">
        <v>3</v>
      </c>
      <c r="L858" s="1" t="str">
        <f t="shared" si="1"/>
        <v/>
      </c>
      <c r="M858" s="1"/>
      <c r="N858" s="1"/>
      <c r="O858" s="1"/>
      <c r="P858" s="1"/>
      <c r="Q858" s="1"/>
      <c r="R858" s="1"/>
      <c r="S858" s="1"/>
      <c r="T858" s="1"/>
    </row>
    <row r="859" spans="1:20" ht="26.25" customHeight="1">
      <c r="A859" s="17">
        <f t="shared" si="0"/>
        <v>856</v>
      </c>
      <c r="B859" s="18" t="s">
        <v>13</v>
      </c>
      <c r="C859" s="19" t="s">
        <v>3845</v>
      </c>
      <c r="D859" s="19" t="s">
        <v>3846</v>
      </c>
      <c r="E859" s="20" t="s">
        <v>3847</v>
      </c>
      <c r="F859" s="21" t="s">
        <v>3848</v>
      </c>
      <c r="G859" s="33" t="s">
        <v>53</v>
      </c>
      <c r="H859" s="23" t="s">
        <v>3849</v>
      </c>
      <c r="I859" s="24" t="s">
        <v>20</v>
      </c>
      <c r="J859" s="1" t="s">
        <v>21</v>
      </c>
      <c r="K859" s="25">
        <v>3</v>
      </c>
      <c r="L859" s="1" t="str">
        <f t="shared" si="1"/>
        <v/>
      </c>
      <c r="M859" s="1"/>
      <c r="N859" s="1"/>
      <c r="O859" s="1"/>
      <c r="P859" s="1"/>
      <c r="Q859" s="1"/>
      <c r="R859" s="1"/>
      <c r="S859" s="1"/>
      <c r="T859" s="1"/>
    </row>
    <row r="860" spans="1:20" ht="26.25" customHeight="1">
      <c r="A860" s="17">
        <f t="shared" si="0"/>
        <v>857</v>
      </c>
      <c r="B860" s="18" t="s">
        <v>105</v>
      </c>
      <c r="C860" s="19" t="s">
        <v>3850</v>
      </c>
      <c r="D860" s="19" t="s">
        <v>3851</v>
      </c>
      <c r="E860" s="20" t="s">
        <v>3852</v>
      </c>
      <c r="F860" s="21" t="s">
        <v>3853</v>
      </c>
      <c r="G860" s="33" t="s">
        <v>63</v>
      </c>
      <c r="H860" s="23" t="s">
        <v>3854</v>
      </c>
      <c r="I860" s="24" t="s">
        <v>20</v>
      </c>
      <c r="J860" s="1" t="s">
        <v>21</v>
      </c>
      <c r="K860" s="25">
        <v>3</v>
      </c>
      <c r="L860" s="1" t="str">
        <f t="shared" si="1"/>
        <v/>
      </c>
      <c r="M860" s="1"/>
      <c r="N860" s="1"/>
      <c r="O860" s="1"/>
      <c r="P860" s="1"/>
      <c r="Q860" s="1"/>
      <c r="R860" s="1"/>
      <c r="S860" s="1"/>
      <c r="T860" s="1"/>
    </row>
    <row r="861" spans="1:20" ht="26.25" customHeight="1">
      <c r="A861" s="17">
        <f t="shared" si="0"/>
        <v>858</v>
      </c>
      <c r="B861" s="18" t="s">
        <v>175</v>
      </c>
      <c r="C861" s="31" t="s">
        <v>3855</v>
      </c>
      <c r="D861" s="19" t="s">
        <v>3856</v>
      </c>
      <c r="E861" s="20" t="s">
        <v>3857</v>
      </c>
      <c r="F861" s="21" t="s">
        <v>3858</v>
      </c>
      <c r="G861" s="33" t="s">
        <v>53</v>
      </c>
      <c r="H861" s="23" t="s">
        <v>3859</v>
      </c>
      <c r="I861" s="34" t="s">
        <v>20</v>
      </c>
      <c r="J861" s="1" t="s">
        <v>87</v>
      </c>
      <c r="K861" s="25">
        <v>4</v>
      </c>
      <c r="L861" s="1" t="str">
        <f t="shared" si="1"/>
        <v/>
      </c>
      <c r="M861" s="25"/>
      <c r="N861" s="25"/>
      <c r="O861" s="25"/>
      <c r="P861" s="25"/>
      <c r="Q861" s="25"/>
      <c r="R861" s="25"/>
      <c r="S861" s="25"/>
      <c r="T861" s="25"/>
    </row>
    <row r="862" spans="1:20" ht="26.25" customHeight="1">
      <c r="A862" s="17">
        <f t="shared" si="0"/>
        <v>859</v>
      </c>
      <c r="B862" s="18" t="s">
        <v>175</v>
      </c>
      <c r="C862" s="31" t="s">
        <v>3860</v>
      </c>
      <c r="D862" s="19" t="s">
        <v>3861</v>
      </c>
      <c r="E862" s="20" t="s">
        <v>3862</v>
      </c>
      <c r="F862" s="21" t="s">
        <v>3863</v>
      </c>
      <c r="G862" s="33" t="s">
        <v>53</v>
      </c>
      <c r="H862" s="23" t="s">
        <v>3864</v>
      </c>
      <c r="I862" s="34" t="s">
        <v>20</v>
      </c>
      <c r="J862" s="1" t="s">
        <v>87</v>
      </c>
      <c r="K862" s="25">
        <v>4</v>
      </c>
      <c r="L862" s="1" t="str">
        <f t="shared" si="1"/>
        <v/>
      </c>
      <c r="M862" s="25"/>
      <c r="N862" s="25"/>
      <c r="O862" s="25"/>
      <c r="P862" s="25"/>
      <c r="Q862" s="25"/>
      <c r="R862" s="25"/>
      <c r="S862" s="25"/>
      <c r="T862" s="25"/>
    </row>
    <row r="863" spans="1:20" ht="26.25" customHeight="1">
      <c r="A863" s="17">
        <f t="shared" si="0"/>
        <v>860</v>
      </c>
      <c r="B863" s="18" t="s">
        <v>175</v>
      </c>
      <c r="C863" s="31" t="s">
        <v>3865</v>
      </c>
      <c r="D863" s="19" t="s">
        <v>3866</v>
      </c>
      <c r="E863" s="20" t="s">
        <v>400</v>
      </c>
      <c r="F863" s="32" t="s">
        <v>3867</v>
      </c>
      <c r="G863" s="33" t="s">
        <v>53</v>
      </c>
      <c r="H863" s="23" t="s">
        <v>3868</v>
      </c>
      <c r="I863" s="24" t="s">
        <v>55</v>
      </c>
      <c r="J863" s="1" t="str">
        <f>IFERROR(VLOOKUP(E863,#REF!,8,FALSE),"")</f>
        <v/>
      </c>
      <c r="K863" s="25">
        <v>4</v>
      </c>
      <c r="L863" s="1" t="str">
        <f t="shared" si="1"/>
        <v>2019 과기 동양</v>
      </c>
      <c r="M863" s="1"/>
      <c r="N863" s="1"/>
      <c r="O863" s="1"/>
      <c r="P863" s="1"/>
      <c r="Q863" s="1"/>
      <c r="R863" s="1"/>
      <c r="S863" s="1"/>
      <c r="T863" s="1"/>
    </row>
    <row r="864" spans="1:20" ht="26.25" customHeight="1">
      <c r="A864" s="17">
        <f t="shared" si="0"/>
        <v>861</v>
      </c>
      <c r="B864" s="18" t="s">
        <v>175</v>
      </c>
      <c r="C864" s="31" t="s">
        <v>3869</v>
      </c>
      <c r="D864" s="19" t="s">
        <v>673</v>
      </c>
      <c r="E864" s="20" t="s">
        <v>3870</v>
      </c>
      <c r="F864" s="21" t="s">
        <v>3871</v>
      </c>
      <c r="G864" s="33" t="s">
        <v>42</v>
      </c>
      <c r="H864" s="23" t="s">
        <v>3872</v>
      </c>
      <c r="I864" s="34" t="s">
        <v>20</v>
      </c>
      <c r="J864" s="1" t="s">
        <v>87</v>
      </c>
      <c r="K864" s="25">
        <v>4</v>
      </c>
      <c r="L864" s="1" t="str">
        <f t="shared" si="1"/>
        <v/>
      </c>
      <c r="M864" s="25"/>
      <c r="N864" s="25"/>
      <c r="O864" s="25"/>
      <c r="P864" s="25"/>
      <c r="Q864" s="25"/>
      <c r="R864" s="25"/>
      <c r="S864" s="25"/>
      <c r="T864" s="25"/>
    </row>
    <row r="865" spans="1:20" ht="26.25" customHeight="1">
      <c r="A865" s="17">
        <f t="shared" si="0"/>
        <v>862</v>
      </c>
      <c r="B865" s="18" t="s">
        <v>37</v>
      </c>
      <c r="C865" s="39" t="s">
        <v>1811</v>
      </c>
      <c r="D865" s="39" t="s">
        <v>3873</v>
      </c>
      <c r="E865" s="20" t="s">
        <v>1813</v>
      </c>
      <c r="F865" s="44" t="s">
        <v>3874</v>
      </c>
      <c r="G865" s="22" t="s">
        <v>53</v>
      </c>
      <c r="H865" s="41" t="s">
        <v>3875</v>
      </c>
      <c r="I865" s="34" t="s">
        <v>55</v>
      </c>
      <c r="J865" s="1" t="str">
        <f t="shared" ref="J865:J866" si="119">IFERROR(VLOOKUP(E865,#REF!,8,FALSE),"")</f>
        <v/>
      </c>
      <c r="K865" s="25">
        <v>3</v>
      </c>
      <c r="L865" s="1" t="str">
        <f t="shared" si="1"/>
        <v>2021 FRIC 동양</v>
      </c>
      <c r="M865" s="25"/>
      <c r="N865" s="25"/>
      <c r="O865" s="25"/>
      <c r="P865" s="25"/>
      <c r="Q865" s="25"/>
      <c r="R865" s="25"/>
      <c r="S865" s="25"/>
      <c r="T865" s="25"/>
    </row>
    <row r="866" spans="1:20" ht="26.25" customHeight="1">
      <c r="A866" s="17">
        <f t="shared" si="0"/>
        <v>863</v>
      </c>
      <c r="B866" s="18" t="s">
        <v>867</v>
      </c>
      <c r="C866" s="31" t="s">
        <v>3876</v>
      </c>
      <c r="D866" s="19" t="s">
        <v>3877</v>
      </c>
      <c r="E866" s="20"/>
      <c r="F866" s="32" t="s">
        <v>3878</v>
      </c>
      <c r="G866" s="33" t="s">
        <v>53</v>
      </c>
      <c r="H866" s="23" t="s">
        <v>3879</v>
      </c>
      <c r="I866" s="24" t="s">
        <v>55</v>
      </c>
      <c r="J866" s="1" t="str">
        <f t="shared" si="119"/>
        <v/>
      </c>
      <c r="K866" s="1"/>
      <c r="L866" s="1" t="str">
        <f t="shared" si="1"/>
        <v/>
      </c>
      <c r="M866" s="1"/>
      <c r="N866" s="1"/>
      <c r="O866" s="1"/>
      <c r="P866" s="1"/>
      <c r="Q866" s="1"/>
      <c r="R866" s="1"/>
      <c r="S866" s="1"/>
      <c r="T866" s="1"/>
    </row>
    <row r="867" spans="1:20" ht="26.25" customHeight="1">
      <c r="A867" s="17">
        <f t="shared" si="0"/>
        <v>864</v>
      </c>
      <c r="B867" s="18" t="s">
        <v>867</v>
      </c>
      <c r="C867" s="31" t="s">
        <v>3880</v>
      </c>
      <c r="D867" s="19" t="s">
        <v>3881</v>
      </c>
      <c r="E867" s="20" t="s">
        <v>3882</v>
      </c>
      <c r="F867" s="21" t="s">
        <v>3883</v>
      </c>
      <c r="G867" s="33" t="s">
        <v>53</v>
      </c>
      <c r="H867" s="23" t="s">
        <v>3884</v>
      </c>
      <c r="I867" s="34" t="s">
        <v>20</v>
      </c>
      <c r="J867" s="1" t="s">
        <v>87</v>
      </c>
      <c r="K867" s="25">
        <v>4</v>
      </c>
      <c r="L867" s="1" t="str">
        <f t="shared" si="1"/>
        <v/>
      </c>
      <c r="M867" s="25"/>
      <c r="N867" s="25"/>
      <c r="O867" s="25"/>
      <c r="P867" s="25"/>
      <c r="Q867" s="25"/>
      <c r="R867" s="25"/>
      <c r="S867" s="25"/>
      <c r="T867" s="25"/>
    </row>
    <row r="868" spans="1:20" ht="26.25" customHeight="1">
      <c r="A868" s="17">
        <f t="shared" si="0"/>
        <v>865</v>
      </c>
      <c r="B868" s="18" t="s">
        <v>1197</v>
      </c>
      <c r="C868" s="31" t="s">
        <v>3885</v>
      </c>
      <c r="D868" s="19" t="s">
        <v>3886</v>
      </c>
      <c r="E868" s="20" t="s">
        <v>3887</v>
      </c>
      <c r="F868" s="32" t="s">
        <v>3888</v>
      </c>
      <c r="G868" s="33" t="s">
        <v>53</v>
      </c>
      <c r="H868" s="23" t="s">
        <v>3889</v>
      </c>
      <c r="I868" s="24" t="s">
        <v>55</v>
      </c>
      <c r="J868" s="1" t="str">
        <f t="shared" ref="J868:J869" si="120">IFERROR(VLOOKUP(E868,#REF!,8,FALSE),"")</f>
        <v/>
      </c>
      <c r="K868" s="1"/>
      <c r="L868" s="1" t="str">
        <f t="shared" si="1"/>
        <v/>
      </c>
      <c r="M868" s="1"/>
      <c r="N868" s="1"/>
      <c r="O868" s="1"/>
      <c r="P868" s="1"/>
      <c r="Q868" s="1"/>
      <c r="R868" s="1"/>
      <c r="S868" s="1"/>
      <c r="T868" s="1"/>
    </row>
    <row r="869" spans="1:20" ht="26.25" customHeight="1">
      <c r="A869" s="17">
        <f t="shared" si="0"/>
        <v>866</v>
      </c>
      <c r="B869" s="18" t="s">
        <v>132</v>
      </c>
      <c r="C869" s="31" t="s">
        <v>3890</v>
      </c>
      <c r="D869" s="19" t="s">
        <v>3891</v>
      </c>
      <c r="E869" s="20" t="s">
        <v>3892</v>
      </c>
      <c r="F869" s="32" t="s">
        <v>3893</v>
      </c>
      <c r="G869" s="33" t="s">
        <v>53</v>
      </c>
      <c r="H869" s="23" t="s">
        <v>3894</v>
      </c>
      <c r="I869" s="24" t="s">
        <v>55</v>
      </c>
      <c r="J869" s="1" t="str">
        <f t="shared" si="120"/>
        <v/>
      </c>
      <c r="K869" s="1"/>
      <c r="L869" s="1" t="str">
        <f t="shared" si="1"/>
        <v/>
      </c>
      <c r="M869" s="1"/>
      <c r="N869" s="1"/>
      <c r="O869" s="1"/>
      <c r="P869" s="1"/>
      <c r="Q869" s="1"/>
      <c r="R869" s="1"/>
      <c r="S869" s="1"/>
      <c r="T869" s="1"/>
    </row>
    <row r="870" spans="1:20" ht="26.25" customHeight="1">
      <c r="A870" s="17">
        <f t="shared" si="0"/>
        <v>867</v>
      </c>
      <c r="B870" s="18" t="s">
        <v>132</v>
      </c>
      <c r="C870" s="19" t="s">
        <v>3895</v>
      </c>
      <c r="D870" s="19" t="s">
        <v>3896</v>
      </c>
      <c r="E870" s="20" t="s">
        <v>3897</v>
      </c>
      <c r="F870" s="21" t="s">
        <v>863</v>
      </c>
      <c r="G870" s="22" t="s">
        <v>63</v>
      </c>
      <c r="H870" s="23" t="s">
        <v>3898</v>
      </c>
      <c r="I870" s="24" t="s">
        <v>20</v>
      </c>
      <c r="J870" s="1" t="s">
        <v>21</v>
      </c>
      <c r="K870" s="25">
        <v>3</v>
      </c>
      <c r="L870" s="1" t="str">
        <f t="shared" si="1"/>
        <v/>
      </c>
      <c r="M870" s="1"/>
      <c r="N870" s="1"/>
      <c r="O870" s="1"/>
      <c r="P870" s="1"/>
      <c r="Q870" s="1"/>
      <c r="R870" s="1"/>
      <c r="S870" s="1"/>
      <c r="T870" s="1"/>
    </row>
    <row r="871" spans="1:20" ht="26.25" customHeight="1">
      <c r="A871" s="17">
        <f t="shared" si="0"/>
        <v>868</v>
      </c>
      <c r="B871" s="18" t="s">
        <v>27</v>
      </c>
      <c r="C871" s="31" t="s">
        <v>3899</v>
      </c>
      <c r="D871" s="19" t="s">
        <v>3676</v>
      </c>
      <c r="E871" s="20" t="s">
        <v>3900</v>
      </c>
      <c r="F871" s="32" t="s">
        <v>3901</v>
      </c>
      <c r="G871" s="33" t="s">
        <v>53</v>
      </c>
      <c r="H871" s="23" t="s">
        <v>3902</v>
      </c>
      <c r="I871" s="24" t="s">
        <v>55</v>
      </c>
      <c r="J871" s="1" t="str">
        <f>IFERROR(VLOOKUP(E871,#REF!,8,FALSE),"")</f>
        <v/>
      </c>
      <c r="K871" s="1"/>
      <c r="L871" s="1" t="str">
        <f t="shared" si="1"/>
        <v/>
      </c>
      <c r="M871" s="1"/>
      <c r="N871" s="1"/>
      <c r="O871" s="1"/>
      <c r="P871" s="1"/>
      <c r="Q871" s="1"/>
      <c r="R871" s="1"/>
      <c r="S871" s="1"/>
      <c r="T871" s="1"/>
    </row>
    <row r="872" spans="1:20" ht="26.25" customHeight="1">
      <c r="A872" s="17">
        <f t="shared" si="0"/>
        <v>869</v>
      </c>
      <c r="B872" s="18" t="s">
        <v>175</v>
      </c>
      <c r="C872" s="31" t="s">
        <v>3903</v>
      </c>
      <c r="D872" s="19" t="s">
        <v>3904</v>
      </c>
      <c r="E872" s="20" t="s">
        <v>3905</v>
      </c>
      <c r="F872" s="21" t="s">
        <v>326</v>
      </c>
      <c r="G872" s="33" t="s">
        <v>53</v>
      </c>
      <c r="H872" s="23" t="s">
        <v>3906</v>
      </c>
      <c r="I872" s="34" t="s">
        <v>20</v>
      </c>
      <c r="J872" s="1" t="s">
        <v>87</v>
      </c>
      <c r="K872" s="25">
        <v>4</v>
      </c>
      <c r="L872" s="1" t="str">
        <f t="shared" si="1"/>
        <v/>
      </c>
      <c r="M872" s="25"/>
      <c r="N872" s="25"/>
      <c r="O872" s="25"/>
      <c r="P872" s="25"/>
      <c r="Q872" s="25"/>
      <c r="R872" s="25"/>
      <c r="S872" s="25"/>
      <c r="T872" s="25"/>
    </row>
    <row r="873" spans="1:20" ht="26.25" customHeight="1">
      <c r="A873" s="17">
        <f t="shared" si="0"/>
        <v>870</v>
      </c>
      <c r="B873" s="18" t="s">
        <v>867</v>
      </c>
      <c r="C873" s="31" t="s">
        <v>3907</v>
      </c>
      <c r="D873" s="42" t="s">
        <v>3908</v>
      </c>
      <c r="E873" s="43" t="s">
        <v>3909</v>
      </c>
      <c r="F873" s="32" t="s">
        <v>3910</v>
      </c>
      <c r="G873" s="70" t="s">
        <v>53</v>
      </c>
      <c r="H873" s="41" t="s">
        <v>3911</v>
      </c>
      <c r="I873" s="24" t="s">
        <v>55</v>
      </c>
      <c r="J873" s="1" t="str">
        <f>IFERROR(VLOOKUP(E873,#REF!,8,FALSE),"")</f>
        <v/>
      </c>
      <c r="K873" s="1"/>
      <c r="L873" s="1" t="str">
        <f t="shared" si="1"/>
        <v/>
      </c>
      <c r="M873" s="1"/>
      <c r="N873" s="1"/>
      <c r="O873" s="1"/>
      <c r="P873" s="1"/>
      <c r="Q873" s="1"/>
      <c r="R873" s="1"/>
      <c r="S873" s="1"/>
      <c r="T873" s="1"/>
    </row>
    <row r="874" spans="1:20" ht="26.25" customHeight="1">
      <c r="A874" s="17">
        <f t="shared" si="0"/>
        <v>871</v>
      </c>
      <c r="B874" s="18" t="s">
        <v>175</v>
      </c>
      <c r="C874" s="31" t="s">
        <v>3912</v>
      </c>
      <c r="D874" s="19" t="s">
        <v>3913</v>
      </c>
      <c r="E874" s="20" t="s">
        <v>3914</v>
      </c>
      <c r="F874" s="21" t="s">
        <v>3915</v>
      </c>
      <c r="G874" s="33" t="s">
        <v>53</v>
      </c>
      <c r="H874" s="23" t="s">
        <v>3916</v>
      </c>
      <c r="I874" s="34" t="s">
        <v>20</v>
      </c>
      <c r="J874" s="1" t="s">
        <v>87</v>
      </c>
      <c r="K874" s="25">
        <v>4</v>
      </c>
      <c r="L874" s="1" t="str">
        <f t="shared" si="1"/>
        <v/>
      </c>
      <c r="M874" s="25"/>
      <c r="N874" s="25"/>
      <c r="O874" s="25"/>
      <c r="P874" s="25"/>
      <c r="Q874" s="25"/>
      <c r="R874" s="25"/>
      <c r="S874" s="25"/>
      <c r="T874" s="25"/>
    </row>
    <row r="875" spans="1:20" ht="26.25" customHeight="1">
      <c r="A875" s="17">
        <f t="shared" si="0"/>
        <v>872</v>
      </c>
      <c r="B875" s="18" t="s">
        <v>2181</v>
      </c>
      <c r="C875" s="31" t="s">
        <v>3917</v>
      </c>
      <c r="D875" s="19" t="s">
        <v>3918</v>
      </c>
      <c r="E875" s="20" t="s">
        <v>3919</v>
      </c>
      <c r="F875" s="21" t="s">
        <v>490</v>
      </c>
      <c r="G875" s="33" t="s">
        <v>53</v>
      </c>
      <c r="H875" s="23" t="s">
        <v>3920</v>
      </c>
      <c r="I875" s="34" t="s">
        <v>20</v>
      </c>
      <c r="J875" s="1" t="s">
        <v>87</v>
      </c>
      <c r="K875" s="25">
        <v>4</v>
      </c>
      <c r="L875" s="1" t="str">
        <f t="shared" si="1"/>
        <v/>
      </c>
      <c r="M875" s="25"/>
      <c r="N875" s="25"/>
      <c r="O875" s="25"/>
      <c r="P875" s="25"/>
      <c r="Q875" s="25"/>
      <c r="R875" s="25"/>
      <c r="S875" s="25"/>
      <c r="T875" s="25"/>
    </row>
    <row r="876" spans="1:20" ht="26.25" customHeight="1">
      <c r="A876" s="17">
        <f t="shared" si="0"/>
        <v>873</v>
      </c>
      <c r="B876" s="18" t="s">
        <v>233</v>
      </c>
      <c r="C876" s="19" t="s">
        <v>3921</v>
      </c>
      <c r="D876" s="19" t="s">
        <v>3922</v>
      </c>
      <c r="E876" s="20" t="s">
        <v>3923</v>
      </c>
      <c r="F876" s="21" t="s">
        <v>3924</v>
      </c>
      <c r="G876" s="33" t="s">
        <v>53</v>
      </c>
      <c r="H876" s="23" t="s">
        <v>3925</v>
      </c>
      <c r="I876" s="24" t="s">
        <v>20</v>
      </c>
      <c r="J876" s="1" t="s">
        <v>21</v>
      </c>
      <c r="K876" s="25">
        <v>3</v>
      </c>
      <c r="L876" s="1" t="str">
        <f t="shared" si="1"/>
        <v/>
      </c>
      <c r="M876" s="1"/>
      <c r="N876" s="1"/>
      <c r="O876" s="1"/>
      <c r="P876" s="1"/>
      <c r="Q876" s="1"/>
      <c r="R876" s="1"/>
      <c r="S876" s="1"/>
      <c r="T876" s="1"/>
    </row>
    <row r="877" spans="1:20" ht="26.25" customHeight="1">
      <c r="A877" s="17">
        <f t="shared" si="0"/>
        <v>874</v>
      </c>
      <c r="B877" s="18" t="s">
        <v>132</v>
      </c>
      <c r="C877" s="19" t="s">
        <v>3926</v>
      </c>
      <c r="D877" s="19" t="s">
        <v>3927</v>
      </c>
      <c r="E877" s="20" t="s">
        <v>3928</v>
      </c>
      <c r="F877" s="21" t="s">
        <v>2236</v>
      </c>
      <c r="G877" s="33" t="s">
        <v>53</v>
      </c>
      <c r="H877" s="23" t="s">
        <v>3929</v>
      </c>
      <c r="I877" s="24" t="s">
        <v>20</v>
      </c>
      <c r="J877" s="1" t="s">
        <v>21</v>
      </c>
      <c r="K877" s="25">
        <v>3</v>
      </c>
      <c r="L877" s="1" t="str">
        <f t="shared" si="1"/>
        <v/>
      </c>
      <c r="M877" s="1"/>
      <c r="N877" s="1"/>
      <c r="O877" s="1"/>
      <c r="P877" s="1"/>
      <c r="Q877" s="1"/>
      <c r="R877" s="1"/>
      <c r="S877" s="1"/>
      <c r="T877" s="1"/>
    </row>
    <row r="878" spans="1:20" ht="26.25" customHeight="1">
      <c r="A878" s="17">
        <f t="shared" si="0"/>
        <v>875</v>
      </c>
      <c r="B878" s="18" t="s">
        <v>867</v>
      </c>
      <c r="C878" s="31" t="s">
        <v>3930</v>
      </c>
      <c r="D878" s="19" t="s">
        <v>3931</v>
      </c>
      <c r="E878" s="20" t="s">
        <v>3932</v>
      </c>
      <c r="F878" s="32" t="s">
        <v>2546</v>
      </c>
      <c r="G878" s="33" t="s">
        <v>42</v>
      </c>
      <c r="H878" s="23" t="s">
        <v>3933</v>
      </c>
      <c r="I878" s="24" t="s">
        <v>55</v>
      </c>
      <c r="J878" s="1" t="str">
        <f>IFERROR(VLOOKUP(E878,#REF!,8,FALSE),"")</f>
        <v/>
      </c>
      <c r="K878" s="1"/>
      <c r="L878" s="1" t="str">
        <f t="shared" si="1"/>
        <v/>
      </c>
      <c r="M878" s="1"/>
      <c r="N878" s="1"/>
      <c r="O878" s="1"/>
      <c r="P878" s="1"/>
      <c r="Q878" s="1"/>
      <c r="R878" s="1"/>
      <c r="S878" s="1"/>
      <c r="T878" s="1"/>
    </row>
    <row r="879" spans="1:20" ht="26.25" customHeight="1">
      <c r="A879" s="17">
        <f t="shared" si="0"/>
        <v>876</v>
      </c>
      <c r="B879" s="18" t="s">
        <v>2181</v>
      </c>
      <c r="C879" s="31" t="s">
        <v>3934</v>
      </c>
      <c r="D879" s="19" t="s">
        <v>3935</v>
      </c>
      <c r="E879" s="20" t="s">
        <v>3936</v>
      </c>
      <c r="F879" s="21" t="s">
        <v>3266</v>
      </c>
      <c r="G879" s="33" t="s">
        <v>53</v>
      </c>
      <c r="H879" s="23" t="s">
        <v>3937</v>
      </c>
      <c r="I879" s="34" t="s">
        <v>20</v>
      </c>
      <c r="J879" s="1" t="s">
        <v>87</v>
      </c>
      <c r="K879" s="25">
        <v>4</v>
      </c>
      <c r="L879" s="1" t="str">
        <f t="shared" si="1"/>
        <v/>
      </c>
      <c r="M879" s="25"/>
      <c r="N879" s="25"/>
      <c r="O879" s="25"/>
      <c r="P879" s="25"/>
      <c r="Q879" s="25"/>
      <c r="R879" s="25"/>
      <c r="S879" s="25"/>
      <c r="T879" s="25"/>
    </row>
    <row r="880" spans="1:20" ht="26.25" customHeight="1">
      <c r="A880" s="17">
        <f t="shared" si="0"/>
        <v>877</v>
      </c>
      <c r="B880" s="18" t="s">
        <v>13</v>
      </c>
      <c r="C880" s="19" t="s">
        <v>3938</v>
      </c>
      <c r="D880" s="19" t="s">
        <v>2015</v>
      </c>
      <c r="E880" s="20" t="s">
        <v>1741</v>
      </c>
      <c r="F880" s="32" t="s">
        <v>3939</v>
      </c>
      <c r="G880" s="33" t="s">
        <v>53</v>
      </c>
      <c r="H880" s="23" t="s">
        <v>3940</v>
      </c>
      <c r="I880" s="34" t="s">
        <v>55</v>
      </c>
      <c r="J880" s="1" t="str">
        <f t="shared" ref="J880:J882" si="121">IFERROR(VLOOKUP(E880,#REF!,8,FALSE),"")</f>
        <v/>
      </c>
      <c r="K880" s="25">
        <v>3</v>
      </c>
      <c r="L880" s="1" t="str">
        <f t="shared" si="1"/>
        <v>2021 FRIC 동양</v>
      </c>
      <c r="M880" s="25"/>
      <c r="N880" s="25"/>
      <c r="O880" s="25"/>
      <c r="P880" s="25"/>
      <c r="Q880" s="25"/>
      <c r="R880" s="25"/>
      <c r="S880" s="25"/>
      <c r="T880" s="25"/>
    </row>
    <row r="881" spans="1:20" ht="26.25" customHeight="1">
      <c r="A881" s="17">
        <f t="shared" si="0"/>
        <v>878</v>
      </c>
      <c r="B881" s="18" t="s">
        <v>13</v>
      </c>
      <c r="C881" s="19" t="s">
        <v>3941</v>
      </c>
      <c r="D881" s="19" t="s">
        <v>2015</v>
      </c>
      <c r="E881" s="20" t="s">
        <v>1747</v>
      </c>
      <c r="F881" s="32" t="s">
        <v>3942</v>
      </c>
      <c r="G881" s="22" t="s">
        <v>63</v>
      </c>
      <c r="H881" s="23" t="s">
        <v>3943</v>
      </c>
      <c r="I881" s="34" t="s">
        <v>55</v>
      </c>
      <c r="J881" s="1" t="str">
        <f t="shared" si="121"/>
        <v/>
      </c>
      <c r="K881" s="25">
        <v>3</v>
      </c>
      <c r="L881" s="1" t="str">
        <f t="shared" si="1"/>
        <v>2021 FRIC 동양</v>
      </c>
      <c r="M881" s="25"/>
      <c r="N881" s="25"/>
      <c r="O881" s="25"/>
      <c r="P881" s="25"/>
      <c r="Q881" s="25"/>
      <c r="R881" s="25"/>
      <c r="S881" s="25"/>
      <c r="T881" s="25"/>
    </row>
    <row r="882" spans="1:20" ht="26.25" customHeight="1">
      <c r="A882" s="17">
        <f t="shared" si="0"/>
        <v>879</v>
      </c>
      <c r="B882" s="18" t="s">
        <v>13</v>
      </c>
      <c r="C882" s="19" t="s">
        <v>3944</v>
      </c>
      <c r="D882" s="19" t="s">
        <v>2015</v>
      </c>
      <c r="E882" s="20" t="s">
        <v>1752</v>
      </c>
      <c r="F882" s="32" t="s">
        <v>52</v>
      </c>
      <c r="G882" s="22" t="s">
        <v>63</v>
      </c>
      <c r="H882" s="23" t="s">
        <v>3945</v>
      </c>
      <c r="I882" s="34" t="s">
        <v>55</v>
      </c>
      <c r="J882" s="1" t="str">
        <f t="shared" si="121"/>
        <v/>
      </c>
      <c r="K882" s="25">
        <v>3</v>
      </c>
      <c r="L882" s="1" t="str">
        <f t="shared" si="1"/>
        <v>2021 FRIC 동양</v>
      </c>
      <c r="M882" s="25"/>
      <c r="N882" s="25"/>
      <c r="O882" s="25"/>
      <c r="P882" s="25"/>
      <c r="Q882" s="25"/>
      <c r="R882" s="25"/>
      <c r="S882" s="25"/>
      <c r="T882" s="25"/>
    </row>
    <row r="883" spans="1:20" ht="26.25" customHeight="1">
      <c r="A883" s="17">
        <f t="shared" si="0"/>
        <v>880</v>
      </c>
      <c r="B883" s="18" t="s">
        <v>2181</v>
      </c>
      <c r="C883" s="31" t="s">
        <v>3946</v>
      </c>
      <c r="D883" s="19" t="s">
        <v>3947</v>
      </c>
      <c r="E883" s="20" t="s">
        <v>3948</v>
      </c>
      <c r="F883" s="21" t="s">
        <v>863</v>
      </c>
      <c r="G883" s="33" t="s">
        <v>53</v>
      </c>
      <c r="H883" s="23" t="s">
        <v>3949</v>
      </c>
      <c r="I883" s="34" t="s">
        <v>20</v>
      </c>
      <c r="J883" s="1" t="s">
        <v>87</v>
      </c>
      <c r="K883" s="25">
        <v>4</v>
      </c>
      <c r="L883" s="1" t="str">
        <f t="shared" si="1"/>
        <v/>
      </c>
      <c r="M883" s="25"/>
      <c r="N883" s="25"/>
      <c r="O883" s="25"/>
      <c r="P883" s="25"/>
      <c r="Q883" s="25"/>
      <c r="R883" s="25"/>
      <c r="S883" s="25"/>
      <c r="T883" s="25"/>
    </row>
    <row r="884" spans="1:20" ht="26.25" customHeight="1">
      <c r="A884" s="17">
        <f t="shared" si="0"/>
        <v>881</v>
      </c>
      <c r="B884" s="18" t="s">
        <v>3950</v>
      </c>
      <c r="C884" s="31" t="s">
        <v>3951</v>
      </c>
      <c r="D884" s="19" t="s">
        <v>3952</v>
      </c>
      <c r="E884" s="20" t="s">
        <v>3953</v>
      </c>
      <c r="F884" s="32" t="s">
        <v>3954</v>
      </c>
      <c r="G884" s="33" t="s">
        <v>53</v>
      </c>
      <c r="H884" s="23" t="s">
        <v>3955</v>
      </c>
      <c r="I884" s="24" t="s">
        <v>55</v>
      </c>
      <c r="J884" s="1" t="str">
        <f t="shared" ref="J884:J885" si="122">IFERROR(VLOOKUP(E884,#REF!,8,FALSE),"")</f>
        <v/>
      </c>
      <c r="K884" s="1"/>
      <c r="L884" s="1" t="str">
        <f t="shared" si="1"/>
        <v/>
      </c>
      <c r="M884" s="1"/>
      <c r="N884" s="1"/>
      <c r="O884" s="1"/>
      <c r="P884" s="1"/>
      <c r="Q884" s="1"/>
      <c r="R884" s="1"/>
      <c r="S884" s="1"/>
      <c r="T884" s="1"/>
    </row>
    <row r="885" spans="1:20" ht="26.25" customHeight="1">
      <c r="A885" s="17">
        <f t="shared" si="0"/>
        <v>882</v>
      </c>
      <c r="B885" s="18" t="s">
        <v>175</v>
      </c>
      <c r="C885" s="31" t="s">
        <v>3956</v>
      </c>
      <c r="D885" s="19" t="s">
        <v>3957</v>
      </c>
      <c r="E885" s="20" t="s">
        <v>1590</v>
      </c>
      <c r="F885" s="21" t="s">
        <v>3958</v>
      </c>
      <c r="G885" s="33" t="s">
        <v>53</v>
      </c>
      <c r="H885" s="23" t="s">
        <v>3959</v>
      </c>
      <c r="I885" s="34" t="s">
        <v>55</v>
      </c>
      <c r="J885" s="1" t="str">
        <f t="shared" si="122"/>
        <v/>
      </c>
      <c r="K885" s="25">
        <v>4</v>
      </c>
      <c r="L885" s="1" t="str">
        <f t="shared" si="1"/>
        <v>2021 과기 동양</v>
      </c>
      <c r="M885" s="25"/>
      <c r="N885" s="25"/>
      <c r="O885" s="25"/>
      <c r="P885" s="25"/>
      <c r="Q885" s="25"/>
      <c r="R885" s="25"/>
      <c r="S885" s="25"/>
      <c r="T885" s="25"/>
    </row>
    <row r="886" spans="1:20" ht="26.25" customHeight="1">
      <c r="A886" s="17">
        <f t="shared" si="0"/>
        <v>883</v>
      </c>
      <c r="B886" s="18" t="s">
        <v>37</v>
      </c>
      <c r="C886" s="19" t="s">
        <v>3960</v>
      </c>
      <c r="D886" s="19" t="s">
        <v>2631</v>
      </c>
      <c r="E886" s="20" t="s">
        <v>3961</v>
      </c>
      <c r="F886" s="21" t="s">
        <v>3266</v>
      </c>
      <c r="G886" s="33" t="s">
        <v>53</v>
      </c>
      <c r="H886" s="23" t="s">
        <v>3962</v>
      </c>
      <c r="I886" s="24" t="s">
        <v>20</v>
      </c>
      <c r="J886" s="1" t="s">
        <v>21</v>
      </c>
      <c r="K886" s="25">
        <v>3</v>
      </c>
      <c r="L886" s="1" t="str">
        <f t="shared" si="1"/>
        <v/>
      </c>
      <c r="M886" s="1"/>
      <c r="N886" s="1"/>
      <c r="O886" s="1"/>
      <c r="P886" s="1"/>
      <c r="Q886" s="1"/>
      <c r="R886" s="1"/>
      <c r="S886" s="1"/>
      <c r="T886" s="1"/>
    </row>
    <row r="887" spans="1:20" ht="26.25" customHeight="1">
      <c r="A887" s="17">
        <f t="shared" si="0"/>
        <v>884</v>
      </c>
      <c r="B887" s="18" t="s">
        <v>132</v>
      </c>
      <c r="C887" s="31" t="s">
        <v>3963</v>
      </c>
      <c r="D887" s="19" t="s">
        <v>3964</v>
      </c>
      <c r="E887" s="20" t="s">
        <v>3965</v>
      </c>
      <c r="F887" s="32" t="s">
        <v>1461</v>
      </c>
      <c r="G887" s="33" t="s">
        <v>53</v>
      </c>
      <c r="H887" s="23" t="s">
        <v>3966</v>
      </c>
      <c r="I887" s="24" t="s">
        <v>55</v>
      </c>
      <c r="J887" s="1" t="str">
        <f t="shared" ref="J887:J889" si="123">IFERROR(VLOOKUP(E887,#REF!,8,FALSE),"")</f>
        <v/>
      </c>
      <c r="K887" s="1"/>
      <c r="L887" s="1" t="str">
        <f t="shared" si="1"/>
        <v/>
      </c>
      <c r="M887" s="1"/>
      <c r="N887" s="1"/>
      <c r="O887" s="1"/>
      <c r="P887" s="1"/>
      <c r="Q887" s="1"/>
      <c r="R887" s="1"/>
      <c r="S887" s="1"/>
      <c r="T887" s="1"/>
    </row>
    <row r="888" spans="1:20" ht="26.25" customHeight="1">
      <c r="A888" s="17">
        <f t="shared" si="0"/>
        <v>885</v>
      </c>
      <c r="B888" s="18" t="s">
        <v>132</v>
      </c>
      <c r="C888" s="31" t="s">
        <v>3967</v>
      </c>
      <c r="D888" s="19" t="s">
        <v>3964</v>
      </c>
      <c r="E888" s="20" t="s">
        <v>3968</v>
      </c>
      <c r="F888" s="32" t="s">
        <v>1461</v>
      </c>
      <c r="G888" s="33" t="s">
        <v>53</v>
      </c>
      <c r="H888" s="23" t="s">
        <v>3969</v>
      </c>
      <c r="I888" s="24" t="s">
        <v>55</v>
      </c>
      <c r="J888" s="1" t="str">
        <f t="shared" si="123"/>
        <v/>
      </c>
      <c r="K888" s="1"/>
      <c r="L888" s="1" t="str">
        <f t="shared" si="1"/>
        <v/>
      </c>
      <c r="M888" s="1"/>
      <c r="N888" s="1"/>
      <c r="O888" s="1"/>
      <c r="P888" s="1"/>
      <c r="Q888" s="1"/>
      <c r="R888" s="1"/>
      <c r="S888" s="1"/>
      <c r="T888" s="1"/>
    </row>
    <row r="889" spans="1:20" ht="26.25" customHeight="1">
      <c r="A889" s="17">
        <f t="shared" si="0"/>
        <v>886</v>
      </c>
      <c r="B889" s="18" t="s">
        <v>132</v>
      </c>
      <c r="C889" s="31" t="s">
        <v>3970</v>
      </c>
      <c r="D889" s="19" t="s">
        <v>3964</v>
      </c>
      <c r="E889" s="20" t="s">
        <v>3971</v>
      </c>
      <c r="F889" s="32" t="s">
        <v>1461</v>
      </c>
      <c r="G889" s="33" t="s">
        <v>53</v>
      </c>
      <c r="H889" s="23" t="s">
        <v>3972</v>
      </c>
      <c r="I889" s="24" t="s">
        <v>55</v>
      </c>
      <c r="J889" s="1" t="str">
        <f t="shared" si="123"/>
        <v/>
      </c>
      <c r="K889" s="1"/>
      <c r="L889" s="1" t="str">
        <f t="shared" si="1"/>
        <v/>
      </c>
      <c r="M889" s="1"/>
      <c r="N889" s="1"/>
      <c r="O889" s="1"/>
      <c r="P889" s="1"/>
      <c r="Q889" s="1"/>
      <c r="R889" s="1"/>
      <c r="S889" s="1"/>
      <c r="T889" s="1"/>
    </row>
    <row r="890" spans="1:20" ht="26.25" customHeight="1">
      <c r="A890" s="17">
        <f t="shared" si="0"/>
        <v>887</v>
      </c>
      <c r="B890" s="18" t="s">
        <v>132</v>
      </c>
      <c r="C890" s="19" t="s">
        <v>3973</v>
      </c>
      <c r="D890" s="19" t="s">
        <v>3964</v>
      </c>
      <c r="E890" s="20" t="s">
        <v>3974</v>
      </c>
      <c r="F890" s="21" t="s">
        <v>3975</v>
      </c>
      <c r="G890" s="33" t="s">
        <v>53</v>
      </c>
      <c r="H890" s="23" t="s">
        <v>3976</v>
      </c>
      <c r="I890" s="24" t="s">
        <v>20</v>
      </c>
      <c r="J890" s="1" t="s">
        <v>21</v>
      </c>
      <c r="K890" s="25">
        <v>3</v>
      </c>
      <c r="L890" s="1" t="str">
        <f t="shared" si="1"/>
        <v/>
      </c>
      <c r="M890" s="1"/>
      <c r="N890" s="1"/>
      <c r="O890" s="1"/>
      <c r="P890" s="1"/>
      <c r="Q890" s="1"/>
      <c r="R890" s="1"/>
      <c r="S890" s="1"/>
      <c r="T890" s="1"/>
    </row>
    <row r="891" spans="1:20" ht="26.25" customHeight="1">
      <c r="A891" s="17">
        <f t="shared" si="0"/>
        <v>888</v>
      </c>
      <c r="B891" s="18" t="s">
        <v>37</v>
      </c>
      <c r="C891" s="19" t="s">
        <v>3977</v>
      </c>
      <c r="D891" s="19" t="s">
        <v>3978</v>
      </c>
      <c r="E891" s="20" t="s">
        <v>3979</v>
      </c>
      <c r="F891" s="21" t="s">
        <v>3980</v>
      </c>
      <c r="G891" s="33" t="s">
        <v>53</v>
      </c>
      <c r="H891" s="23" t="s">
        <v>3981</v>
      </c>
      <c r="I891" s="24" t="s">
        <v>20</v>
      </c>
      <c r="J891" s="1" t="s">
        <v>21</v>
      </c>
      <c r="K891" s="25">
        <v>3</v>
      </c>
      <c r="L891" s="1" t="str">
        <f t="shared" si="1"/>
        <v/>
      </c>
      <c r="M891" s="1"/>
      <c r="N891" s="1"/>
      <c r="O891" s="1"/>
      <c r="P891" s="1"/>
      <c r="Q891" s="1"/>
      <c r="R891" s="1"/>
      <c r="S891" s="1"/>
      <c r="T891" s="1"/>
    </row>
    <row r="892" spans="1:20" ht="26.25" customHeight="1">
      <c r="A892" s="17">
        <f t="shared" si="0"/>
        <v>889</v>
      </c>
      <c r="B892" s="18" t="s">
        <v>175</v>
      </c>
      <c r="C892" s="31" t="s">
        <v>3982</v>
      </c>
      <c r="D892" s="19" t="s">
        <v>3983</v>
      </c>
      <c r="E892" s="20" t="s">
        <v>3984</v>
      </c>
      <c r="F892" s="21" t="s">
        <v>3985</v>
      </c>
      <c r="G892" s="33" t="s">
        <v>63</v>
      </c>
      <c r="H892" s="23" t="s">
        <v>3986</v>
      </c>
      <c r="I892" s="34" t="s">
        <v>20</v>
      </c>
      <c r="J892" s="1" t="s">
        <v>87</v>
      </c>
      <c r="K892" s="25">
        <v>4</v>
      </c>
      <c r="L892" s="1" t="str">
        <f t="shared" si="1"/>
        <v/>
      </c>
      <c r="M892" s="25"/>
      <c r="N892" s="25"/>
      <c r="O892" s="25"/>
      <c r="P892" s="25"/>
      <c r="Q892" s="25"/>
      <c r="R892" s="25"/>
      <c r="S892" s="25"/>
      <c r="T892" s="25"/>
    </row>
    <row r="893" spans="1:20" ht="26.25" customHeight="1">
      <c r="A893" s="17">
        <f t="shared" si="0"/>
        <v>890</v>
      </c>
      <c r="B893" s="18" t="s">
        <v>1375</v>
      </c>
      <c r="C893" s="19" t="s">
        <v>3987</v>
      </c>
      <c r="D893" s="19" t="s">
        <v>2538</v>
      </c>
      <c r="E893" s="20" t="s">
        <v>3988</v>
      </c>
      <c r="F893" s="21" t="s">
        <v>126</v>
      </c>
      <c r="G893" s="33" t="s">
        <v>53</v>
      </c>
      <c r="H893" s="23" t="s">
        <v>3989</v>
      </c>
      <c r="I893" s="24" t="s">
        <v>20</v>
      </c>
      <c r="J893" s="1" t="s">
        <v>21</v>
      </c>
      <c r="K893" s="25">
        <v>3</v>
      </c>
      <c r="L893" s="1" t="str">
        <f t="shared" si="1"/>
        <v/>
      </c>
      <c r="M893" s="1"/>
      <c r="N893" s="1"/>
      <c r="O893" s="1"/>
      <c r="P893" s="1"/>
      <c r="Q893" s="1"/>
      <c r="R893" s="1"/>
      <c r="S893" s="1"/>
      <c r="T893" s="1"/>
    </row>
    <row r="894" spans="1:20" ht="26.25" customHeight="1">
      <c r="A894" s="17">
        <f t="shared" si="0"/>
        <v>891</v>
      </c>
      <c r="B894" s="18" t="s">
        <v>867</v>
      </c>
      <c r="C894" s="19" t="s">
        <v>3990</v>
      </c>
      <c r="D894" s="19" t="s">
        <v>3991</v>
      </c>
      <c r="E894" s="20" t="s">
        <v>3992</v>
      </c>
      <c r="F894" s="21" t="s">
        <v>905</v>
      </c>
      <c r="G894" s="33" t="s">
        <v>42</v>
      </c>
      <c r="H894" s="23" t="s">
        <v>3993</v>
      </c>
      <c r="I894" s="24" t="s">
        <v>20</v>
      </c>
      <c r="J894" s="1" t="s">
        <v>21</v>
      </c>
      <c r="K894" s="25">
        <v>3</v>
      </c>
      <c r="L894" s="1" t="str">
        <f t="shared" si="1"/>
        <v/>
      </c>
      <c r="M894" s="1"/>
      <c r="N894" s="1"/>
      <c r="O894" s="1"/>
      <c r="P894" s="1"/>
      <c r="Q894" s="1"/>
      <c r="R894" s="1"/>
      <c r="S894" s="1"/>
      <c r="T894" s="1"/>
    </row>
    <row r="895" spans="1:20" ht="26.25" customHeight="1">
      <c r="A895" s="17">
        <f t="shared" si="0"/>
        <v>892</v>
      </c>
      <c r="B895" s="18" t="s">
        <v>105</v>
      </c>
      <c r="C895" s="31" t="s">
        <v>3994</v>
      </c>
      <c r="D895" s="19" t="s">
        <v>3995</v>
      </c>
      <c r="E895" s="20" t="s">
        <v>3996</v>
      </c>
      <c r="F895" s="21" t="s">
        <v>2382</v>
      </c>
      <c r="G895" s="33" t="s">
        <v>53</v>
      </c>
      <c r="H895" s="23" t="s">
        <v>3997</v>
      </c>
      <c r="I895" s="34" t="s">
        <v>20</v>
      </c>
      <c r="J895" s="1" t="s">
        <v>87</v>
      </c>
      <c r="K895" s="25">
        <v>4</v>
      </c>
      <c r="L895" s="1" t="str">
        <f t="shared" si="1"/>
        <v/>
      </c>
      <c r="M895" s="25"/>
      <c r="N895" s="25"/>
      <c r="O895" s="25"/>
      <c r="P895" s="25"/>
      <c r="Q895" s="25"/>
      <c r="R895" s="25"/>
      <c r="S895" s="25"/>
      <c r="T895" s="25"/>
    </row>
    <row r="896" spans="1:20" ht="26.25" customHeight="1">
      <c r="A896" s="17">
        <f t="shared" si="0"/>
        <v>893</v>
      </c>
      <c r="B896" s="18" t="s">
        <v>867</v>
      </c>
      <c r="C896" s="31" t="s">
        <v>3998</v>
      </c>
      <c r="D896" s="19" t="s">
        <v>3999</v>
      </c>
      <c r="E896" s="20" t="s">
        <v>4000</v>
      </c>
      <c r="F896" s="32" t="s">
        <v>3258</v>
      </c>
      <c r="G896" s="33" t="s">
        <v>31</v>
      </c>
      <c r="H896" s="23" t="s">
        <v>4001</v>
      </c>
      <c r="I896" s="24" t="s">
        <v>55</v>
      </c>
      <c r="J896" s="1" t="str">
        <f>IFERROR(VLOOKUP(E896,#REF!,8,FALSE),"")</f>
        <v/>
      </c>
      <c r="K896" s="1"/>
      <c r="L896" s="1" t="str">
        <f t="shared" si="1"/>
        <v/>
      </c>
      <c r="M896" s="1"/>
      <c r="N896" s="1"/>
      <c r="O896" s="1"/>
      <c r="P896" s="1"/>
      <c r="Q896" s="1"/>
      <c r="R896" s="1"/>
      <c r="S896" s="1"/>
      <c r="T896" s="1"/>
    </row>
    <row r="897" spans="1:20" ht="26.25" customHeight="1">
      <c r="A897" s="17">
        <f t="shared" si="0"/>
        <v>894</v>
      </c>
      <c r="B897" s="18" t="s">
        <v>867</v>
      </c>
      <c r="C897" s="31" t="s">
        <v>4002</v>
      </c>
      <c r="D897" s="19" t="s">
        <v>4003</v>
      </c>
      <c r="E897" s="20" t="s">
        <v>4004</v>
      </c>
      <c r="F897" s="21" t="s">
        <v>2052</v>
      </c>
      <c r="G897" s="33" t="s">
        <v>53</v>
      </c>
      <c r="H897" s="23" t="s">
        <v>4005</v>
      </c>
      <c r="I897" s="34" t="s">
        <v>20</v>
      </c>
      <c r="J897" s="1" t="s">
        <v>87</v>
      </c>
      <c r="K897" s="25">
        <v>4</v>
      </c>
      <c r="L897" s="1" t="str">
        <f t="shared" si="1"/>
        <v/>
      </c>
      <c r="M897" s="25"/>
      <c r="N897" s="25"/>
      <c r="O897" s="25"/>
      <c r="P897" s="25"/>
      <c r="Q897" s="25"/>
      <c r="R897" s="25"/>
      <c r="S897" s="25"/>
      <c r="T897" s="25"/>
    </row>
    <row r="898" spans="1:20" ht="26.25" customHeight="1">
      <c r="A898" s="17">
        <f t="shared" si="0"/>
        <v>895</v>
      </c>
      <c r="B898" s="18" t="s">
        <v>27</v>
      </c>
      <c r="C898" s="31" t="s">
        <v>4006</v>
      </c>
      <c r="D898" s="19" t="s">
        <v>4007</v>
      </c>
      <c r="E898" s="20" t="s">
        <v>486</v>
      </c>
      <c r="F898" s="32" t="s">
        <v>603</v>
      </c>
      <c r="G898" s="33" t="s">
        <v>53</v>
      </c>
      <c r="H898" s="23" t="s">
        <v>4008</v>
      </c>
      <c r="I898" s="24" t="s">
        <v>55</v>
      </c>
      <c r="J898" s="1" t="str">
        <f t="shared" ref="J898:J901" si="124">IFERROR(VLOOKUP(E898,#REF!,8,FALSE),"")</f>
        <v/>
      </c>
      <c r="K898" s="25">
        <v>4</v>
      </c>
      <c r="L898" s="1" t="str">
        <f t="shared" si="1"/>
        <v>2019 과기 동양</v>
      </c>
      <c r="M898" s="1"/>
      <c r="N898" s="1"/>
      <c r="O898" s="1"/>
      <c r="P898" s="1"/>
      <c r="Q898" s="1"/>
      <c r="R898" s="1"/>
      <c r="S898" s="1"/>
      <c r="T898" s="1"/>
    </row>
    <row r="899" spans="1:20" ht="26.25" customHeight="1">
      <c r="A899" s="17">
        <f t="shared" si="0"/>
        <v>896</v>
      </c>
      <c r="B899" s="18" t="s">
        <v>867</v>
      </c>
      <c r="C899" s="31" t="s">
        <v>4009</v>
      </c>
      <c r="D899" s="19" t="s">
        <v>4010</v>
      </c>
      <c r="E899" s="20" t="s">
        <v>4011</v>
      </c>
      <c r="F899" s="32" t="s">
        <v>2546</v>
      </c>
      <c r="G899" s="33" t="s">
        <v>53</v>
      </c>
      <c r="H899" s="23" t="s">
        <v>4012</v>
      </c>
      <c r="I899" s="24" t="s">
        <v>55</v>
      </c>
      <c r="J899" s="1" t="str">
        <f t="shared" si="124"/>
        <v/>
      </c>
      <c r="K899" s="1"/>
      <c r="L899" s="1" t="str">
        <f t="shared" si="1"/>
        <v/>
      </c>
      <c r="M899" s="1"/>
      <c r="N899" s="1"/>
      <c r="O899" s="1"/>
      <c r="P899" s="1"/>
      <c r="Q899" s="1"/>
      <c r="R899" s="1"/>
      <c r="S899" s="1"/>
      <c r="T899" s="1"/>
    </row>
    <row r="900" spans="1:20" ht="26.25" customHeight="1">
      <c r="A900" s="17">
        <f t="shared" si="0"/>
        <v>897</v>
      </c>
      <c r="B900" s="18" t="s">
        <v>37</v>
      </c>
      <c r="C900" s="19" t="s">
        <v>4013</v>
      </c>
      <c r="D900" s="19" t="s">
        <v>4014</v>
      </c>
      <c r="E900" s="20" t="s">
        <v>1819</v>
      </c>
      <c r="F900" s="32" t="s">
        <v>4015</v>
      </c>
      <c r="G900" s="33" t="s">
        <v>53</v>
      </c>
      <c r="H900" s="23" t="s">
        <v>4016</v>
      </c>
      <c r="I900" s="34" t="s">
        <v>55</v>
      </c>
      <c r="J900" s="1" t="str">
        <f t="shared" si="124"/>
        <v/>
      </c>
      <c r="K900" s="25">
        <v>3</v>
      </c>
      <c r="L900" s="1" t="str">
        <f t="shared" si="1"/>
        <v>2021 FRIC 동양</v>
      </c>
      <c r="M900" s="25"/>
      <c r="N900" s="25"/>
      <c r="O900" s="25"/>
      <c r="P900" s="25"/>
      <c r="Q900" s="25"/>
      <c r="R900" s="25"/>
      <c r="S900" s="25"/>
      <c r="T900" s="25"/>
    </row>
    <row r="901" spans="1:20" ht="26.25" customHeight="1">
      <c r="A901" s="17">
        <f t="shared" si="0"/>
        <v>898</v>
      </c>
      <c r="B901" s="18" t="s">
        <v>867</v>
      </c>
      <c r="C901" s="31" t="s">
        <v>4017</v>
      </c>
      <c r="D901" s="19" t="s">
        <v>4018</v>
      </c>
      <c r="E901" s="20" t="s">
        <v>4019</v>
      </c>
      <c r="F901" s="32" t="s">
        <v>1393</v>
      </c>
      <c r="G901" s="70" t="s">
        <v>53</v>
      </c>
      <c r="H901" s="23" t="s">
        <v>4020</v>
      </c>
      <c r="I901" s="24" t="s">
        <v>55</v>
      </c>
      <c r="J901" s="1" t="str">
        <f t="shared" si="124"/>
        <v/>
      </c>
      <c r="K901" s="1"/>
      <c r="L901" s="1" t="str">
        <f t="shared" si="1"/>
        <v/>
      </c>
      <c r="M901" s="1"/>
      <c r="N901" s="1"/>
      <c r="O901" s="1"/>
      <c r="P901" s="1"/>
      <c r="Q901" s="1"/>
      <c r="R901" s="1"/>
      <c r="S901" s="1"/>
      <c r="T901" s="1"/>
    </row>
    <row r="902" spans="1:20" ht="26.25" customHeight="1">
      <c r="A902" s="17">
        <f t="shared" si="0"/>
        <v>899</v>
      </c>
      <c r="B902" s="18" t="s">
        <v>233</v>
      </c>
      <c r="C902" s="19" t="s">
        <v>4021</v>
      </c>
      <c r="D902" s="19" t="s">
        <v>4022</v>
      </c>
      <c r="E902" s="20" t="s">
        <v>4023</v>
      </c>
      <c r="F902" s="21" t="s">
        <v>4024</v>
      </c>
      <c r="G902" s="33" t="s">
        <v>53</v>
      </c>
      <c r="H902" s="23" t="s">
        <v>4025</v>
      </c>
      <c r="I902" s="24" t="s">
        <v>20</v>
      </c>
      <c r="J902" s="1" t="s">
        <v>21</v>
      </c>
      <c r="K902" s="25">
        <v>3</v>
      </c>
      <c r="L902" s="1" t="str">
        <f t="shared" si="1"/>
        <v/>
      </c>
      <c r="M902" s="1"/>
      <c r="N902" s="1"/>
      <c r="O902" s="1"/>
      <c r="P902" s="1"/>
      <c r="Q902" s="1"/>
      <c r="R902" s="1"/>
      <c r="S902" s="1"/>
      <c r="T902" s="1"/>
    </row>
    <row r="903" spans="1:20" ht="26.25" customHeight="1">
      <c r="A903" s="17">
        <f t="shared" si="0"/>
        <v>900</v>
      </c>
      <c r="B903" s="18" t="s">
        <v>1375</v>
      </c>
      <c r="C903" s="31" t="s">
        <v>4026</v>
      </c>
      <c r="D903" s="19" t="s">
        <v>2757</v>
      </c>
      <c r="E903" s="20" t="s">
        <v>4027</v>
      </c>
      <c r="F903" s="32" t="s">
        <v>222</v>
      </c>
      <c r="G903" s="33" t="s">
        <v>53</v>
      </c>
      <c r="H903" s="23" t="s">
        <v>4028</v>
      </c>
      <c r="I903" s="24" t="s">
        <v>55</v>
      </c>
      <c r="J903" s="1" t="str">
        <f t="shared" ref="J903:J908" si="125">IFERROR(VLOOKUP(E903,#REF!,8,FALSE),"")</f>
        <v/>
      </c>
      <c r="K903" s="1"/>
      <c r="L903" s="1" t="str">
        <f t="shared" si="1"/>
        <v/>
      </c>
      <c r="M903" s="1"/>
      <c r="N903" s="1"/>
      <c r="O903" s="1"/>
      <c r="P903" s="1"/>
      <c r="Q903" s="1"/>
      <c r="R903" s="1"/>
      <c r="S903" s="1"/>
      <c r="T903" s="1"/>
    </row>
    <row r="904" spans="1:20" ht="26.25" customHeight="1">
      <c r="A904" s="17">
        <f t="shared" si="0"/>
        <v>901</v>
      </c>
      <c r="B904" s="18" t="s">
        <v>1375</v>
      </c>
      <c r="C904" s="31" t="s">
        <v>4029</v>
      </c>
      <c r="D904" s="19" t="s">
        <v>4030</v>
      </c>
      <c r="E904" s="20" t="s">
        <v>1597</v>
      </c>
      <c r="F904" s="21" t="s">
        <v>2705</v>
      </c>
      <c r="G904" s="33" t="s">
        <v>53</v>
      </c>
      <c r="H904" s="23" t="s">
        <v>4031</v>
      </c>
      <c r="I904" s="34" t="s">
        <v>55</v>
      </c>
      <c r="J904" s="1" t="str">
        <f t="shared" si="125"/>
        <v/>
      </c>
      <c r="K904" s="25">
        <v>4</v>
      </c>
      <c r="L904" s="1" t="str">
        <f t="shared" si="1"/>
        <v>2021 과기 동양</v>
      </c>
      <c r="M904" s="25"/>
      <c r="N904" s="25"/>
      <c r="O904" s="25"/>
      <c r="P904" s="25"/>
      <c r="Q904" s="25"/>
      <c r="R904" s="25"/>
      <c r="S904" s="25"/>
      <c r="T904" s="25"/>
    </row>
    <row r="905" spans="1:20" ht="26.25" customHeight="1">
      <c r="A905" s="17">
        <f t="shared" si="0"/>
        <v>902</v>
      </c>
      <c r="B905" s="18" t="s">
        <v>105</v>
      </c>
      <c r="C905" s="31" t="s">
        <v>4032</v>
      </c>
      <c r="D905" s="19" t="s">
        <v>4033</v>
      </c>
      <c r="E905" s="20" t="s">
        <v>4034</v>
      </c>
      <c r="F905" s="32" t="s">
        <v>4035</v>
      </c>
      <c r="G905" s="33" t="s">
        <v>53</v>
      </c>
      <c r="H905" s="23" t="s">
        <v>4036</v>
      </c>
      <c r="I905" s="24" t="s">
        <v>55</v>
      </c>
      <c r="J905" s="1" t="str">
        <f t="shared" si="125"/>
        <v/>
      </c>
      <c r="K905" s="1"/>
      <c r="L905" s="1" t="str">
        <f t="shared" si="1"/>
        <v/>
      </c>
      <c r="M905" s="1"/>
      <c r="N905" s="1"/>
      <c r="O905" s="1"/>
      <c r="P905" s="1"/>
      <c r="Q905" s="1"/>
      <c r="R905" s="1"/>
      <c r="S905" s="1"/>
      <c r="T905" s="1"/>
    </row>
    <row r="906" spans="1:20" ht="26.25" customHeight="1">
      <c r="A906" s="17">
        <f t="shared" si="0"/>
        <v>903</v>
      </c>
      <c r="B906" s="18" t="s">
        <v>2181</v>
      </c>
      <c r="C906" s="31" t="s">
        <v>4037</v>
      </c>
      <c r="D906" s="19" t="s">
        <v>3774</v>
      </c>
      <c r="E906" s="20" t="s">
        <v>4038</v>
      </c>
      <c r="F906" s="32" t="s">
        <v>4039</v>
      </c>
      <c r="G906" s="33" t="s">
        <v>53</v>
      </c>
      <c r="H906" s="23" t="s">
        <v>4040</v>
      </c>
      <c r="I906" s="24" t="s">
        <v>55</v>
      </c>
      <c r="J906" s="1" t="str">
        <f t="shared" si="125"/>
        <v/>
      </c>
      <c r="K906" s="1"/>
      <c r="L906" s="1" t="str">
        <f t="shared" si="1"/>
        <v/>
      </c>
      <c r="M906" s="1"/>
      <c r="N906" s="1"/>
      <c r="O906" s="1"/>
      <c r="P906" s="1"/>
      <c r="Q906" s="1"/>
      <c r="R906" s="1"/>
      <c r="S906" s="1"/>
      <c r="T906" s="1"/>
    </row>
    <row r="907" spans="1:20" ht="26.25" customHeight="1">
      <c r="A907" s="17">
        <f t="shared" si="0"/>
        <v>904</v>
      </c>
      <c r="B907" s="18" t="s">
        <v>132</v>
      </c>
      <c r="C907" s="31" t="s">
        <v>4041</v>
      </c>
      <c r="D907" s="19" t="s">
        <v>4042</v>
      </c>
      <c r="E907" s="20"/>
      <c r="F907" s="32" t="s">
        <v>1280</v>
      </c>
      <c r="G907" s="33" t="s">
        <v>53</v>
      </c>
      <c r="H907" s="23" t="s">
        <v>4043</v>
      </c>
      <c r="I907" s="24" t="s">
        <v>55</v>
      </c>
      <c r="J907" s="1" t="str">
        <f t="shared" si="125"/>
        <v/>
      </c>
      <c r="K907" s="1"/>
      <c r="L907" s="1" t="str">
        <f t="shared" si="1"/>
        <v/>
      </c>
      <c r="M907" s="1"/>
      <c r="N907" s="1"/>
      <c r="O907" s="1"/>
      <c r="P907" s="1"/>
      <c r="Q907" s="1"/>
      <c r="R907" s="1"/>
      <c r="S907" s="1"/>
      <c r="T907" s="1"/>
    </row>
    <row r="908" spans="1:20" ht="26.25" customHeight="1">
      <c r="A908" s="17">
        <f t="shared" si="0"/>
        <v>905</v>
      </c>
      <c r="B908" s="18" t="s">
        <v>132</v>
      </c>
      <c r="C908" s="31" t="s">
        <v>4044</v>
      </c>
      <c r="D908" s="19" t="s">
        <v>4045</v>
      </c>
      <c r="E908" s="20" t="s">
        <v>305</v>
      </c>
      <c r="F908" s="32" t="s">
        <v>62</v>
      </c>
      <c r="G908" s="22" t="s">
        <v>53</v>
      </c>
      <c r="H908" s="23" t="s">
        <v>4046</v>
      </c>
      <c r="I908" s="24" t="s">
        <v>55</v>
      </c>
      <c r="J908" s="1" t="str">
        <f t="shared" si="125"/>
        <v/>
      </c>
      <c r="K908" s="25">
        <v>3</v>
      </c>
      <c r="L908" s="1" t="str">
        <f t="shared" si="1"/>
        <v>2018 FRIC 동양</v>
      </c>
      <c r="M908" s="1"/>
      <c r="N908" s="1"/>
      <c r="O908" s="1"/>
      <c r="P908" s="1"/>
      <c r="Q908" s="1"/>
      <c r="R908" s="1"/>
      <c r="S908" s="1"/>
      <c r="T908" s="1"/>
    </row>
    <row r="909" spans="1:20" ht="26.25" customHeight="1">
      <c r="A909" s="17">
        <f t="shared" si="0"/>
        <v>906</v>
      </c>
      <c r="B909" s="18" t="s">
        <v>132</v>
      </c>
      <c r="C909" s="19" t="s">
        <v>4047</v>
      </c>
      <c r="D909" s="19" t="s">
        <v>3042</v>
      </c>
      <c r="E909" s="20" t="s">
        <v>4048</v>
      </c>
      <c r="F909" s="21" t="s">
        <v>135</v>
      </c>
      <c r="G909" s="22" t="s">
        <v>53</v>
      </c>
      <c r="H909" s="23" t="s">
        <v>4049</v>
      </c>
      <c r="I909" s="24" t="s">
        <v>20</v>
      </c>
      <c r="J909" s="1" t="s">
        <v>21</v>
      </c>
      <c r="K909" s="25">
        <v>3</v>
      </c>
      <c r="L909" s="1" t="str">
        <f t="shared" si="1"/>
        <v/>
      </c>
      <c r="M909" s="1"/>
      <c r="N909" s="1"/>
      <c r="O909" s="1"/>
      <c r="P909" s="1"/>
      <c r="Q909" s="1"/>
      <c r="R909" s="1"/>
      <c r="S909" s="1"/>
      <c r="T909" s="1"/>
    </row>
    <row r="910" spans="1:20" ht="26.25" customHeight="1">
      <c r="A910" s="17">
        <f t="shared" si="0"/>
        <v>907</v>
      </c>
      <c r="B910" s="18" t="s">
        <v>132</v>
      </c>
      <c r="C910" s="31" t="s">
        <v>4050</v>
      </c>
      <c r="D910" s="19" t="s">
        <v>3042</v>
      </c>
      <c r="E910" s="20" t="s">
        <v>538</v>
      </c>
      <c r="F910" s="32" t="s">
        <v>496</v>
      </c>
      <c r="G910" s="22" t="s">
        <v>53</v>
      </c>
      <c r="H910" s="23" t="s">
        <v>4051</v>
      </c>
      <c r="I910" s="24" t="s">
        <v>55</v>
      </c>
      <c r="J910" s="1" t="str">
        <f t="shared" ref="J910:J917" si="126">IFERROR(VLOOKUP(E910,#REF!,8,FALSE),"")</f>
        <v/>
      </c>
      <c r="K910" s="25">
        <v>3</v>
      </c>
      <c r="L910" s="1" t="str">
        <f t="shared" si="1"/>
        <v>2019 FRIC 동양</v>
      </c>
      <c r="M910" s="1"/>
      <c r="N910" s="1"/>
      <c r="O910" s="1"/>
      <c r="P910" s="1"/>
      <c r="Q910" s="1"/>
      <c r="R910" s="1"/>
      <c r="S910" s="1"/>
      <c r="T910" s="1"/>
    </row>
    <row r="911" spans="1:20" ht="26.25" customHeight="1">
      <c r="A911" s="17">
        <f t="shared" si="0"/>
        <v>908</v>
      </c>
      <c r="B911" s="18" t="s">
        <v>37</v>
      </c>
      <c r="C911" s="31" t="s">
        <v>771</v>
      </c>
      <c r="D911" s="19" t="s">
        <v>4052</v>
      </c>
      <c r="E911" s="20" t="s">
        <v>773</v>
      </c>
      <c r="F911" s="32" t="s">
        <v>4053</v>
      </c>
      <c r="G911" s="22" t="s">
        <v>53</v>
      </c>
      <c r="H911" s="23" t="s">
        <v>4054</v>
      </c>
      <c r="I911" s="24" t="s">
        <v>55</v>
      </c>
      <c r="J911" s="1" t="str">
        <f t="shared" si="126"/>
        <v/>
      </c>
      <c r="K911" s="25">
        <v>3</v>
      </c>
      <c r="L911" s="1" t="str">
        <f t="shared" si="1"/>
        <v>2020 FRIC 동양</v>
      </c>
      <c r="M911" s="1"/>
      <c r="N911" s="1"/>
      <c r="O911" s="1"/>
      <c r="P911" s="1"/>
      <c r="Q911" s="1"/>
      <c r="R911" s="1"/>
      <c r="S911" s="1"/>
      <c r="T911" s="1"/>
    </row>
    <row r="912" spans="1:20" ht="26.25" customHeight="1">
      <c r="A912" s="17">
        <f t="shared" si="0"/>
        <v>909</v>
      </c>
      <c r="B912" s="18" t="s">
        <v>37</v>
      </c>
      <c r="C912" s="31" t="s">
        <v>4055</v>
      </c>
      <c r="D912" s="19" t="s">
        <v>4056</v>
      </c>
      <c r="E912" s="20" t="s">
        <v>4057</v>
      </c>
      <c r="F912" s="32" t="s">
        <v>4058</v>
      </c>
      <c r="G912" s="22" t="s">
        <v>53</v>
      </c>
      <c r="H912" s="23" t="s">
        <v>4059</v>
      </c>
      <c r="I912" s="24" t="s">
        <v>55</v>
      </c>
      <c r="J912" s="1" t="str">
        <f t="shared" si="126"/>
        <v/>
      </c>
      <c r="K912" s="1"/>
      <c r="L912" s="1" t="str">
        <f t="shared" si="1"/>
        <v/>
      </c>
      <c r="M912" s="1"/>
      <c r="N912" s="1"/>
      <c r="O912" s="1"/>
      <c r="P912" s="1"/>
      <c r="Q912" s="1"/>
      <c r="R912" s="1"/>
      <c r="S912" s="1"/>
      <c r="T912" s="1"/>
    </row>
    <row r="913" spans="1:20" ht="26.25" customHeight="1">
      <c r="A913" s="17">
        <f t="shared" si="0"/>
        <v>910</v>
      </c>
      <c r="B913" s="18" t="s">
        <v>48</v>
      </c>
      <c r="C913" s="31" t="s">
        <v>4060</v>
      </c>
      <c r="D913" s="19" t="s">
        <v>4061</v>
      </c>
      <c r="E913" s="20" t="s">
        <v>438</v>
      </c>
      <c r="F913" s="32" t="s">
        <v>4062</v>
      </c>
      <c r="G913" s="33" t="s">
        <v>63</v>
      </c>
      <c r="H913" s="23" t="s">
        <v>4063</v>
      </c>
      <c r="I913" s="24" t="s">
        <v>55</v>
      </c>
      <c r="J913" s="1" t="str">
        <f t="shared" si="126"/>
        <v/>
      </c>
      <c r="K913" s="25">
        <v>4</v>
      </c>
      <c r="L913" s="1" t="str">
        <f t="shared" si="1"/>
        <v>2019 과기 동양</v>
      </c>
      <c r="M913" s="1"/>
      <c r="N913" s="1"/>
      <c r="O913" s="1"/>
      <c r="P913" s="1"/>
      <c r="Q913" s="1"/>
      <c r="R913" s="1"/>
      <c r="S913" s="1"/>
      <c r="T913" s="1"/>
    </row>
    <row r="914" spans="1:20" ht="26.25" customHeight="1">
      <c r="A914" s="17">
        <f t="shared" si="0"/>
        <v>911</v>
      </c>
      <c r="B914" s="18" t="s">
        <v>48</v>
      </c>
      <c r="C914" s="31" t="s">
        <v>4064</v>
      </c>
      <c r="D914" s="19" t="s">
        <v>4061</v>
      </c>
      <c r="E914" s="20" t="s">
        <v>445</v>
      </c>
      <c r="F914" s="32" t="s">
        <v>4062</v>
      </c>
      <c r="G914" s="33" t="s">
        <v>63</v>
      </c>
      <c r="H914" s="23" t="s">
        <v>4065</v>
      </c>
      <c r="I914" s="24" t="s">
        <v>55</v>
      </c>
      <c r="J914" s="1" t="str">
        <f t="shared" si="126"/>
        <v/>
      </c>
      <c r="K914" s="25">
        <v>4</v>
      </c>
      <c r="L914" s="1" t="str">
        <f t="shared" si="1"/>
        <v>2019 과기 동양</v>
      </c>
      <c r="M914" s="1"/>
      <c r="N914" s="1"/>
      <c r="O914" s="1"/>
      <c r="P914" s="1"/>
      <c r="Q914" s="1"/>
      <c r="R914" s="1"/>
      <c r="S914" s="1"/>
      <c r="T914" s="1"/>
    </row>
    <row r="915" spans="1:20" ht="26.25" customHeight="1">
      <c r="A915" s="17">
        <f t="shared" si="0"/>
        <v>912</v>
      </c>
      <c r="B915" s="18" t="s">
        <v>48</v>
      </c>
      <c r="C915" s="31" t="s">
        <v>4066</v>
      </c>
      <c r="D915" s="19" t="s">
        <v>4061</v>
      </c>
      <c r="E915" s="20" t="s">
        <v>452</v>
      </c>
      <c r="F915" s="32" t="s">
        <v>4067</v>
      </c>
      <c r="G915" s="33" t="s">
        <v>63</v>
      </c>
      <c r="H915" s="23" t="s">
        <v>4068</v>
      </c>
      <c r="I915" s="24" t="s">
        <v>55</v>
      </c>
      <c r="J915" s="1" t="str">
        <f t="shared" si="126"/>
        <v/>
      </c>
      <c r="K915" s="25">
        <v>4</v>
      </c>
      <c r="L915" s="1" t="str">
        <f t="shared" si="1"/>
        <v>2019 과기 동양</v>
      </c>
      <c r="M915" s="1"/>
      <c r="N915" s="1"/>
      <c r="O915" s="1"/>
      <c r="P915" s="1"/>
      <c r="Q915" s="1"/>
      <c r="R915" s="1"/>
      <c r="S915" s="1"/>
      <c r="T915" s="1"/>
    </row>
    <row r="916" spans="1:20" ht="26.25" customHeight="1">
      <c r="A916" s="17">
        <f t="shared" si="0"/>
        <v>913</v>
      </c>
      <c r="B916" s="18" t="s">
        <v>48</v>
      </c>
      <c r="C916" s="31" t="s">
        <v>4069</v>
      </c>
      <c r="D916" s="19" t="s">
        <v>4061</v>
      </c>
      <c r="E916" s="20" t="s">
        <v>458</v>
      </c>
      <c r="F916" s="32" t="s">
        <v>4070</v>
      </c>
      <c r="G916" s="33" t="s">
        <v>63</v>
      </c>
      <c r="H916" s="23" t="s">
        <v>4071</v>
      </c>
      <c r="I916" s="24" t="s">
        <v>55</v>
      </c>
      <c r="J916" s="1" t="str">
        <f t="shared" si="126"/>
        <v/>
      </c>
      <c r="K916" s="25">
        <v>4</v>
      </c>
      <c r="L916" s="1" t="str">
        <f t="shared" si="1"/>
        <v>2019 과기 동양</v>
      </c>
      <c r="M916" s="1"/>
      <c r="N916" s="1"/>
      <c r="O916" s="1"/>
      <c r="P916" s="1"/>
      <c r="Q916" s="1"/>
      <c r="R916" s="1"/>
      <c r="S916" s="1"/>
      <c r="T916" s="1"/>
    </row>
    <row r="917" spans="1:20" ht="26.25" customHeight="1">
      <c r="A917" s="17">
        <f t="shared" si="0"/>
        <v>914</v>
      </c>
      <c r="B917" s="18" t="s">
        <v>48</v>
      </c>
      <c r="C917" s="31" t="s">
        <v>4072</v>
      </c>
      <c r="D917" s="19" t="s">
        <v>4061</v>
      </c>
      <c r="E917" s="20" t="s">
        <v>1619</v>
      </c>
      <c r="F917" s="21" t="s">
        <v>2434</v>
      </c>
      <c r="G917" s="33" t="s">
        <v>63</v>
      </c>
      <c r="H917" s="23" t="s">
        <v>4073</v>
      </c>
      <c r="I917" s="34" t="s">
        <v>55</v>
      </c>
      <c r="J917" s="1" t="str">
        <f t="shared" si="126"/>
        <v/>
      </c>
      <c r="K917" s="25">
        <v>4</v>
      </c>
      <c r="L917" s="1" t="str">
        <f t="shared" si="1"/>
        <v>2021 과기 동양</v>
      </c>
      <c r="M917" s="25"/>
      <c r="N917" s="25"/>
      <c r="O917" s="25"/>
      <c r="P917" s="25"/>
      <c r="Q917" s="25"/>
      <c r="R917" s="25"/>
      <c r="S917" s="25"/>
      <c r="T917" s="25"/>
    </row>
    <row r="918" spans="1:20" ht="26.25" customHeight="1">
      <c r="A918" s="17">
        <f t="shared" si="0"/>
        <v>915</v>
      </c>
      <c r="B918" s="18" t="s">
        <v>48</v>
      </c>
      <c r="C918" s="31" t="s">
        <v>4074</v>
      </c>
      <c r="D918" s="19" t="s">
        <v>4075</v>
      </c>
      <c r="E918" s="20" t="s">
        <v>4076</v>
      </c>
      <c r="F918" s="21" t="s">
        <v>3924</v>
      </c>
      <c r="G918" s="33" t="s">
        <v>53</v>
      </c>
      <c r="H918" s="23" t="s">
        <v>4077</v>
      </c>
      <c r="I918" s="34" t="s">
        <v>20</v>
      </c>
      <c r="J918" s="1" t="s">
        <v>87</v>
      </c>
      <c r="K918" s="25">
        <v>4</v>
      </c>
      <c r="L918" s="1" t="str">
        <f t="shared" si="1"/>
        <v/>
      </c>
      <c r="M918" s="25"/>
      <c r="N918" s="25"/>
      <c r="O918" s="25"/>
      <c r="P918" s="25"/>
      <c r="Q918" s="25"/>
      <c r="R918" s="25"/>
      <c r="S918" s="25"/>
      <c r="T918" s="25"/>
    </row>
    <row r="919" spans="1:20" ht="26.25" customHeight="1">
      <c r="A919" s="17">
        <f t="shared" si="0"/>
        <v>916</v>
      </c>
      <c r="B919" s="18" t="s">
        <v>48</v>
      </c>
      <c r="C919" s="31" t="s">
        <v>4078</v>
      </c>
      <c r="D919" s="19" t="s">
        <v>4079</v>
      </c>
      <c r="E919" s="20" t="s">
        <v>4080</v>
      </c>
      <c r="F919" s="32" t="s">
        <v>4081</v>
      </c>
      <c r="G919" s="33" t="s">
        <v>53</v>
      </c>
      <c r="H919" s="23" t="s">
        <v>4082</v>
      </c>
      <c r="I919" s="24" t="s">
        <v>55</v>
      </c>
      <c r="J919" s="1" t="str">
        <f t="shared" ref="J919:J926" si="127">IFERROR(VLOOKUP(E919,#REF!,8,FALSE),"")</f>
        <v/>
      </c>
      <c r="K919" s="1"/>
      <c r="L919" s="1" t="str">
        <f t="shared" si="1"/>
        <v/>
      </c>
      <c r="M919" s="1"/>
      <c r="N919" s="1"/>
      <c r="O919" s="1"/>
      <c r="P919" s="1"/>
      <c r="Q919" s="1"/>
      <c r="R919" s="1"/>
      <c r="S919" s="1"/>
      <c r="T919" s="1"/>
    </row>
    <row r="920" spans="1:20" ht="26.25" customHeight="1">
      <c r="A920" s="17">
        <f t="shared" si="0"/>
        <v>917</v>
      </c>
      <c r="B920" s="18" t="s">
        <v>48</v>
      </c>
      <c r="C920" s="31" t="s">
        <v>4083</v>
      </c>
      <c r="D920" s="19" t="s">
        <v>4084</v>
      </c>
      <c r="E920" s="20" t="s">
        <v>4085</v>
      </c>
      <c r="F920" s="32" t="s">
        <v>4086</v>
      </c>
      <c r="G920" s="33" t="s">
        <v>53</v>
      </c>
      <c r="H920" s="23" t="s">
        <v>4087</v>
      </c>
      <c r="I920" s="24" t="s">
        <v>55</v>
      </c>
      <c r="J920" s="1" t="str">
        <f t="shared" si="127"/>
        <v/>
      </c>
      <c r="K920" s="1"/>
      <c r="L920" s="1" t="str">
        <f t="shared" si="1"/>
        <v/>
      </c>
      <c r="M920" s="1"/>
      <c r="N920" s="1"/>
      <c r="O920" s="1"/>
      <c r="P920" s="1"/>
      <c r="Q920" s="1"/>
      <c r="R920" s="1"/>
      <c r="S920" s="1"/>
      <c r="T920" s="1"/>
    </row>
    <row r="921" spans="1:20" ht="26.25" customHeight="1">
      <c r="A921" s="17">
        <f t="shared" si="0"/>
        <v>918</v>
      </c>
      <c r="B921" s="18" t="s">
        <v>48</v>
      </c>
      <c r="C921" s="31" t="s">
        <v>4088</v>
      </c>
      <c r="D921" s="19" t="s">
        <v>4079</v>
      </c>
      <c r="E921" s="20" t="s">
        <v>4089</v>
      </c>
      <c r="F921" s="32" t="s">
        <v>4090</v>
      </c>
      <c r="G921" s="33" t="s">
        <v>53</v>
      </c>
      <c r="H921" s="23" t="s">
        <v>4091</v>
      </c>
      <c r="I921" s="24" t="s">
        <v>55</v>
      </c>
      <c r="J921" s="1" t="str">
        <f t="shared" si="127"/>
        <v/>
      </c>
      <c r="K921" s="1"/>
      <c r="L921" s="1" t="str">
        <f t="shared" si="1"/>
        <v/>
      </c>
      <c r="M921" s="1"/>
      <c r="N921" s="1"/>
      <c r="O921" s="1"/>
      <c r="P921" s="1"/>
      <c r="Q921" s="1"/>
      <c r="R921" s="1"/>
      <c r="S921" s="1"/>
      <c r="T921" s="1"/>
    </row>
    <row r="922" spans="1:20" ht="26.25" customHeight="1">
      <c r="A922" s="17">
        <f t="shared" si="0"/>
        <v>919</v>
      </c>
      <c r="B922" s="18" t="s">
        <v>48</v>
      </c>
      <c r="C922" s="31" t="s">
        <v>4092</v>
      </c>
      <c r="D922" s="19" t="s">
        <v>4079</v>
      </c>
      <c r="E922" s="20" t="s">
        <v>4093</v>
      </c>
      <c r="F922" s="32" t="s">
        <v>4081</v>
      </c>
      <c r="G922" s="33" t="s">
        <v>53</v>
      </c>
      <c r="H922" s="23" t="s">
        <v>4094</v>
      </c>
      <c r="I922" s="24" t="s">
        <v>55</v>
      </c>
      <c r="J922" s="1" t="str">
        <f t="shared" si="127"/>
        <v/>
      </c>
      <c r="K922" s="1"/>
      <c r="L922" s="1" t="str">
        <f t="shared" si="1"/>
        <v/>
      </c>
      <c r="M922" s="1"/>
      <c r="N922" s="1"/>
      <c r="O922" s="1"/>
      <c r="P922" s="1"/>
      <c r="Q922" s="1"/>
      <c r="R922" s="1"/>
      <c r="S922" s="1"/>
      <c r="T922" s="1"/>
    </row>
    <row r="923" spans="1:20" ht="26.25" customHeight="1">
      <c r="A923" s="17">
        <f t="shared" si="0"/>
        <v>920</v>
      </c>
      <c r="B923" s="18" t="s">
        <v>48</v>
      </c>
      <c r="C923" s="31" t="s">
        <v>4095</v>
      </c>
      <c r="D923" s="19" t="s">
        <v>4079</v>
      </c>
      <c r="E923" s="20" t="s">
        <v>408</v>
      </c>
      <c r="F923" s="32" t="s">
        <v>4096</v>
      </c>
      <c r="G923" s="33" t="s">
        <v>53</v>
      </c>
      <c r="H923" s="23" t="s">
        <v>4097</v>
      </c>
      <c r="I923" s="24" t="s">
        <v>55</v>
      </c>
      <c r="J923" s="1" t="str">
        <f t="shared" si="127"/>
        <v/>
      </c>
      <c r="K923" s="25">
        <v>4</v>
      </c>
      <c r="L923" s="1" t="str">
        <f t="shared" si="1"/>
        <v>2019 과기 동양</v>
      </c>
      <c r="M923" s="1"/>
      <c r="N923" s="1"/>
      <c r="O923" s="1"/>
      <c r="P923" s="1"/>
      <c r="Q923" s="1"/>
      <c r="R923" s="1"/>
      <c r="S923" s="1"/>
      <c r="T923" s="1"/>
    </row>
    <row r="924" spans="1:20" ht="26.25" customHeight="1">
      <c r="A924" s="17">
        <f t="shared" si="0"/>
        <v>921</v>
      </c>
      <c r="B924" s="18" t="s">
        <v>48</v>
      </c>
      <c r="C924" s="31" t="s">
        <v>4098</v>
      </c>
      <c r="D924" s="19" t="s">
        <v>4079</v>
      </c>
      <c r="E924" s="20" t="s">
        <v>413</v>
      </c>
      <c r="F924" s="32" t="s">
        <v>4099</v>
      </c>
      <c r="G924" s="33" t="s">
        <v>53</v>
      </c>
      <c r="H924" s="23" t="s">
        <v>4100</v>
      </c>
      <c r="I924" s="24" t="s">
        <v>55</v>
      </c>
      <c r="J924" s="1" t="str">
        <f t="shared" si="127"/>
        <v/>
      </c>
      <c r="K924" s="25">
        <v>4</v>
      </c>
      <c r="L924" s="1" t="str">
        <f t="shared" si="1"/>
        <v>2019 과기 동양</v>
      </c>
      <c r="M924" s="1"/>
      <c r="N924" s="1"/>
      <c r="O924" s="1"/>
      <c r="P924" s="1"/>
      <c r="Q924" s="1"/>
      <c r="R924" s="1"/>
      <c r="S924" s="1"/>
      <c r="T924" s="1"/>
    </row>
    <row r="925" spans="1:20" ht="26.25" customHeight="1">
      <c r="A925" s="17">
        <f t="shared" si="0"/>
        <v>922</v>
      </c>
      <c r="B925" s="18" t="s">
        <v>48</v>
      </c>
      <c r="C925" s="31" t="s">
        <v>4101</v>
      </c>
      <c r="D925" s="19" t="s">
        <v>4079</v>
      </c>
      <c r="E925" s="20" t="s">
        <v>419</v>
      </c>
      <c r="F925" s="32" t="s">
        <v>4102</v>
      </c>
      <c r="G925" s="33" t="s">
        <v>53</v>
      </c>
      <c r="H925" s="23" t="s">
        <v>4103</v>
      </c>
      <c r="I925" s="24" t="s">
        <v>55</v>
      </c>
      <c r="J925" s="1" t="str">
        <f t="shared" si="127"/>
        <v/>
      </c>
      <c r="K925" s="25">
        <v>4</v>
      </c>
      <c r="L925" s="1" t="str">
        <f t="shared" si="1"/>
        <v>2019 과기 동양</v>
      </c>
      <c r="M925" s="1"/>
      <c r="N925" s="1"/>
      <c r="O925" s="1"/>
      <c r="P925" s="1"/>
      <c r="Q925" s="1"/>
      <c r="R925" s="1"/>
      <c r="S925" s="1"/>
      <c r="T925" s="1"/>
    </row>
    <row r="926" spans="1:20" ht="26.25" customHeight="1">
      <c r="A926" s="17">
        <f t="shared" si="0"/>
        <v>923</v>
      </c>
      <c r="B926" s="18" t="s">
        <v>48</v>
      </c>
      <c r="C926" s="31" t="s">
        <v>4104</v>
      </c>
      <c r="D926" s="19" t="s">
        <v>4079</v>
      </c>
      <c r="E926" s="20" t="s">
        <v>425</v>
      </c>
      <c r="F926" s="32" t="s">
        <v>4105</v>
      </c>
      <c r="G926" s="33" t="s">
        <v>53</v>
      </c>
      <c r="H926" s="23" t="s">
        <v>4106</v>
      </c>
      <c r="I926" s="24" t="s">
        <v>55</v>
      </c>
      <c r="J926" s="1" t="str">
        <f t="shared" si="127"/>
        <v/>
      </c>
      <c r="K926" s="25">
        <v>4</v>
      </c>
      <c r="L926" s="1" t="str">
        <f t="shared" si="1"/>
        <v>2019 과기 동양</v>
      </c>
      <c r="M926" s="1"/>
      <c r="N926" s="1"/>
      <c r="O926" s="1"/>
      <c r="P926" s="1"/>
      <c r="Q926" s="1"/>
      <c r="R926" s="1"/>
      <c r="S926" s="1"/>
      <c r="T926" s="1"/>
    </row>
    <row r="927" spans="1:20" ht="26.25" customHeight="1">
      <c r="A927" s="17">
        <f t="shared" si="0"/>
        <v>924</v>
      </c>
      <c r="B927" s="18" t="s">
        <v>48</v>
      </c>
      <c r="C927" s="31" t="s">
        <v>4107</v>
      </c>
      <c r="D927" s="19" t="s">
        <v>4079</v>
      </c>
      <c r="E927" s="20" t="s">
        <v>4108</v>
      </c>
      <c r="F927" s="21" t="s">
        <v>1642</v>
      </c>
      <c r="G927" s="33" t="s">
        <v>53</v>
      </c>
      <c r="H927" s="23" t="s">
        <v>4109</v>
      </c>
      <c r="I927" s="34" t="s">
        <v>20</v>
      </c>
      <c r="J927" s="1" t="s">
        <v>87</v>
      </c>
      <c r="K927" s="25">
        <v>4</v>
      </c>
      <c r="L927" s="1" t="str">
        <f t="shared" si="1"/>
        <v/>
      </c>
      <c r="M927" s="25"/>
      <c r="N927" s="25"/>
      <c r="O927" s="25"/>
      <c r="P927" s="25"/>
      <c r="Q927" s="25"/>
      <c r="R927" s="25"/>
      <c r="S927" s="25"/>
      <c r="T927" s="25"/>
    </row>
    <row r="928" spans="1:20" ht="26.25" customHeight="1">
      <c r="A928" s="17">
        <f t="shared" si="0"/>
        <v>925</v>
      </c>
      <c r="B928" s="18" t="s">
        <v>13</v>
      </c>
      <c r="C928" s="22" t="s">
        <v>4110</v>
      </c>
      <c r="D928" s="42" t="s">
        <v>4111</v>
      </c>
      <c r="E928" s="104" t="s">
        <v>4112</v>
      </c>
      <c r="F928" s="32" t="s">
        <v>2718</v>
      </c>
      <c r="G928" s="22" t="s">
        <v>53</v>
      </c>
      <c r="H928" s="23" t="s">
        <v>4113</v>
      </c>
      <c r="I928" s="24" t="s">
        <v>55</v>
      </c>
      <c r="J928" s="1" t="str">
        <f>IFERROR(VLOOKUP(E928,#REF!,8,FALSE),"")</f>
        <v/>
      </c>
      <c r="K928" s="1"/>
      <c r="L928" s="1" t="str">
        <f t="shared" si="1"/>
        <v/>
      </c>
      <c r="M928" s="1"/>
      <c r="N928" s="1"/>
      <c r="O928" s="1"/>
      <c r="P928" s="1"/>
      <c r="Q928" s="1"/>
      <c r="R928" s="1"/>
      <c r="S928" s="1"/>
      <c r="T928" s="1"/>
    </row>
    <row r="929" spans="1:20" ht="26.25" customHeight="1">
      <c r="A929" s="17">
        <f t="shared" si="0"/>
        <v>926</v>
      </c>
      <c r="B929" s="18" t="s">
        <v>132</v>
      </c>
      <c r="C929" s="19" t="s">
        <v>4114</v>
      </c>
      <c r="D929" s="19" t="s">
        <v>4115</v>
      </c>
      <c r="E929" s="20" t="s">
        <v>4116</v>
      </c>
      <c r="F929" s="21" t="s">
        <v>2023</v>
      </c>
      <c r="G929" s="22" t="s">
        <v>63</v>
      </c>
      <c r="H929" s="23" t="s">
        <v>4117</v>
      </c>
      <c r="I929" s="24" t="s">
        <v>20</v>
      </c>
      <c r="J929" s="1" t="s">
        <v>21</v>
      </c>
      <c r="K929" s="25">
        <v>3</v>
      </c>
      <c r="L929" s="1" t="str">
        <f t="shared" si="1"/>
        <v/>
      </c>
      <c r="M929" s="1"/>
      <c r="N929" s="1"/>
      <c r="O929" s="1"/>
      <c r="P929" s="1"/>
      <c r="Q929" s="1"/>
      <c r="R929" s="1"/>
      <c r="S929" s="1"/>
      <c r="T929" s="1"/>
    </row>
    <row r="930" spans="1:20" ht="26.25" customHeight="1">
      <c r="A930" s="17">
        <f t="shared" si="0"/>
        <v>927</v>
      </c>
      <c r="B930" s="18" t="s">
        <v>105</v>
      </c>
      <c r="C930" s="31" t="s">
        <v>4118</v>
      </c>
      <c r="D930" s="19" t="s">
        <v>4119</v>
      </c>
      <c r="E930" s="20" t="s">
        <v>4120</v>
      </c>
      <c r="F930" s="21" t="s">
        <v>3924</v>
      </c>
      <c r="G930" s="33" t="s">
        <v>53</v>
      </c>
      <c r="H930" s="23" t="s">
        <v>4121</v>
      </c>
      <c r="I930" s="34" t="s">
        <v>20</v>
      </c>
      <c r="J930" s="1" t="s">
        <v>87</v>
      </c>
      <c r="K930" s="25">
        <v>4</v>
      </c>
      <c r="L930" s="1" t="str">
        <f t="shared" si="1"/>
        <v/>
      </c>
      <c r="M930" s="25"/>
      <c r="N930" s="25"/>
      <c r="O930" s="25"/>
      <c r="P930" s="25"/>
      <c r="Q930" s="25"/>
      <c r="R930" s="25"/>
      <c r="S930" s="25"/>
      <c r="T930" s="25"/>
    </row>
    <row r="931" spans="1:20" ht="26.25" customHeight="1">
      <c r="A931" s="17">
        <f t="shared" si="0"/>
        <v>928</v>
      </c>
      <c r="B931" s="18" t="s">
        <v>37</v>
      </c>
      <c r="C931" s="19" t="s">
        <v>4122</v>
      </c>
      <c r="D931" s="19" t="s">
        <v>4123</v>
      </c>
      <c r="E931" s="20" t="s">
        <v>4124</v>
      </c>
      <c r="F931" s="21" t="s">
        <v>2922</v>
      </c>
      <c r="G931" s="33" t="s">
        <v>53</v>
      </c>
      <c r="H931" s="23" t="s">
        <v>4125</v>
      </c>
      <c r="I931" s="24" t="s">
        <v>20</v>
      </c>
      <c r="J931" s="1" t="s">
        <v>21</v>
      </c>
      <c r="K931" s="25">
        <v>3</v>
      </c>
      <c r="L931" s="1" t="str">
        <f t="shared" si="1"/>
        <v/>
      </c>
      <c r="M931" s="1"/>
      <c r="N931" s="1"/>
      <c r="O931" s="1"/>
      <c r="P931" s="1"/>
      <c r="Q931" s="1"/>
      <c r="R931" s="1"/>
      <c r="S931" s="1"/>
      <c r="T931" s="1"/>
    </row>
    <row r="932" spans="1:20" ht="26.25" customHeight="1">
      <c r="A932" s="17">
        <f t="shared" si="0"/>
        <v>929</v>
      </c>
      <c r="B932" s="18" t="s">
        <v>13</v>
      </c>
      <c r="C932" s="19" t="s">
        <v>4126</v>
      </c>
      <c r="D932" s="19" t="s">
        <v>4127</v>
      </c>
      <c r="E932" s="20" t="s">
        <v>4128</v>
      </c>
      <c r="F932" s="21" t="s">
        <v>17</v>
      </c>
      <c r="G932" s="33" t="s">
        <v>53</v>
      </c>
      <c r="H932" s="23" t="s">
        <v>4129</v>
      </c>
      <c r="I932" s="24" t="s">
        <v>20</v>
      </c>
      <c r="J932" s="1" t="s">
        <v>21</v>
      </c>
      <c r="K932" s="25">
        <v>3</v>
      </c>
      <c r="L932" s="1" t="str">
        <f t="shared" si="1"/>
        <v/>
      </c>
      <c r="M932" s="1"/>
      <c r="N932" s="1"/>
      <c r="O932" s="1"/>
      <c r="P932" s="1"/>
      <c r="Q932" s="1"/>
      <c r="R932" s="1"/>
      <c r="S932" s="1"/>
      <c r="T932" s="1"/>
    </row>
    <row r="933" spans="1:20" ht="26.25" customHeight="1">
      <c r="A933" s="17">
        <f t="shared" si="0"/>
        <v>930</v>
      </c>
      <c r="B933" s="18" t="s">
        <v>105</v>
      </c>
      <c r="C933" s="31" t="s">
        <v>464</v>
      </c>
      <c r="D933" s="19" t="s">
        <v>4130</v>
      </c>
      <c r="E933" s="20" t="s">
        <v>466</v>
      </c>
      <c r="F933" s="32" t="s">
        <v>4131</v>
      </c>
      <c r="G933" s="33" t="s">
        <v>53</v>
      </c>
      <c r="H933" s="23" t="s">
        <v>4132</v>
      </c>
      <c r="I933" s="24" t="s">
        <v>55</v>
      </c>
      <c r="J933" s="1" t="str">
        <f t="shared" ref="J933:J940" si="128">IFERROR(VLOOKUP(E933,#REF!,8,FALSE),"")</f>
        <v/>
      </c>
      <c r="K933" s="25">
        <v>4</v>
      </c>
      <c r="L933" s="1" t="str">
        <f t="shared" si="1"/>
        <v>2019 과기 동양</v>
      </c>
      <c r="M933" s="1"/>
      <c r="N933" s="1"/>
      <c r="O933" s="1"/>
      <c r="P933" s="1"/>
      <c r="Q933" s="1"/>
      <c r="R933" s="1"/>
      <c r="S933" s="1"/>
      <c r="T933" s="1"/>
    </row>
    <row r="934" spans="1:20" ht="26.25" customHeight="1">
      <c r="A934" s="17">
        <f t="shared" si="0"/>
        <v>931</v>
      </c>
      <c r="B934" s="18" t="s">
        <v>105</v>
      </c>
      <c r="C934" s="31" t="s">
        <v>4133</v>
      </c>
      <c r="D934" s="19" t="s">
        <v>4134</v>
      </c>
      <c r="E934" s="20" t="s">
        <v>4135</v>
      </c>
      <c r="F934" s="32" t="s">
        <v>4136</v>
      </c>
      <c r="G934" s="33" t="s">
        <v>53</v>
      </c>
      <c r="H934" s="23" t="s">
        <v>4137</v>
      </c>
      <c r="I934" s="24" t="s">
        <v>55</v>
      </c>
      <c r="J934" s="1" t="str">
        <f t="shared" si="128"/>
        <v/>
      </c>
      <c r="K934" s="1"/>
      <c r="L934" s="1" t="str">
        <f t="shared" si="1"/>
        <v/>
      </c>
      <c r="M934" s="1"/>
      <c r="N934" s="1"/>
      <c r="O934" s="1"/>
      <c r="P934" s="1"/>
      <c r="Q934" s="1"/>
      <c r="R934" s="1"/>
      <c r="S934" s="1"/>
      <c r="T934" s="1"/>
    </row>
    <row r="935" spans="1:20" ht="26.25" customHeight="1">
      <c r="A935" s="17">
        <f t="shared" si="0"/>
        <v>932</v>
      </c>
      <c r="B935" s="18" t="s">
        <v>13</v>
      </c>
      <c r="C935" s="31" t="s">
        <v>4138</v>
      </c>
      <c r="D935" s="19" t="s">
        <v>4139</v>
      </c>
      <c r="E935" s="20" t="s">
        <v>4140</v>
      </c>
      <c r="F935" s="32" t="s">
        <v>4141</v>
      </c>
      <c r="G935" s="33" t="s">
        <v>53</v>
      </c>
      <c r="H935" s="23" t="s">
        <v>4142</v>
      </c>
      <c r="I935" s="24" t="s">
        <v>55</v>
      </c>
      <c r="J935" s="1" t="str">
        <f t="shared" si="128"/>
        <v/>
      </c>
      <c r="K935" s="1"/>
      <c r="L935" s="1" t="str">
        <f t="shared" si="1"/>
        <v/>
      </c>
      <c r="M935" s="1"/>
      <c r="N935" s="1"/>
      <c r="O935" s="1"/>
      <c r="P935" s="1"/>
      <c r="Q935" s="1"/>
      <c r="R935" s="1"/>
      <c r="S935" s="1"/>
      <c r="T935" s="1"/>
    </row>
    <row r="936" spans="1:20" ht="26.25" customHeight="1">
      <c r="A936" s="17">
        <f t="shared" si="0"/>
        <v>933</v>
      </c>
      <c r="B936" s="18" t="s">
        <v>13</v>
      </c>
      <c r="C936" s="19" t="s">
        <v>4143</v>
      </c>
      <c r="D936" s="19" t="s">
        <v>4139</v>
      </c>
      <c r="E936" s="20" t="s">
        <v>1760</v>
      </c>
      <c r="F936" s="32" t="s">
        <v>4144</v>
      </c>
      <c r="G936" s="33" t="s">
        <v>53</v>
      </c>
      <c r="H936" s="23" t="s">
        <v>4145</v>
      </c>
      <c r="I936" s="34" t="s">
        <v>55</v>
      </c>
      <c r="J936" s="1" t="str">
        <f t="shared" si="128"/>
        <v/>
      </c>
      <c r="K936" s="25">
        <v>3</v>
      </c>
      <c r="L936" s="1" t="str">
        <f t="shared" si="1"/>
        <v>2021 FRIC 동양</v>
      </c>
      <c r="M936" s="25"/>
      <c r="N936" s="25"/>
      <c r="O936" s="25"/>
      <c r="P936" s="25"/>
      <c r="Q936" s="25"/>
      <c r="R936" s="25"/>
      <c r="S936" s="25"/>
      <c r="T936" s="25"/>
    </row>
    <row r="937" spans="1:20" ht="26.25" customHeight="1">
      <c r="A937" s="17">
        <f t="shared" si="0"/>
        <v>934</v>
      </c>
      <c r="B937" s="18" t="s">
        <v>105</v>
      </c>
      <c r="C937" s="31" t="s">
        <v>4146</v>
      </c>
      <c r="D937" s="19" t="s">
        <v>4147</v>
      </c>
      <c r="E937" s="20" t="s">
        <v>4148</v>
      </c>
      <c r="F937" s="32" t="s">
        <v>4149</v>
      </c>
      <c r="G937" s="33" t="s">
        <v>53</v>
      </c>
      <c r="H937" s="23" t="s">
        <v>4150</v>
      </c>
      <c r="I937" s="24" t="s">
        <v>55</v>
      </c>
      <c r="J937" s="1" t="str">
        <f t="shared" si="128"/>
        <v/>
      </c>
      <c r="K937" s="1"/>
      <c r="L937" s="1" t="str">
        <f t="shared" si="1"/>
        <v/>
      </c>
      <c r="M937" s="1"/>
      <c r="N937" s="1"/>
      <c r="O937" s="1"/>
      <c r="P937" s="1"/>
      <c r="Q937" s="1"/>
      <c r="R937" s="1"/>
      <c r="S937" s="1"/>
      <c r="T937" s="1"/>
    </row>
    <row r="938" spans="1:20" ht="26.25" customHeight="1">
      <c r="A938" s="17">
        <f t="shared" si="0"/>
        <v>935</v>
      </c>
      <c r="B938" s="18" t="s">
        <v>105</v>
      </c>
      <c r="C938" s="31" t="s">
        <v>4151</v>
      </c>
      <c r="D938" s="19" t="s">
        <v>2460</v>
      </c>
      <c r="E938" s="20" t="s">
        <v>1624</v>
      </c>
      <c r="F938" s="21" t="s">
        <v>1990</v>
      </c>
      <c r="G938" s="33" t="s">
        <v>53</v>
      </c>
      <c r="H938" s="23" t="s">
        <v>4152</v>
      </c>
      <c r="I938" s="34" t="s">
        <v>55</v>
      </c>
      <c r="J938" s="1" t="str">
        <f t="shared" si="128"/>
        <v/>
      </c>
      <c r="K938" s="25">
        <v>4</v>
      </c>
      <c r="L938" s="1" t="str">
        <f t="shared" si="1"/>
        <v>2021 과기 동양</v>
      </c>
      <c r="M938" s="25"/>
      <c r="N938" s="25"/>
      <c r="O938" s="25"/>
      <c r="P938" s="25"/>
      <c r="Q938" s="25"/>
      <c r="R938" s="25"/>
      <c r="S938" s="25"/>
      <c r="T938" s="25"/>
    </row>
    <row r="939" spans="1:20" ht="26.25" customHeight="1">
      <c r="A939" s="17">
        <f t="shared" si="0"/>
        <v>936</v>
      </c>
      <c r="B939" s="18" t="s">
        <v>37</v>
      </c>
      <c r="C939" s="31" t="s">
        <v>4153</v>
      </c>
      <c r="D939" s="19" t="s">
        <v>1128</v>
      </c>
      <c r="E939" s="20" t="s">
        <v>780</v>
      </c>
      <c r="F939" s="32" t="s">
        <v>4154</v>
      </c>
      <c r="G939" s="22" t="s">
        <v>31</v>
      </c>
      <c r="H939" s="23" t="s">
        <v>4155</v>
      </c>
      <c r="I939" s="24" t="s">
        <v>55</v>
      </c>
      <c r="J939" s="1" t="str">
        <f t="shared" si="128"/>
        <v/>
      </c>
      <c r="K939" s="25">
        <v>3</v>
      </c>
      <c r="L939" s="1" t="str">
        <f t="shared" si="1"/>
        <v>2020 FRIC 동양</v>
      </c>
      <c r="M939" s="1"/>
      <c r="N939" s="1"/>
      <c r="O939" s="1"/>
      <c r="P939" s="1"/>
      <c r="Q939" s="1"/>
      <c r="R939" s="1"/>
      <c r="S939" s="1"/>
      <c r="T939" s="1"/>
    </row>
    <row r="940" spans="1:20" ht="26.25" customHeight="1">
      <c r="A940" s="17">
        <f t="shared" si="0"/>
        <v>937</v>
      </c>
      <c r="B940" s="18" t="s">
        <v>105</v>
      </c>
      <c r="C940" s="31" t="s">
        <v>4156</v>
      </c>
      <c r="D940" s="19" t="s">
        <v>4157</v>
      </c>
      <c r="E940" s="20" t="s">
        <v>4158</v>
      </c>
      <c r="F940" s="32" t="s">
        <v>4159</v>
      </c>
      <c r="G940" s="33" t="s">
        <v>53</v>
      </c>
      <c r="H940" s="23" t="s">
        <v>4160</v>
      </c>
      <c r="I940" s="24" t="s">
        <v>55</v>
      </c>
      <c r="J940" s="1" t="str">
        <f t="shared" si="128"/>
        <v/>
      </c>
      <c r="K940" s="1"/>
      <c r="L940" s="1" t="str">
        <f t="shared" si="1"/>
        <v/>
      </c>
      <c r="M940" s="1"/>
      <c r="N940" s="1"/>
      <c r="O940" s="1"/>
      <c r="P940" s="1"/>
      <c r="Q940" s="1"/>
      <c r="R940" s="1"/>
      <c r="S940" s="1"/>
      <c r="T940" s="1"/>
    </row>
    <row r="941" spans="1:20" ht="26.25" customHeight="1">
      <c r="A941" s="17">
        <f t="shared" si="0"/>
        <v>938</v>
      </c>
      <c r="B941" s="18" t="s">
        <v>146</v>
      </c>
      <c r="C941" s="19" t="s">
        <v>4161</v>
      </c>
      <c r="D941" s="19" t="s">
        <v>4162</v>
      </c>
      <c r="E941" s="20" t="s">
        <v>4163</v>
      </c>
      <c r="F941" s="21" t="s">
        <v>135</v>
      </c>
      <c r="G941" s="33" t="s">
        <v>53</v>
      </c>
      <c r="H941" s="23" t="s">
        <v>4164</v>
      </c>
      <c r="I941" s="24" t="s">
        <v>20</v>
      </c>
      <c r="J941" s="1" t="s">
        <v>21</v>
      </c>
      <c r="K941" s="25">
        <v>3</v>
      </c>
      <c r="L941" s="1" t="str">
        <f t="shared" si="1"/>
        <v/>
      </c>
      <c r="M941" s="1"/>
      <c r="N941" s="1"/>
      <c r="O941" s="1"/>
      <c r="P941" s="1"/>
      <c r="Q941" s="1"/>
      <c r="R941" s="1"/>
      <c r="S941" s="1"/>
      <c r="T941" s="1"/>
    </row>
    <row r="942" spans="1:20" ht="26.25" customHeight="1">
      <c r="A942" s="17">
        <f t="shared" si="0"/>
        <v>939</v>
      </c>
      <c r="B942" s="18" t="s">
        <v>13</v>
      </c>
      <c r="C942" s="19" t="s">
        <v>4165</v>
      </c>
      <c r="D942" s="19" t="s">
        <v>4166</v>
      </c>
      <c r="E942" s="20" t="s">
        <v>4167</v>
      </c>
      <c r="F942" s="21" t="s">
        <v>4168</v>
      </c>
      <c r="G942" s="33" t="s">
        <v>53</v>
      </c>
      <c r="H942" s="23" t="s">
        <v>4169</v>
      </c>
      <c r="I942" s="24" t="s">
        <v>20</v>
      </c>
      <c r="J942" s="1" t="s">
        <v>21</v>
      </c>
      <c r="K942" s="25">
        <v>3</v>
      </c>
      <c r="L942" s="1" t="str">
        <f t="shared" si="1"/>
        <v/>
      </c>
      <c r="M942" s="1"/>
      <c r="N942" s="1"/>
      <c r="O942" s="1"/>
      <c r="P942" s="1"/>
      <c r="Q942" s="1"/>
      <c r="R942" s="1"/>
      <c r="S942" s="1"/>
      <c r="T942" s="1"/>
    </row>
    <row r="943" spans="1:20" ht="26.25" customHeight="1">
      <c r="A943" s="17">
        <f t="shared" si="0"/>
        <v>940</v>
      </c>
      <c r="B943" s="18" t="s">
        <v>13</v>
      </c>
      <c r="C943" s="19" t="s">
        <v>4170</v>
      </c>
      <c r="D943" s="19" t="s">
        <v>4171</v>
      </c>
      <c r="E943" s="20" t="s">
        <v>4172</v>
      </c>
      <c r="F943" s="21" t="s">
        <v>135</v>
      </c>
      <c r="G943" s="33" t="s">
        <v>53</v>
      </c>
      <c r="H943" s="23" t="s">
        <v>4173</v>
      </c>
      <c r="I943" s="24" t="s">
        <v>20</v>
      </c>
      <c r="J943" s="1" t="s">
        <v>21</v>
      </c>
      <c r="K943" s="25">
        <v>3</v>
      </c>
      <c r="L943" s="1" t="str">
        <f t="shared" si="1"/>
        <v/>
      </c>
      <c r="M943" s="1"/>
      <c r="N943" s="1"/>
      <c r="O943" s="1"/>
      <c r="P943" s="1"/>
      <c r="Q943" s="1"/>
      <c r="R943" s="1"/>
      <c r="S943" s="1"/>
      <c r="T943" s="1"/>
    </row>
    <row r="944" spans="1:20" ht="26.25" customHeight="1">
      <c r="A944" s="17">
        <f t="shared" si="0"/>
        <v>941</v>
      </c>
      <c r="B944" s="18" t="s">
        <v>13</v>
      </c>
      <c r="C944" s="31" t="s">
        <v>4174</v>
      </c>
      <c r="D944" s="19" t="s">
        <v>4175</v>
      </c>
      <c r="E944" s="20" t="s">
        <v>4176</v>
      </c>
      <c r="F944" s="32" t="s">
        <v>4177</v>
      </c>
      <c r="G944" s="33" t="s">
        <v>53</v>
      </c>
      <c r="H944" s="23" t="s">
        <v>4178</v>
      </c>
      <c r="I944" s="24" t="s">
        <v>55</v>
      </c>
      <c r="J944" s="1" t="str">
        <f t="shared" ref="J944:J946" si="129">IFERROR(VLOOKUP(E944,#REF!,8,FALSE),"")</f>
        <v/>
      </c>
      <c r="K944" s="1"/>
      <c r="L944" s="1" t="str">
        <f t="shared" si="1"/>
        <v/>
      </c>
      <c r="M944" s="1"/>
      <c r="N944" s="1"/>
      <c r="O944" s="1"/>
      <c r="P944" s="1"/>
      <c r="Q944" s="1"/>
      <c r="R944" s="1"/>
      <c r="S944" s="1"/>
      <c r="T944" s="1"/>
    </row>
    <row r="945" spans="1:20" ht="26.25" customHeight="1">
      <c r="A945" s="17">
        <f t="shared" si="0"/>
        <v>942</v>
      </c>
      <c r="B945" s="18" t="s">
        <v>13</v>
      </c>
      <c r="C945" s="31" t="s">
        <v>4179</v>
      </c>
      <c r="D945" s="19" t="s">
        <v>4180</v>
      </c>
      <c r="E945" s="20" t="s">
        <v>4181</v>
      </c>
      <c r="F945" s="32" t="s">
        <v>4182</v>
      </c>
      <c r="G945" s="33" t="s">
        <v>53</v>
      </c>
      <c r="H945" s="23" t="s">
        <v>4183</v>
      </c>
      <c r="I945" s="24" t="s">
        <v>55</v>
      </c>
      <c r="J945" s="1" t="str">
        <f t="shared" si="129"/>
        <v/>
      </c>
      <c r="K945" s="1"/>
      <c r="L945" s="1" t="str">
        <f t="shared" si="1"/>
        <v/>
      </c>
      <c r="M945" s="1"/>
      <c r="N945" s="1"/>
      <c r="O945" s="1"/>
      <c r="P945" s="1"/>
      <c r="Q945" s="1"/>
      <c r="R945" s="1"/>
      <c r="S945" s="1"/>
      <c r="T945" s="1"/>
    </row>
    <row r="946" spans="1:20" ht="26.25" customHeight="1">
      <c r="A946" s="17">
        <f t="shared" si="0"/>
        <v>943</v>
      </c>
      <c r="B946" s="18" t="s">
        <v>13</v>
      </c>
      <c r="C946" s="31" t="s">
        <v>4184</v>
      </c>
      <c r="D946" s="19" t="s">
        <v>4180</v>
      </c>
      <c r="E946" s="20" t="s">
        <v>4185</v>
      </c>
      <c r="F946" s="32" t="s">
        <v>4186</v>
      </c>
      <c r="G946" s="33" t="s">
        <v>53</v>
      </c>
      <c r="H946" s="23" t="s">
        <v>4187</v>
      </c>
      <c r="I946" s="24" t="s">
        <v>55</v>
      </c>
      <c r="J946" s="1" t="str">
        <f t="shared" si="129"/>
        <v/>
      </c>
      <c r="K946" s="1"/>
      <c r="L946" s="1" t="str">
        <f t="shared" si="1"/>
        <v/>
      </c>
      <c r="M946" s="1"/>
      <c r="N946" s="1"/>
      <c r="O946" s="1"/>
      <c r="P946" s="1"/>
      <c r="Q946" s="1"/>
      <c r="R946" s="1"/>
      <c r="S946" s="1"/>
      <c r="T946" s="1"/>
    </row>
    <row r="947" spans="1:20" ht="26.25" customHeight="1">
      <c r="A947" s="17">
        <f t="shared" si="0"/>
        <v>944</v>
      </c>
      <c r="B947" s="18" t="s">
        <v>13</v>
      </c>
      <c r="C947" s="19" t="s">
        <v>4188</v>
      </c>
      <c r="D947" s="19" t="s">
        <v>4180</v>
      </c>
      <c r="E947" s="20" t="s">
        <v>4189</v>
      </c>
      <c r="F947" s="21" t="s">
        <v>4190</v>
      </c>
      <c r="G947" s="33" t="s">
        <v>53</v>
      </c>
      <c r="H947" s="23" t="s">
        <v>4191</v>
      </c>
      <c r="I947" s="24" t="s">
        <v>20</v>
      </c>
      <c r="J947" s="1" t="s">
        <v>21</v>
      </c>
      <c r="K947" s="25">
        <v>3</v>
      </c>
      <c r="L947" s="1" t="str">
        <f t="shared" si="1"/>
        <v/>
      </c>
      <c r="M947" s="1"/>
      <c r="N947" s="1"/>
      <c r="O947" s="1"/>
      <c r="P947" s="1"/>
      <c r="Q947" s="1"/>
      <c r="R947" s="1"/>
      <c r="S947" s="1"/>
      <c r="T947" s="1"/>
    </row>
    <row r="948" spans="1:20" ht="26.25" customHeight="1">
      <c r="A948" s="17">
        <f t="shared" si="0"/>
        <v>945</v>
      </c>
      <c r="B948" s="18" t="s">
        <v>37</v>
      </c>
      <c r="C948" s="19" t="s">
        <v>4192</v>
      </c>
      <c r="D948" s="19" t="s">
        <v>4193</v>
      </c>
      <c r="E948" s="20" t="s">
        <v>4194</v>
      </c>
      <c r="F948" s="21" t="s">
        <v>4195</v>
      </c>
      <c r="G948" s="33" t="s">
        <v>53</v>
      </c>
      <c r="H948" s="23" t="s">
        <v>4196</v>
      </c>
      <c r="I948" s="24" t="s">
        <v>20</v>
      </c>
      <c r="J948" s="1" t="s">
        <v>21</v>
      </c>
      <c r="K948" s="25">
        <v>3</v>
      </c>
      <c r="L948" s="1" t="str">
        <f t="shared" si="1"/>
        <v/>
      </c>
      <c r="M948" s="1"/>
      <c r="N948" s="1"/>
      <c r="O948" s="1"/>
      <c r="P948" s="1"/>
      <c r="Q948" s="1"/>
      <c r="R948" s="1"/>
      <c r="S948" s="1"/>
      <c r="T948" s="1"/>
    </row>
    <row r="949" spans="1:20" ht="26.25" customHeight="1">
      <c r="A949" s="17">
        <f t="shared" si="0"/>
        <v>946</v>
      </c>
      <c r="B949" s="18" t="s">
        <v>1197</v>
      </c>
      <c r="C949" s="92" t="s">
        <v>4197</v>
      </c>
      <c r="D949" s="89" t="s">
        <v>4198</v>
      </c>
      <c r="E949" s="90" t="s">
        <v>4199</v>
      </c>
      <c r="F949" s="91" t="s">
        <v>4200</v>
      </c>
      <c r="G949" s="93" t="s">
        <v>53</v>
      </c>
      <c r="H949" s="94" t="s">
        <v>4201</v>
      </c>
      <c r="I949" s="95" t="s">
        <v>55</v>
      </c>
      <c r="J949" s="1" t="str">
        <f t="shared" ref="J949:J950" si="130">IFERROR(VLOOKUP(E949,#REF!,8,FALSE),"")</f>
        <v/>
      </c>
      <c r="K949" s="1"/>
      <c r="L949" s="1" t="str">
        <f t="shared" si="1"/>
        <v/>
      </c>
      <c r="M949" s="96"/>
      <c r="N949" s="96"/>
      <c r="O949" s="96"/>
      <c r="P949" s="96"/>
      <c r="Q949" s="96"/>
      <c r="R949" s="96"/>
      <c r="S949" s="96"/>
      <c r="T949" s="96"/>
    </row>
    <row r="950" spans="1:20" ht="26.25" customHeight="1">
      <c r="A950" s="17">
        <f t="shared" si="0"/>
        <v>947</v>
      </c>
      <c r="B950" s="18" t="s">
        <v>27</v>
      </c>
      <c r="C950" s="31" t="s">
        <v>4202</v>
      </c>
      <c r="D950" s="19" t="s">
        <v>4203</v>
      </c>
      <c r="E950" s="20" t="s">
        <v>4204</v>
      </c>
      <c r="F950" s="32" t="s">
        <v>4205</v>
      </c>
      <c r="G950" s="33" t="s">
        <v>53</v>
      </c>
      <c r="H950" s="23" t="s">
        <v>4206</v>
      </c>
      <c r="I950" s="24" t="s">
        <v>55</v>
      </c>
      <c r="J950" s="1" t="str">
        <f t="shared" si="130"/>
        <v/>
      </c>
      <c r="K950" s="1"/>
      <c r="L950" s="1" t="str">
        <f t="shared" si="1"/>
        <v/>
      </c>
      <c r="M950" s="1"/>
      <c r="N950" s="1"/>
      <c r="O950" s="1"/>
      <c r="P950" s="1"/>
      <c r="Q950" s="1"/>
      <c r="R950" s="1"/>
      <c r="S950" s="1"/>
      <c r="T950" s="1"/>
    </row>
    <row r="951" spans="1:20" ht="26.25" customHeight="1">
      <c r="A951" s="17">
        <f t="shared" si="0"/>
        <v>948</v>
      </c>
      <c r="B951" s="18" t="s">
        <v>27</v>
      </c>
      <c r="C951" s="77" t="s">
        <v>4207</v>
      </c>
      <c r="D951" s="19" t="s">
        <v>4208</v>
      </c>
      <c r="E951" s="20" t="s">
        <v>4209</v>
      </c>
      <c r="F951" s="32" t="s">
        <v>170</v>
      </c>
      <c r="G951" s="33" t="s">
        <v>53</v>
      </c>
      <c r="H951" s="23" t="s">
        <v>4210</v>
      </c>
      <c r="I951" s="24" t="s">
        <v>20</v>
      </c>
      <c r="J951" s="1" t="s">
        <v>21</v>
      </c>
      <c r="K951" s="25">
        <v>3</v>
      </c>
      <c r="L951" s="1" t="str">
        <f t="shared" si="1"/>
        <v/>
      </c>
      <c r="M951" s="1"/>
      <c r="N951" s="1"/>
      <c r="O951" s="1"/>
      <c r="P951" s="1"/>
      <c r="Q951" s="1"/>
      <c r="R951" s="1"/>
      <c r="S951" s="1"/>
      <c r="T951" s="1"/>
    </row>
    <row r="952" spans="1:20" ht="26.25" customHeight="1">
      <c r="A952" s="17">
        <f t="shared" si="0"/>
        <v>949</v>
      </c>
      <c r="B952" s="18" t="s">
        <v>27</v>
      </c>
      <c r="C952" s="19" t="s">
        <v>4211</v>
      </c>
      <c r="D952" s="19" t="s">
        <v>4212</v>
      </c>
      <c r="E952" s="20" t="s">
        <v>4213</v>
      </c>
      <c r="F952" s="21" t="s">
        <v>4214</v>
      </c>
      <c r="G952" s="33" t="s">
        <v>53</v>
      </c>
      <c r="H952" s="23" t="s">
        <v>4215</v>
      </c>
      <c r="I952" s="24" t="s">
        <v>20</v>
      </c>
      <c r="J952" s="1" t="s">
        <v>21</v>
      </c>
      <c r="K952" s="25">
        <v>3</v>
      </c>
      <c r="L952" s="1" t="str">
        <f t="shared" si="1"/>
        <v/>
      </c>
      <c r="M952" s="1"/>
      <c r="N952" s="1"/>
      <c r="O952" s="1"/>
      <c r="P952" s="1"/>
      <c r="Q952" s="1"/>
      <c r="R952" s="1"/>
      <c r="S952" s="1"/>
      <c r="T952" s="1"/>
    </row>
    <row r="953" spans="1:20" ht="26.25" customHeight="1">
      <c r="A953" s="17">
        <f t="shared" si="0"/>
        <v>950</v>
      </c>
      <c r="B953" s="18" t="s">
        <v>1197</v>
      </c>
      <c r="C953" s="19" t="s">
        <v>1824</v>
      </c>
      <c r="D953" s="19" t="s">
        <v>1825</v>
      </c>
      <c r="E953" s="20" t="s">
        <v>1826</v>
      </c>
      <c r="F953" s="32" t="s">
        <v>3823</v>
      </c>
      <c r="G953" s="33" t="s">
        <v>53</v>
      </c>
      <c r="H953" s="23" t="s">
        <v>4216</v>
      </c>
      <c r="I953" s="34" t="s">
        <v>55</v>
      </c>
      <c r="J953" s="1" t="str">
        <f t="shared" ref="J953:J971" si="131">IFERROR(VLOOKUP(E953,#REF!,8,FALSE),"")</f>
        <v/>
      </c>
      <c r="K953" s="25">
        <v>3</v>
      </c>
      <c r="L953" s="1" t="str">
        <f t="shared" si="1"/>
        <v>2021 FRIC 동양</v>
      </c>
      <c r="M953" s="25"/>
      <c r="N953" s="25"/>
      <c r="O953" s="25"/>
      <c r="P953" s="25"/>
      <c r="Q953" s="25"/>
      <c r="R953" s="25"/>
      <c r="S953" s="25"/>
      <c r="T953" s="25"/>
    </row>
    <row r="954" spans="1:20" ht="26.25" customHeight="1">
      <c r="A954" s="17">
        <f t="shared" si="0"/>
        <v>951</v>
      </c>
      <c r="B954" s="18" t="s">
        <v>1197</v>
      </c>
      <c r="C954" s="31" t="s">
        <v>4217</v>
      </c>
      <c r="D954" s="19" t="s">
        <v>4218</v>
      </c>
      <c r="E954" s="20" t="s">
        <v>4219</v>
      </c>
      <c r="F954" s="32" t="s">
        <v>4220</v>
      </c>
      <c r="G954" s="33" t="s">
        <v>53</v>
      </c>
      <c r="H954" s="23" t="s">
        <v>4221</v>
      </c>
      <c r="I954" s="24" t="s">
        <v>55</v>
      </c>
      <c r="J954" s="1" t="str">
        <f t="shared" si="131"/>
        <v/>
      </c>
      <c r="K954" s="1"/>
      <c r="L954" s="1" t="str">
        <f t="shared" si="1"/>
        <v/>
      </c>
      <c r="M954" s="1"/>
      <c r="N954" s="1"/>
      <c r="O954" s="1"/>
      <c r="P954" s="1"/>
      <c r="Q954" s="1"/>
      <c r="R954" s="1"/>
      <c r="S954" s="1"/>
      <c r="T954" s="1"/>
    </row>
    <row r="955" spans="1:20" ht="26.25" customHeight="1">
      <c r="A955" s="17">
        <f t="shared" si="0"/>
        <v>952</v>
      </c>
      <c r="B955" s="18" t="s">
        <v>13</v>
      </c>
      <c r="C955" s="31" t="s">
        <v>4222</v>
      </c>
      <c r="D955" s="19" t="s">
        <v>4223</v>
      </c>
      <c r="E955" s="20" t="s">
        <v>4224</v>
      </c>
      <c r="F955" s="32" t="s">
        <v>4225</v>
      </c>
      <c r="G955" s="22" t="s">
        <v>53</v>
      </c>
      <c r="H955" s="23" t="s">
        <v>4226</v>
      </c>
      <c r="I955" s="24" t="s">
        <v>55</v>
      </c>
      <c r="J955" s="1" t="str">
        <f t="shared" si="131"/>
        <v/>
      </c>
      <c r="K955" s="1"/>
      <c r="L955" s="1" t="str">
        <f t="shared" si="1"/>
        <v/>
      </c>
      <c r="M955" s="1"/>
      <c r="N955" s="1"/>
      <c r="O955" s="1"/>
      <c r="P955" s="1"/>
      <c r="Q955" s="1"/>
      <c r="R955" s="1"/>
      <c r="S955" s="1"/>
      <c r="T955" s="1"/>
    </row>
    <row r="956" spans="1:20" ht="26.25" customHeight="1">
      <c r="A956" s="17">
        <f t="shared" si="0"/>
        <v>953</v>
      </c>
      <c r="B956" s="18" t="s">
        <v>13</v>
      </c>
      <c r="C956" s="31" t="s">
        <v>4227</v>
      </c>
      <c r="D956" s="19" t="s">
        <v>4223</v>
      </c>
      <c r="E956" s="20" t="s">
        <v>4228</v>
      </c>
      <c r="F956" s="32" t="s">
        <v>4225</v>
      </c>
      <c r="G956" s="22" t="s">
        <v>53</v>
      </c>
      <c r="H956" s="23" t="s">
        <v>4229</v>
      </c>
      <c r="I956" s="24" t="s">
        <v>55</v>
      </c>
      <c r="J956" s="1" t="str">
        <f t="shared" si="131"/>
        <v/>
      </c>
      <c r="K956" s="1"/>
      <c r="L956" s="1" t="str">
        <f t="shared" si="1"/>
        <v/>
      </c>
      <c r="M956" s="1"/>
      <c r="N956" s="1"/>
      <c r="O956" s="1"/>
      <c r="P956" s="1"/>
      <c r="Q956" s="1"/>
      <c r="R956" s="1"/>
      <c r="S956" s="1"/>
      <c r="T956" s="1"/>
    </row>
    <row r="957" spans="1:20" ht="26.25" customHeight="1">
      <c r="A957" s="17">
        <f t="shared" si="0"/>
        <v>954</v>
      </c>
      <c r="B957" s="18" t="s">
        <v>13</v>
      </c>
      <c r="C957" s="31" t="s">
        <v>4230</v>
      </c>
      <c r="D957" s="19" t="s">
        <v>4223</v>
      </c>
      <c r="E957" s="20" t="s">
        <v>4231</v>
      </c>
      <c r="F957" s="32" t="s">
        <v>4225</v>
      </c>
      <c r="G957" s="22" t="s">
        <v>53</v>
      </c>
      <c r="H957" s="23" t="s">
        <v>4232</v>
      </c>
      <c r="I957" s="24" t="s">
        <v>55</v>
      </c>
      <c r="J957" s="1" t="str">
        <f t="shared" si="131"/>
        <v/>
      </c>
      <c r="K957" s="1"/>
      <c r="L957" s="1" t="str">
        <f t="shared" si="1"/>
        <v/>
      </c>
      <c r="M957" s="1"/>
      <c r="N957" s="1"/>
      <c r="O957" s="1"/>
      <c r="P957" s="1"/>
      <c r="Q957" s="1"/>
      <c r="R957" s="1"/>
      <c r="S957" s="1"/>
      <c r="T957" s="1"/>
    </row>
    <row r="958" spans="1:20" ht="26.25" customHeight="1">
      <c r="A958" s="17">
        <f t="shared" si="0"/>
        <v>955</v>
      </c>
      <c r="B958" s="18" t="s">
        <v>13</v>
      </c>
      <c r="C958" s="31" t="s">
        <v>4233</v>
      </c>
      <c r="D958" s="19" t="s">
        <v>4223</v>
      </c>
      <c r="E958" s="20" t="s">
        <v>4234</v>
      </c>
      <c r="F958" s="32" t="s">
        <v>4225</v>
      </c>
      <c r="G958" s="22" t="s">
        <v>53</v>
      </c>
      <c r="H958" s="23" t="s">
        <v>4235</v>
      </c>
      <c r="I958" s="24" t="s">
        <v>55</v>
      </c>
      <c r="J958" s="1" t="str">
        <f t="shared" si="131"/>
        <v/>
      </c>
      <c r="K958" s="1"/>
      <c r="L958" s="1" t="str">
        <f t="shared" si="1"/>
        <v/>
      </c>
      <c r="M958" s="1"/>
      <c r="N958" s="1"/>
      <c r="O958" s="1"/>
      <c r="P958" s="1"/>
      <c r="Q958" s="1"/>
      <c r="R958" s="1"/>
      <c r="S958" s="1"/>
      <c r="T958" s="1"/>
    </row>
    <row r="959" spans="1:20" ht="26.25" customHeight="1">
      <c r="A959" s="17">
        <f t="shared" si="0"/>
        <v>956</v>
      </c>
      <c r="B959" s="18" t="s">
        <v>13</v>
      </c>
      <c r="C959" s="31" t="s">
        <v>4236</v>
      </c>
      <c r="D959" s="19" t="s">
        <v>4223</v>
      </c>
      <c r="E959" s="20" t="s">
        <v>4237</v>
      </c>
      <c r="F959" s="32" t="s">
        <v>4238</v>
      </c>
      <c r="G959" s="22" t="s">
        <v>53</v>
      </c>
      <c r="H959" s="23" t="s">
        <v>4239</v>
      </c>
      <c r="I959" s="24" t="s">
        <v>55</v>
      </c>
      <c r="J959" s="1" t="str">
        <f t="shared" si="131"/>
        <v/>
      </c>
      <c r="K959" s="1"/>
      <c r="L959" s="1" t="str">
        <f t="shared" si="1"/>
        <v/>
      </c>
      <c r="M959" s="1"/>
      <c r="N959" s="1"/>
      <c r="O959" s="1"/>
      <c r="P959" s="1"/>
      <c r="Q959" s="1"/>
      <c r="R959" s="1"/>
      <c r="S959" s="1"/>
      <c r="T959" s="1"/>
    </row>
    <row r="960" spans="1:20" ht="26.25" customHeight="1">
      <c r="A960" s="17">
        <f t="shared" si="0"/>
        <v>957</v>
      </c>
      <c r="B960" s="18" t="s">
        <v>13</v>
      </c>
      <c r="C960" s="31" t="s">
        <v>4240</v>
      </c>
      <c r="D960" s="19" t="s">
        <v>4223</v>
      </c>
      <c r="E960" s="20" t="s">
        <v>4241</v>
      </c>
      <c r="F960" s="32" t="s">
        <v>4225</v>
      </c>
      <c r="G960" s="22" t="s">
        <v>53</v>
      </c>
      <c r="H960" s="23" t="s">
        <v>4242</v>
      </c>
      <c r="I960" s="24" t="s">
        <v>55</v>
      </c>
      <c r="J960" s="1" t="str">
        <f t="shared" si="131"/>
        <v/>
      </c>
      <c r="K960" s="1"/>
      <c r="L960" s="1" t="str">
        <f t="shared" si="1"/>
        <v/>
      </c>
      <c r="M960" s="1"/>
      <c r="N960" s="1"/>
      <c r="O960" s="1"/>
      <c r="P960" s="1"/>
      <c r="Q960" s="1"/>
      <c r="R960" s="1"/>
      <c r="S960" s="1"/>
      <c r="T960" s="1"/>
    </row>
    <row r="961" spans="1:20" ht="26.25" customHeight="1">
      <c r="A961" s="17">
        <f t="shared" si="0"/>
        <v>958</v>
      </c>
      <c r="B961" s="18" t="s">
        <v>13</v>
      </c>
      <c r="C961" s="31" t="s">
        <v>4243</v>
      </c>
      <c r="D961" s="19" t="s">
        <v>4223</v>
      </c>
      <c r="E961" s="20" t="s">
        <v>4244</v>
      </c>
      <c r="F961" s="32" t="s">
        <v>4225</v>
      </c>
      <c r="G961" s="22" t="s">
        <v>53</v>
      </c>
      <c r="H961" s="23" t="s">
        <v>4245</v>
      </c>
      <c r="I961" s="24" t="s">
        <v>55</v>
      </c>
      <c r="J961" s="1" t="str">
        <f t="shared" si="131"/>
        <v/>
      </c>
      <c r="K961" s="1"/>
      <c r="L961" s="1" t="str">
        <f t="shared" si="1"/>
        <v/>
      </c>
      <c r="M961" s="1"/>
      <c r="N961" s="1"/>
      <c r="O961" s="1"/>
      <c r="P961" s="1"/>
      <c r="Q961" s="1"/>
      <c r="R961" s="1"/>
      <c r="S961" s="1"/>
      <c r="T961" s="1"/>
    </row>
    <row r="962" spans="1:20" ht="26.25" customHeight="1">
      <c r="A962" s="17">
        <f t="shared" si="0"/>
        <v>959</v>
      </c>
      <c r="B962" s="18" t="s">
        <v>13</v>
      </c>
      <c r="C962" s="31" t="s">
        <v>4246</v>
      </c>
      <c r="D962" s="19" t="s">
        <v>4223</v>
      </c>
      <c r="E962" s="20" t="s">
        <v>4247</v>
      </c>
      <c r="F962" s="32" t="s">
        <v>4248</v>
      </c>
      <c r="G962" s="22" t="s">
        <v>53</v>
      </c>
      <c r="H962" s="23" t="s">
        <v>4249</v>
      </c>
      <c r="I962" s="24" t="s">
        <v>55</v>
      </c>
      <c r="J962" s="1" t="str">
        <f t="shared" si="131"/>
        <v/>
      </c>
      <c r="K962" s="1"/>
      <c r="L962" s="1" t="str">
        <f t="shared" si="1"/>
        <v/>
      </c>
      <c r="M962" s="1"/>
      <c r="N962" s="1"/>
      <c r="O962" s="1"/>
      <c r="P962" s="1"/>
      <c r="Q962" s="1"/>
      <c r="R962" s="1"/>
      <c r="S962" s="1"/>
      <c r="T962" s="1"/>
    </row>
    <row r="963" spans="1:20" ht="26.25" customHeight="1">
      <c r="A963" s="17">
        <f t="shared" si="0"/>
        <v>960</v>
      </c>
      <c r="B963" s="18" t="s">
        <v>13</v>
      </c>
      <c r="C963" s="31" t="s">
        <v>4250</v>
      </c>
      <c r="D963" s="19" t="s">
        <v>4223</v>
      </c>
      <c r="E963" s="20" t="s">
        <v>4251</v>
      </c>
      <c r="F963" s="32" t="s">
        <v>4225</v>
      </c>
      <c r="G963" s="22" t="s">
        <v>53</v>
      </c>
      <c r="H963" s="23" t="s">
        <v>4252</v>
      </c>
      <c r="I963" s="24" t="s">
        <v>55</v>
      </c>
      <c r="J963" s="1" t="str">
        <f t="shared" si="131"/>
        <v/>
      </c>
      <c r="K963" s="1"/>
      <c r="L963" s="1" t="str">
        <f t="shared" si="1"/>
        <v/>
      </c>
      <c r="M963" s="1"/>
      <c r="N963" s="1"/>
      <c r="O963" s="1"/>
      <c r="P963" s="1"/>
      <c r="Q963" s="1"/>
      <c r="R963" s="1"/>
      <c r="S963" s="1"/>
      <c r="T963" s="1"/>
    </row>
    <row r="964" spans="1:20" ht="26.25" customHeight="1">
      <c r="A964" s="17">
        <f t="shared" si="0"/>
        <v>961</v>
      </c>
      <c r="B964" s="18" t="s">
        <v>13</v>
      </c>
      <c r="C964" s="31" t="s">
        <v>4253</v>
      </c>
      <c r="D964" s="19" t="s">
        <v>4223</v>
      </c>
      <c r="E964" s="20" t="s">
        <v>4254</v>
      </c>
      <c r="F964" s="32" t="s">
        <v>4255</v>
      </c>
      <c r="G964" s="22" t="s">
        <v>53</v>
      </c>
      <c r="H964" s="23" t="s">
        <v>4256</v>
      </c>
      <c r="I964" s="24" t="s">
        <v>55</v>
      </c>
      <c r="J964" s="1" t="str">
        <f t="shared" si="131"/>
        <v/>
      </c>
      <c r="K964" s="1"/>
      <c r="L964" s="1" t="str">
        <f t="shared" si="1"/>
        <v/>
      </c>
      <c r="M964" s="1"/>
      <c r="N964" s="1"/>
      <c r="O964" s="1"/>
      <c r="P964" s="1"/>
      <c r="Q964" s="1"/>
      <c r="R964" s="1"/>
      <c r="S964" s="1"/>
      <c r="T964" s="1"/>
    </row>
    <row r="965" spans="1:20" ht="26.25" customHeight="1">
      <c r="A965" s="17">
        <f t="shared" si="0"/>
        <v>962</v>
      </c>
      <c r="B965" s="18" t="s">
        <v>13</v>
      </c>
      <c r="C965" s="31" t="s">
        <v>4257</v>
      </c>
      <c r="D965" s="19" t="s">
        <v>4223</v>
      </c>
      <c r="E965" s="20" t="s">
        <v>4258</v>
      </c>
      <c r="F965" s="32" t="s">
        <v>4225</v>
      </c>
      <c r="G965" s="22" t="s">
        <v>53</v>
      </c>
      <c r="H965" s="23" t="s">
        <v>4259</v>
      </c>
      <c r="I965" s="24" t="s">
        <v>55</v>
      </c>
      <c r="J965" s="1" t="str">
        <f t="shared" si="131"/>
        <v/>
      </c>
      <c r="K965" s="1"/>
      <c r="L965" s="1" t="str">
        <f t="shared" si="1"/>
        <v/>
      </c>
      <c r="M965" s="1"/>
      <c r="N965" s="1"/>
      <c r="O965" s="1"/>
      <c r="P965" s="1"/>
      <c r="Q965" s="1"/>
      <c r="R965" s="1"/>
      <c r="S965" s="1"/>
      <c r="T965" s="1"/>
    </row>
    <row r="966" spans="1:20" ht="26.25" customHeight="1">
      <c r="A966" s="17">
        <f t="shared" si="0"/>
        <v>963</v>
      </c>
      <c r="B966" s="18" t="s">
        <v>13</v>
      </c>
      <c r="C966" s="31" t="s">
        <v>4260</v>
      </c>
      <c r="D966" s="19" t="s">
        <v>4223</v>
      </c>
      <c r="E966" s="20" t="s">
        <v>4261</v>
      </c>
      <c r="F966" s="32" t="s">
        <v>4225</v>
      </c>
      <c r="G966" s="22" t="s">
        <v>53</v>
      </c>
      <c r="H966" s="23" t="s">
        <v>4262</v>
      </c>
      <c r="I966" s="24" t="s">
        <v>55</v>
      </c>
      <c r="J966" s="1" t="str">
        <f t="shared" si="131"/>
        <v/>
      </c>
      <c r="K966" s="1"/>
      <c r="L966" s="1" t="str">
        <f t="shared" si="1"/>
        <v/>
      </c>
      <c r="M966" s="1"/>
      <c r="N966" s="1"/>
      <c r="O966" s="1"/>
      <c r="P966" s="1"/>
      <c r="Q966" s="1"/>
      <c r="R966" s="1"/>
      <c r="S966" s="1"/>
      <c r="T966" s="1"/>
    </row>
    <row r="967" spans="1:20" ht="26.25" customHeight="1">
      <c r="A967" s="17">
        <f t="shared" si="0"/>
        <v>964</v>
      </c>
      <c r="B967" s="18" t="s">
        <v>13</v>
      </c>
      <c r="C967" s="31" t="s">
        <v>4263</v>
      </c>
      <c r="D967" s="19" t="s">
        <v>4223</v>
      </c>
      <c r="E967" s="1" t="s">
        <v>4264</v>
      </c>
      <c r="F967" s="32" t="s">
        <v>4225</v>
      </c>
      <c r="G967" s="22" t="s">
        <v>53</v>
      </c>
      <c r="H967" s="23" t="s">
        <v>4265</v>
      </c>
      <c r="I967" s="24" t="s">
        <v>55</v>
      </c>
      <c r="J967" s="1" t="str">
        <f t="shared" si="131"/>
        <v/>
      </c>
      <c r="K967" s="1"/>
      <c r="L967" s="1" t="str">
        <f t="shared" si="1"/>
        <v/>
      </c>
      <c r="M967" s="1"/>
      <c r="N967" s="1"/>
      <c r="O967" s="1"/>
      <c r="P967" s="1"/>
      <c r="Q967" s="1"/>
      <c r="R967" s="1"/>
      <c r="S967" s="1"/>
      <c r="T967" s="1"/>
    </row>
    <row r="968" spans="1:20" ht="26.25" customHeight="1">
      <c r="A968" s="17">
        <f t="shared" si="0"/>
        <v>965</v>
      </c>
      <c r="B968" s="18" t="s">
        <v>233</v>
      </c>
      <c r="C968" s="42" t="s">
        <v>4266</v>
      </c>
      <c r="D968" s="42" t="s">
        <v>4267</v>
      </c>
      <c r="E968" s="43" t="s">
        <v>1830</v>
      </c>
      <c r="F968" s="44" t="s">
        <v>178</v>
      </c>
      <c r="G968" s="22" t="s">
        <v>53</v>
      </c>
      <c r="H968" s="41" t="s">
        <v>4268</v>
      </c>
      <c r="I968" s="34" t="s">
        <v>55</v>
      </c>
      <c r="J968" s="1" t="str">
        <f t="shared" si="131"/>
        <v/>
      </c>
      <c r="K968" s="25">
        <v>3</v>
      </c>
      <c r="L968" s="1" t="str">
        <f t="shared" si="1"/>
        <v>2021 FRIC 동양</v>
      </c>
      <c r="M968" s="25"/>
      <c r="N968" s="25"/>
      <c r="O968" s="25"/>
      <c r="P968" s="25"/>
      <c r="Q968" s="25"/>
      <c r="R968" s="25"/>
      <c r="S968" s="25"/>
      <c r="T968" s="25"/>
    </row>
    <row r="969" spans="1:20" ht="26.25" customHeight="1">
      <c r="A969" s="17">
        <f t="shared" si="0"/>
        <v>966</v>
      </c>
      <c r="B969" s="18" t="s">
        <v>233</v>
      </c>
      <c r="C969" s="19" t="s">
        <v>4269</v>
      </c>
      <c r="D969" s="19" t="s">
        <v>4270</v>
      </c>
      <c r="E969" s="20" t="s">
        <v>1836</v>
      </c>
      <c r="F969" s="105" t="s">
        <v>178</v>
      </c>
      <c r="G969" s="22" t="s">
        <v>53</v>
      </c>
      <c r="H969" s="23" t="s">
        <v>4271</v>
      </c>
      <c r="I969" s="34" t="s">
        <v>55</v>
      </c>
      <c r="J969" s="1" t="str">
        <f t="shared" si="131"/>
        <v/>
      </c>
      <c r="K969" s="25">
        <v>3</v>
      </c>
      <c r="L969" s="1" t="str">
        <f t="shared" si="1"/>
        <v>2021 FRIC 동양</v>
      </c>
      <c r="M969" s="25"/>
      <c r="N969" s="25"/>
      <c r="O969" s="25"/>
      <c r="P969" s="25"/>
      <c r="Q969" s="25"/>
      <c r="R969" s="25"/>
      <c r="S969" s="25"/>
      <c r="T969" s="25"/>
    </row>
    <row r="970" spans="1:20" ht="26.25" customHeight="1">
      <c r="A970" s="17">
        <f t="shared" si="0"/>
        <v>967</v>
      </c>
      <c r="B970" s="18" t="s">
        <v>105</v>
      </c>
      <c r="C970" s="106" t="s">
        <v>4272</v>
      </c>
      <c r="D970" s="107" t="s">
        <v>4273</v>
      </c>
      <c r="E970" s="1" t="s">
        <v>4274</v>
      </c>
      <c r="F970" s="32" t="s">
        <v>4275</v>
      </c>
      <c r="G970" s="33" t="s">
        <v>53</v>
      </c>
      <c r="H970" s="108" t="s">
        <v>4276</v>
      </c>
      <c r="I970" s="109" t="s">
        <v>55</v>
      </c>
      <c r="J970" s="1" t="str">
        <f t="shared" si="131"/>
        <v/>
      </c>
      <c r="K970" s="1"/>
      <c r="L970" s="1" t="str">
        <f t="shared" si="1"/>
        <v/>
      </c>
      <c r="M970" s="1"/>
      <c r="N970" s="1"/>
      <c r="O970" s="1"/>
      <c r="P970" s="1"/>
      <c r="Q970" s="1"/>
      <c r="R970" s="1"/>
      <c r="S970" s="1"/>
      <c r="T970" s="1"/>
    </row>
    <row r="971" spans="1:20" ht="26.25" customHeight="1">
      <c r="A971" s="17">
        <f t="shared" si="0"/>
        <v>968</v>
      </c>
      <c r="B971" s="18" t="s">
        <v>105</v>
      </c>
      <c r="C971" s="31" t="s">
        <v>4277</v>
      </c>
      <c r="D971" s="19" t="s">
        <v>4273</v>
      </c>
      <c r="E971" s="110" t="s">
        <v>4278</v>
      </c>
      <c r="F971" s="32" t="s">
        <v>4279</v>
      </c>
      <c r="G971" s="33" t="s">
        <v>53</v>
      </c>
      <c r="H971" s="23" t="s">
        <v>4280</v>
      </c>
      <c r="I971" s="24" t="s">
        <v>55</v>
      </c>
      <c r="J971" s="1" t="str">
        <f t="shared" si="131"/>
        <v/>
      </c>
      <c r="K971" s="1"/>
      <c r="L971" s="1" t="str">
        <f t="shared" si="1"/>
        <v/>
      </c>
      <c r="M971" s="1"/>
      <c r="N971" s="1"/>
      <c r="O971" s="1"/>
      <c r="P971" s="1"/>
      <c r="Q971" s="1"/>
      <c r="R971" s="1"/>
      <c r="S971" s="1"/>
      <c r="T971" s="1"/>
    </row>
    <row r="972" spans="1:20" ht="26.25" customHeight="1">
      <c r="A972" s="17">
        <f t="shared" si="0"/>
        <v>969</v>
      </c>
      <c r="B972" s="18" t="s">
        <v>175</v>
      </c>
      <c r="C972" s="31" t="s">
        <v>4281</v>
      </c>
      <c r="D972" s="19" t="s">
        <v>4282</v>
      </c>
      <c r="E972" s="110" t="s">
        <v>4283</v>
      </c>
      <c r="F972" s="21" t="s">
        <v>863</v>
      </c>
      <c r="G972" s="33" t="s">
        <v>53</v>
      </c>
      <c r="H972" s="23" t="s">
        <v>4284</v>
      </c>
      <c r="I972" s="34" t="s">
        <v>20</v>
      </c>
      <c r="J972" s="1" t="s">
        <v>87</v>
      </c>
      <c r="K972" s="25">
        <v>4</v>
      </c>
      <c r="L972" s="1" t="str">
        <f t="shared" si="1"/>
        <v/>
      </c>
      <c r="M972" s="25"/>
      <c r="N972" s="25"/>
      <c r="O972" s="25"/>
      <c r="P972" s="25"/>
      <c r="Q972" s="25"/>
      <c r="R972" s="25"/>
      <c r="S972" s="25"/>
      <c r="T972" s="25"/>
    </row>
    <row r="973" spans="1:20" ht="26.25" customHeight="1">
      <c r="A973" s="17">
        <f t="shared" si="0"/>
        <v>970</v>
      </c>
      <c r="B973" s="18" t="s">
        <v>1375</v>
      </c>
      <c r="C973" s="31" t="s">
        <v>4285</v>
      </c>
      <c r="D973" s="19" t="s">
        <v>4286</v>
      </c>
      <c r="E973" s="20" t="s">
        <v>4287</v>
      </c>
      <c r="F973" s="111" t="s">
        <v>4288</v>
      </c>
      <c r="G973" s="33" t="s">
        <v>53</v>
      </c>
      <c r="H973" s="23" t="s">
        <v>4289</v>
      </c>
      <c r="I973" s="24" t="s">
        <v>55</v>
      </c>
      <c r="J973" s="1" t="str">
        <f>IFERROR(VLOOKUP(E973,#REF!,8,FALSE),"")</f>
        <v/>
      </c>
      <c r="K973" s="1"/>
      <c r="L973" s="1" t="str">
        <f t="shared" si="1"/>
        <v/>
      </c>
      <c r="M973" s="1"/>
      <c r="N973" s="1"/>
      <c r="O973" s="1"/>
      <c r="P973" s="1"/>
      <c r="Q973" s="1"/>
      <c r="R973" s="1"/>
      <c r="S973" s="1"/>
      <c r="T973" s="1"/>
    </row>
    <row r="974" spans="1:20" ht="26.25" customHeight="1">
      <c r="A974" s="17">
        <f t="shared" si="0"/>
        <v>971</v>
      </c>
      <c r="B974" s="18" t="s">
        <v>105</v>
      </c>
      <c r="C974" s="31" t="s">
        <v>4290</v>
      </c>
      <c r="D974" s="19" t="s">
        <v>4291</v>
      </c>
      <c r="E974" s="20" t="s">
        <v>4292</v>
      </c>
      <c r="F974" s="112" t="s">
        <v>41</v>
      </c>
      <c r="G974" s="33" t="s">
        <v>53</v>
      </c>
      <c r="H974" s="23" t="s">
        <v>4293</v>
      </c>
      <c r="I974" s="34" t="s">
        <v>20</v>
      </c>
      <c r="J974" s="1" t="s">
        <v>87</v>
      </c>
      <c r="K974" s="25">
        <v>4</v>
      </c>
      <c r="L974" s="1" t="str">
        <f t="shared" si="1"/>
        <v/>
      </c>
      <c r="M974" s="25"/>
      <c r="N974" s="25"/>
      <c r="O974" s="25"/>
      <c r="P974" s="25"/>
      <c r="Q974" s="25"/>
      <c r="R974" s="25"/>
      <c r="S974" s="25"/>
      <c r="T974" s="25"/>
    </row>
    <row r="975" spans="1:20" ht="26.25" customHeight="1">
      <c r="A975" s="17">
        <f t="shared" si="0"/>
        <v>972</v>
      </c>
      <c r="B975" s="18" t="s">
        <v>132</v>
      </c>
      <c r="C975" s="31" t="s">
        <v>4294</v>
      </c>
      <c r="D975" s="19" t="s">
        <v>4295</v>
      </c>
      <c r="E975" s="20"/>
      <c r="F975" s="32" t="s">
        <v>4296</v>
      </c>
      <c r="G975" s="33" t="s">
        <v>53</v>
      </c>
      <c r="H975" s="23" t="s">
        <v>4297</v>
      </c>
      <c r="I975" s="24" t="s">
        <v>55</v>
      </c>
      <c r="J975" s="1" t="str">
        <f t="shared" ref="J975:J976" si="132">IFERROR(VLOOKUP(E975,#REF!,8,FALSE),"")</f>
        <v/>
      </c>
      <c r="K975" s="1"/>
      <c r="L975" s="1" t="str">
        <f t="shared" si="1"/>
        <v/>
      </c>
      <c r="M975" s="1"/>
      <c r="N975" s="1"/>
      <c r="O975" s="1"/>
      <c r="P975" s="1"/>
      <c r="Q975" s="1"/>
      <c r="R975" s="1"/>
      <c r="S975" s="1"/>
      <c r="T975" s="1"/>
    </row>
    <row r="976" spans="1:20" ht="26.25" customHeight="1">
      <c r="A976" s="17">
        <f t="shared" si="0"/>
        <v>973</v>
      </c>
      <c r="B976" s="18" t="s">
        <v>867</v>
      </c>
      <c r="C976" s="31" t="s">
        <v>4298</v>
      </c>
      <c r="D976" s="19" t="s">
        <v>4299</v>
      </c>
      <c r="E976" s="20" t="s">
        <v>4300</v>
      </c>
      <c r="F976" s="32" t="s">
        <v>614</v>
      </c>
      <c r="G976" s="33" t="s">
        <v>53</v>
      </c>
      <c r="H976" s="23" t="s">
        <v>4301</v>
      </c>
      <c r="I976" s="24" t="s">
        <v>55</v>
      </c>
      <c r="J976" s="1" t="str">
        <f t="shared" si="132"/>
        <v/>
      </c>
      <c r="K976" s="1"/>
      <c r="L976" s="1" t="str">
        <f t="shared" si="1"/>
        <v/>
      </c>
      <c r="M976" s="1"/>
      <c r="N976" s="1"/>
      <c r="O976" s="1"/>
      <c r="P976" s="1"/>
      <c r="Q976" s="1"/>
      <c r="R976" s="1"/>
      <c r="S976" s="1"/>
      <c r="T976" s="1"/>
    </row>
    <row r="977" spans="1:20" ht="26.25" customHeight="1">
      <c r="A977" s="17">
        <f t="shared" si="0"/>
        <v>974</v>
      </c>
      <c r="B977" s="18" t="s">
        <v>27</v>
      </c>
      <c r="C977" s="19" t="s">
        <v>4302</v>
      </c>
      <c r="D977" s="19" t="s">
        <v>4303</v>
      </c>
      <c r="E977" s="20" t="s">
        <v>4304</v>
      </c>
      <c r="F977" s="21" t="s">
        <v>863</v>
      </c>
      <c r="G977" s="33" t="s">
        <v>53</v>
      </c>
      <c r="H977" s="23" t="s">
        <v>4305</v>
      </c>
      <c r="I977" s="24" t="s">
        <v>20</v>
      </c>
      <c r="J977" s="1" t="s">
        <v>21</v>
      </c>
      <c r="K977" s="25">
        <v>3</v>
      </c>
      <c r="L977" s="1" t="str">
        <f t="shared" si="1"/>
        <v/>
      </c>
      <c r="M977" s="1"/>
      <c r="N977" s="1"/>
      <c r="O977" s="1"/>
      <c r="P977" s="1"/>
      <c r="Q977" s="1"/>
      <c r="R977" s="1"/>
      <c r="S977" s="1"/>
      <c r="T977" s="1"/>
    </row>
    <row r="978" spans="1:20" ht="26.25" customHeight="1">
      <c r="A978" s="17">
        <f t="shared" si="0"/>
        <v>975</v>
      </c>
      <c r="B978" s="18" t="s">
        <v>105</v>
      </c>
      <c r="C978" s="31" t="s">
        <v>4306</v>
      </c>
      <c r="D978" s="19" t="s">
        <v>4307</v>
      </c>
      <c r="E978" s="113" t="s">
        <v>4308</v>
      </c>
      <c r="F978" s="114" t="s">
        <v>4309</v>
      </c>
      <c r="G978" s="33" t="s">
        <v>53</v>
      </c>
      <c r="H978" s="23" t="s">
        <v>4310</v>
      </c>
      <c r="I978" s="34" t="s">
        <v>20</v>
      </c>
      <c r="J978" s="1" t="s">
        <v>87</v>
      </c>
      <c r="K978" s="25">
        <v>4</v>
      </c>
      <c r="L978" s="1" t="str">
        <f t="shared" si="1"/>
        <v/>
      </c>
      <c r="M978" s="25"/>
      <c r="N978" s="25"/>
      <c r="O978" s="25"/>
      <c r="P978" s="25"/>
      <c r="Q978" s="25"/>
      <c r="R978" s="25"/>
      <c r="S978" s="25"/>
      <c r="T978" s="25"/>
    </row>
    <row r="979" spans="1:20" ht="26.25" customHeight="1">
      <c r="A979" s="17">
        <f t="shared" si="0"/>
        <v>976</v>
      </c>
      <c r="B979" s="18" t="s">
        <v>175</v>
      </c>
      <c r="C979" s="31" t="s">
        <v>4311</v>
      </c>
      <c r="D979" s="115" t="s">
        <v>4312</v>
      </c>
      <c r="E979" s="20" t="s">
        <v>473</v>
      </c>
      <c r="F979" s="32" t="s">
        <v>4313</v>
      </c>
      <c r="G979" s="33" t="s">
        <v>53</v>
      </c>
      <c r="H979" s="23" t="s">
        <v>4314</v>
      </c>
      <c r="I979" s="24" t="s">
        <v>55</v>
      </c>
      <c r="J979" s="1" t="str">
        <f>IFERROR(VLOOKUP(E979,#REF!,8,FALSE),"")</f>
        <v/>
      </c>
      <c r="K979" s="25">
        <v>4</v>
      </c>
      <c r="L979" s="1" t="str">
        <f t="shared" si="1"/>
        <v>2019 과기 동양</v>
      </c>
      <c r="M979" s="1"/>
      <c r="N979" s="1"/>
      <c r="O979" s="1"/>
      <c r="P979" s="1"/>
      <c r="Q979" s="1"/>
      <c r="R979" s="1"/>
      <c r="S979" s="1"/>
      <c r="T979" s="1"/>
    </row>
    <row r="980" spans="1:20" ht="26.25" customHeight="1">
      <c r="A980" s="17">
        <f t="shared" si="0"/>
        <v>977</v>
      </c>
      <c r="B980" s="18" t="s">
        <v>27</v>
      </c>
      <c r="C980" s="19" t="s">
        <v>4315</v>
      </c>
      <c r="D980" s="115" t="s">
        <v>2050</v>
      </c>
      <c r="E980" s="20" t="s">
        <v>4316</v>
      </c>
      <c r="F980" s="21" t="s">
        <v>4317</v>
      </c>
      <c r="G980" s="33" t="s">
        <v>53</v>
      </c>
      <c r="H980" s="23" t="s">
        <v>4318</v>
      </c>
      <c r="I980" s="24" t="s">
        <v>20</v>
      </c>
      <c r="J980" s="1" t="s">
        <v>21</v>
      </c>
      <c r="K980" s="25">
        <v>3</v>
      </c>
      <c r="L980" s="1" t="str">
        <f t="shared" si="1"/>
        <v/>
      </c>
      <c r="M980" s="1"/>
      <c r="N980" s="1"/>
      <c r="O980" s="1"/>
      <c r="P980" s="1"/>
      <c r="Q980" s="1"/>
      <c r="R980" s="1"/>
      <c r="S980" s="1"/>
      <c r="T980" s="1"/>
    </row>
    <row r="981" spans="1:20" ht="26.25" customHeight="1">
      <c r="A981" s="17">
        <f t="shared" si="0"/>
        <v>978</v>
      </c>
      <c r="B981" s="18" t="s">
        <v>27</v>
      </c>
      <c r="C981" s="19" t="s">
        <v>4319</v>
      </c>
      <c r="D981" s="115" t="s">
        <v>2050</v>
      </c>
      <c r="E981" s="20" t="s">
        <v>4320</v>
      </c>
      <c r="F981" s="21" t="s">
        <v>1609</v>
      </c>
      <c r="G981" s="22" t="s">
        <v>42</v>
      </c>
      <c r="H981" s="23" t="s">
        <v>4321</v>
      </c>
      <c r="I981" s="24" t="s">
        <v>20</v>
      </c>
      <c r="J981" s="1" t="s">
        <v>21</v>
      </c>
      <c r="K981" s="25">
        <v>3</v>
      </c>
      <c r="L981" s="1" t="str">
        <f t="shared" si="1"/>
        <v/>
      </c>
      <c r="M981" s="1"/>
      <c r="N981" s="1"/>
      <c r="O981" s="1"/>
      <c r="P981" s="1"/>
      <c r="Q981" s="1"/>
      <c r="R981" s="1"/>
      <c r="S981" s="1"/>
      <c r="T981" s="1"/>
    </row>
    <row r="982" spans="1:20" ht="26.25" customHeight="1">
      <c r="A982" s="17">
        <f t="shared" si="0"/>
        <v>979</v>
      </c>
      <c r="B982" s="18" t="s">
        <v>27</v>
      </c>
      <c r="C982" s="19" t="s">
        <v>4322</v>
      </c>
      <c r="D982" s="19" t="s">
        <v>4323</v>
      </c>
      <c r="E982" s="20" t="s">
        <v>1843</v>
      </c>
      <c r="F982" s="39" t="s">
        <v>4324</v>
      </c>
      <c r="G982" s="22" t="s">
        <v>53</v>
      </c>
      <c r="H982" s="116" t="s">
        <v>4325</v>
      </c>
      <c r="I982" s="34" t="s">
        <v>55</v>
      </c>
      <c r="J982" s="1" t="str">
        <f>IFERROR(VLOOKUP(E982,#REF!,8,FALSE),"")</f>
        <v/>
      </c>
      <c r="K982" s="25">
        <v>3</v>
      </c>
      <c r="L982" s="1" t="str">
        <f t="shared" si="1"/>
        <v>2021 FRIC 동양</v>
      </c>
      <c r="M982" s="25"/>
      <c r="N982" s="25"/>
      <c r="O982" s="25"/>
      <c r="P982" s="25"/>
      <c r="Q982" s="25"/>
      <c r="R982" s="25"/>
      <c r="S982" s="25"/>
      <c r="T982" s="25"/>
    </row>
    <row r="983" spans="1:20" ht="27" customHeight="1">
      <c r="A983" s="17">
        <v>980</v>
      </c>
      <c r="B983" s="117" t="s">
        <v>132</v>
      </c>
      <c r="C983" s="118" t="s">
        <v>4326</v>
      </c>
      <c r="D983" s="118" t="s">
        <v>4327</v>
      </c>
      <c r="E983" s="119" t="s">
        <v>4328</v>
      </c>
      <c r="F983" s="120" t="s">
        <v>4329</v>
      </c>
      <c r="G983" s="117"/>
      <c r="H983" s="121"/>
      <c r="I983" s="122" t="s">
        <v>20</v>
      </c>
      <c r="J983" s="1" t="s">
        <v>21</v>
      </c>
      <c r="K983" s="25">
        <v>3</v>
      </c>
      <c r="L983" s="1" t="str">
        <f t="shared" si="1"/>
        <v/>
      </c>
      <c r="M983" s="123"/>
      <c r="N983" s="123"/>
      <c r="O983" s="123"/>
      <c r="P983" s="123"/>
      <c r="Q983" s="123"/>
      <c r="R983" s="123"/>
      <c r="S983" s="123"/>
      <c r="T983" s="123"/>
    </row>
    <row r="984" spans="1:20" ht="16.5" customHeight="1">
      <c r="B984" s="144"/>
      <c r="C984" s="144"/>
      <c r="F984" s="6"/>
      <c r="J984" s="1" t="s">
        <v>1</v>
      </c>
    </row>
    <row r="985" spans="1:20" ht="16.5" customHeight="1">
      <c r="B985" s="144"/>
      <c r="C985" s="144"/>
      <c r="F985" s="6"/>
      <c r="J985" s="1" t="s">
        <v>1</v>
      </c>
    </row>
    <row r="986" spans="1:20" ht="16.5" customHeight="1">
      <c r="B986" s="144"/>
      <c r="C986" s="144"/>
      <c r="F986" s="6"/>
      <c r="J986" s="1" t="s">
        <v>1</v>
      </c>
    </row>
    <row r="987" spans="1:20" ht="16.5" customHeight="1">
      <c r="B987" s="144"/>
      <c r="C987" s="144"/>
      <c r="F987" s="6"/>
      <c r="J987" s="1" t="s">
        <v>1</v>
      </c>
    </row>
    <row r="988" spans="1:20" ht="16.5" customHeight="1">
      <c r="B988" s="144"/>
      <c r="C988" s="144"/>
      <c r="F988" s="6"/>
      <c r="J988" s="1" t="s">
        <v>1</v>
      </c>
    </row>
    <row r="989" spans="1:20" ht="16.5" customHeight="1">
      <c r="B989" s="144"/>
      <c r="C989" s="144"/>
      <c r="F989" s="6"/>
      <c r="J989" s="1" t="s">
        <v>1</v>
      </c>
    </row>
    <row r="990" spans="1:20" ht="16.5" customHeight="1">
      <c r="B990" s="144"/>
      <c r="C990" s="144"/>
      <c r="F990" s="6"/>
      <c r="J990" s="1" t="s">
        <v>1</v>
      </c>
    </row>
    <row r="991" spans="1:20" ht="16.5" customHeight="1">
      <c r="B991" s="144"/>
      <c r="C991" s="144"/>
      <c r="F991" s="6"/>
      <c r="J991" s="1" t="s">
        <v>1</v>
      </c>
    </row>
    <row r="992" spans="1:20" ht="16.5" customHeight="1">
      <c r="B992" s="144"/>
      <c r="C992" s="144"/>
      <c r="F992" s="6"/>
      <c r="J992" s="1" t="s">
        <v>1</v>
      </c>
    </row>
    <row r="993" spans="2:10" ht="16.5" customHeight="1">
      <c r="B993" s="144"/>
      <c r="C993" s="144"/>
      <c r="F993" s="6"/>
      <c r="J993" s="1" t="s">
        <v>1</v>
      </c>
    </row>
    <row r="994" spans="2:10" ht="16.5" customHeight="1">
      <c r="B994" s="144"/>
      <c r="C994" s="144"/>
      <c r="F994" s="6"/>
      <c r="J994" s="1" t="s">
        <v>1</v>
      </c>
    </row>
    <row r="995" spans="2:10" ht="16.5" customHeight="1">
      <c r="B995" s="144"/>
      <c r="C995" s="144"/>
      <c r="F995" s="6"/>
      <c r="J995" s="1" t="s">
        <v>1</v>
      </c>
    </row>
    <row r="996" spans="2:10" ht="16.5" customHeight="1">
      <c r="B996" s="144"/>
      <c r="C996" s="144"/>
      <c r="F996" s="6"/>
      <c r="J996" s="1" t="s">
        <v>1</v>
      </c>
    </row>
    <row r="997" spans="2:10" ht="16.5" customHeight="1">
      <c r="B997" s="144"/>
      <c r="C997" s="144"/>
      <c r="F997" s="6"/>
      <c r="J997" s="1" t="s">
        <v>1</v>
      </c>
    </row>
    <row r="998" spans="2:10" ht="16.5" customHeight="1">
      <c r="B998" s="144"/>
      <c r="F998" s="6"/>
      <c r="J998" s="1" t="s">
        <v>1</v>
      </c>
    </row>
    <row r="999" spans="2:10" ht="16.5" customHeight="1">
      <c r="B999" s="144"/>
      <c r="F999" s="6"/>
      <c r="J999" s="1" t="s">
        <v>1</v>
      </c>
    </row>
    <row r="1000" spans="2:10" ht="16.5" customHeight="1">
      <c r="B1000" s="144"/>
      <c r="F1000" s="6"/>
      <c r="J1000" s="1" t="s">
        <v>1</v>
      </c>
    </row>
  </sheetData>
  <autoFilter ref="A3:L983"/>
  <customSheetViews>
    <customSheetView guid="{1C8533B9-C40A-4098-B671-87804AF9AA3D}" filter="1" showAutoFilter="1">
      <pageMargins left="0.7" right="0.7" top="0.75" bottom="0.75" header="0.3" footer="0.3"/>
      <autoFilter ref="A3:I982">
        <filterColumn colId="8">
          <filters>
            <filter val="O"/>
          </filters>
        </filterColumn>
      </autoFilter>
    </customSheetView>
  </customSheetViews>
  <mergeCells count="10">
    <mergeCell ref="O205:O207"/>
    <mergeCell ref="O208:O210"/>
    <mergeCell ref="O211:O212"/>
    <mergeCell ref="A1:I1"/>
    <mergeCell ref="H2:I2"/>
    <mergeCell ref="O193:O194"/>
    <mergeCell ref="O195:O196"/>
    <mergeCell ref="O197:O199"/>
    <mergeCell ref="O200:O202"/>
    <mergeCell ref="O203:O204"/>
  </mergeCells>
  <phoneticPr fontId="65" type="noConversion"/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P115" r:id="rId113"/>
    <hyperlink ref="H116" r:id="rId114"/>
    <hyperlink ref="H117" r:id="rId115"/>
    <hyperlink ref="H118" r:id="rId116"/>
    <hyperlink ref="H119" r:id="rId117"/>
    <hyperlink ref="H120" r:id="rId118"/>
    <hyperlink ref="H121" r:id="rId119"/>
    <hyperlink ref="H122" r:id="rId120"/>
    <hyperlink ref="H123" r:id="rId121"/>
    <hyperlink ref="H124" r:id="rId122"/>
    <hyperlink ref="H125" r:id="rId123"/>
    <hyperlink ref="H126" r:id="rId124"/>
    <hyperlink ref="H127" r:id="rId125"/>
    <hyperlink ref="H128" r:id="rId126"/>
    <hyperlink ref="H129" r:id="rId127"/>
    <hyperlink ref="H130" r:id="rId128"/>
    <hyperlink ref="H131" r:id="rId129"/>
    <hyperlink ref="H132" r:id="rId130"/>
    <hyperlink ref="H133" r:id="rId131"/>
    <hyperlink ref="H134" r:id="rId132"/>
    <hyperlink ref="H135" r:id="rId133"/>
    <hyperlink ref="H136" r:id="rId134"/>
    <hyperlink ref="H137" r:id="rId135"/>
    <hyperlink ref="H138" r:id="rId136"/>
    <hyperlink ref="H139" r:id="rId137"/>
    <hyperlink ref="H140" r:id="rId138"/>
    <hyperlink ref="H141" r:id="rId139"/>
    <hyperlink ref="H142" r:id="rId140"/>
    <hyperlink ref="H143" r:id="rId141"/>
    <hyperlink ref="H144" r:id="rId142"/>
    <hyperlink ref="H145" r:id="rId143"/>
    <hyperlink ref="H146" r:id="rId144"/>
    <hyperlink ref="H147" r:id="rId145"/>
    <hyperlink ref="H148" r:id="rId146"/>
    <hyperlink ref="H149" r:id="rId147"/>
    <hyperlink ref="H150" r:id="rId148"/>
    <hyperlink ref="H151" r:id="rId149"/>
    <hyperlink ref="H152" r:id="rId150"/>
    <hyperlink ref="H153" r:id="rId151"/>
    <hyperlink ref="H154" r:id="rId152"/>
    <hyperlink ref="H155" r:id="rId153"/>
    <hyperlink ref="H156" r:id="rId154"/>
    <hyperlink ref="H157" r:id="rId155"/>
    <hyperlink ref="H158" r:id="rId156"/>
    <hyperlink ref="H159" r:id="rId157"/>
    <hyperlink ref="H160" r:id="rId158"/>
    <hyperlink ref="H161" r:id="rId159"/>
    <hyperlink ref="H162" r:id="rId160"/>
    <hyperlink ref="H163" r:id="rId161"/>
    <hyperlink ref="H164" r:id="rId162"/>
    <hyperlink ref="H165" r:id="rId163"/>
    <hyperlink ref="H166" r:id="rId164"/>
    <hyperlink ref="H167" r:id="rId165"/>
    <hyperlink ref="H168" r:id="rId166"/>
    <hyperlink ref="H169" r:id="rId167"/>
    <hyperlink ref="H170" r:id="rId168"/>
    <hyperlink ref="H171" r:id="rId169"/>
    <hyperlink ref="H172" r:id="rId170"/>
    <hyperlink ref="H173" r:id="rId171"/>
    <hyperlink ref="H174" r:id="rId172"/>
    <hyperlink ref="H175" r:id="rId173"/>
    <hyperlink ref="H176" r:id="rId174"/>
    <hyperlink ref="H177" r:id="rId175"/>
    <hyperlink ref="H178" r:id="rId176"/>
    <hyperlink ref="H179" r:id="rId177"/>
    <hyperlink ref="H180" r:id="rId178"/>
    <hyperlink ref="H181" r:id="rId179"/>
    <hyperlink ref="H182" r:id="rId180"/>
    <hyperlink ref="H183" r:id="rId181"/>
    <hyperlink ref="H184" r:id="rId182"/>
    <hyperlink ref="H185" r:id="rId183"/>
    <hyperlink ref="H186" r:id="rId184"/>
    <hyperlink ref="H187" r:id="rId185"/>
    <hyperlink ref="H188" r:id="rId186"/>
    <hyperlink ref="H189" r:id="rId187"/>
    <hyperlink ref="H190" r:id="rId188"/>
    <hyperlink ref="H191" r:id="rId189"/>
    <hyperlink ref="H192" r:id="rId190"/>
    <hyperlink ref="H193" r:id="rId191"/>
    <hyperlink ref="H194" r:id="rId192"/>
    <hyperlink ref="H195" r:id="rId193"/>
    <hyperlink ref="H196" r:id="rId194"/>
    <hyperlink ref="H197" r:id="rId195"/>
    <hyperlink ref="H198" r:id="rId196"/>
    <hyperlink ref="H199" r:id="rId197"/>
    <hyperlink ref="H200" r:id="rId198"/>
    <hyperlink ref="H201" r:id="rId199"/>
    <hyperlink ref="H202" r:id="rId200"/>
    <hyperlink ref="H203" r:id="rId201"/>
    <hyperlink ref="H204" r:id="rId202"/>
    <hyperlink ref="H205" r:id="rId203"/>
    <hyperlink ref="H206" r:id="rId204"/>
    <hyperlink ref="H207" r:id="rId205"/>
    <hyperlink ref="H208" r:id="rId206"/>
    <hyperlink ref="H209" r:id="rId207"/>
    <hyperlink ref="H210" r:id="rId208"/>
    <hyperlink ref="H211" r:id="rId209"/>
    <hyperlink ref="H212" r:id="rId210"/>
    <hyperlink ref="H213" r:id="rId211"/>
    <hyperlink ref="H214" r:id="rId212"/>
    <hyperlink ref="H215" r:id="rId213"/>
    <hyperlink ref="H216" r:id="rId214"/>
    <hyperlink ref="H217" r:id="rId215"/>
    <hyperlink ref="H218" r:id="rId216"/>
    <hyperlink ref="H219" r:id="rId217"/>
    <hyperlink ref="H220" r:id="rId218"/>
    <hyperlink ref="H221" r:id="rId219"/>
    <hyperlink ref="H222" r:id="rId220"/>
    <hyperlink ref="H223" r:id="rId221"/>
    <hyperlink ref="H224" r:id="rId222"/>
    <hyperlink ref="H225" r:id="rId223"/>
    <hyperlink ref="H226" r:id="rId224"/>
    <hyperlink ref="H227" r:id="rId225"/>
    <hyperlink ref="H228" r:id="rId226"/>
    <hyperlink ref="H229" r:id="rId227"/>
    <hyperlink ref="H230" r:id="rId228"/>
    <hyperlink ref="H231" r:id="rId229"/>
    <hyperlink ref="H232" r:id="rId230"/>
    <hyperlink ref="H233" r:id="rId231"/>
    <hyperlink ref="H234" r:id="rId232"/>
    <hyperlink ref="H235" r:id="rId233"/>
    <hyperlink ref="H236" r:id="rId234"/>
    <hyperlink ref="H237" r:id="rId235"/>
    <hyperlink ref="H238" r:id="rId236"/>
    <hyperlink ref="H239" r:id="rId237"/>
    <hyperlink ref="H240" r:id="rId238"/>
    <hyperlink ref="H241" r:id="rId239"/>
    <hyperlink ref="H242" r:id="rId240"/>
    <hyperlink ref="H243" r:id="rId241"/>
    <hyperlink ref="H244" r:id="rId242"/>
    <hyperlink ref="H245" r:id="rId243"/>
    <hyperlink ref="H246" r:id="rId244"/>
    <hyperlink ref="H247" r:id="rId245"/>
    <hyperlink ref="H248" r:id="rId246"/>
    <hyperlink ref="H249" r:id="rId247"/>
    <hyperlink ref="H250" r:id="rId248"/>
    <hyperlink ref="H251" r:id="rId249"/>
    <hyperlink ref="H252" r:id="rId250"/>
    <hyperlink ref="H253" r:id="rId251"/>
    <hyperlink ref="H254" r:id="rId252"/>
    <hyperlink ref="H255" r:id="rId253"/>
    <hyperlink ref="H256" r:id="rId254"/>
    <hyperlink ref="H257" r:id="rId255"/>
    <hyperlink ref="H258" r:id="rId256"/>
    <hyperlink ref="H259" r:id="rId257"/>
    <hyperlink ref="H260" r:id="rId258"/>
    <hyperlink ref="H261" r:id="rId259"/>
    <hyperlink ref="H262" r:id="rId260"/>
    <hyperlink ref="H263" r:id="rId261"/>
    <hyperlink ref="H264" r:id="rId262"/>
    <hyperlink ref="H265" r:id="rId263"/>
    <hyperlink ref="H266" r:id="rId264"/>
    <hyperlink ref="H267" r:id="rId265"/>
    <hyperlink ref="H268" r:id="rId266"/>
    <hyperlink ref="H269" r:id="rId267"/>
    <hyperlink ref="H270" r:id="rId268"/>
    <hyperlink ref="H271" r:id="rId269"/>
    <hyperlink ref="H272" r:id="rId270"/>
    <hyperlink ref="H273" r:id="rId271"/>
    <hyperlink ref="H274" r:id="rId272"/>
    <hyperlink ref="H275" r:id="rId273"/>
    <hyperlink ref="H276" r:id="rId274"/>
    <hyperlink ref="H277" r:id="rId275"/>
    <hyperlink ref="H278" r:id="rId276"/>
    <hyperlink ref="H279" r:id="rId277"/>
    <hyperlink ref="H280" r:id="rId278"/>
    <hyperlink ref="H281" r:id="rId279"/>
    <hyperlink ref="H282" r:id="rId280"/>
    <hyperlink ref="H283" r:id="rId281"/>
    <hyperlink ref="H284" r:id="rId282"/>
    <hyperlink ref="H285" r:id="rId283"/>
    <hyperlink ref="H286" r:id="rId284"/>
    <hyperlink ref="H287" r:id="rId285"/>
    <hyperlink ref="H288" r:id="rId286"/>
    <hyperlink ref="H289" r:id="rId287"/>
    <hyperlink ref="H290" r:id="rId288"/>
    <hyperlink ref="H291" r:id="rId289"/>
    <hyperlink ref="H292" r:id="rId290"/>
    <hyperlink ref="H293" r:id="rId291"/>
    <hyperlink ref="H294" r:id="rId292"/>
    <hyperlink ref="H295" r:id="rId293"/>
    <hyperlink ref="H296" r:id="rId294"/>
    <hyperlink ref="H297" r:id="rId295"/>
    <hyperlink ref="H298" r:id="rId296"/>
    <hyperlink ref="H299" r:id="rId297"/>
    <hyperlink ref="H300" r:id="rId298"/>
    <hyperlink ref="H301" r:id="rId299"/>
    <hyperlink ref="H302" r:id="rId300"/>
    <hyperlink ref="H303" r:id="rId301"/>
    <hyperlink ref="H304" r:id="rId302"/>
    <hyperlink ref="H305" r:id="rId303"/>
    <hyperlink ref="H306" r:id="rId304"/>
    <hyperlink ref="H307" r:id="rId305"/>
    <hyperlink ref="H308" r:id="rId306"/>
    <hyperlink ref="H309" r:id="rId307"/>
    <hyperlink ref="H310" r:id="rId308"/>
    <hyperlink ref="H311" r:id="rId309"/>
    <hyperlink ref="H312" r:id="rId310"/>
    <hyperlink ref="H313" r:id="rId311"/>
    <hyperlink ref="H314" r:id="rId312"/>
    <hyperlink ref="H315" r:id="rId313"/>
    <hyperlink ref="H316" r:id="rId314"/>
    <hyperlink ref="H317" r:id="rId315"/>
    <hyperlink ref="H318" r:id="rId316"/>
    <hyperlink ref="H319" r:id="rId317"/>
    <hyperlink ref="H320" r:id="rId318"/>
    <hyperlink ref="H321" r:id="rId319"/>
    <hyperlink ref="H322" r:id="rId320"/>
    <hyperlink ref="H323" r:id="rId321"/>
    <hyperlink ref="H324" r:id="rId322"/>
    <hyperlink ref="H325" r:id="rId323"/>
    <hyperlink ref="H326" r:id="rId324"/>
    <hyperlink ref="H327" r:id="rId325"/>
    <hyperlink ref="H328" r:id="rId326"/>
    <hyperlink ref="H329" r:id="rId327"/>
    <hyperlink ref="H330" r:id="rId328"/>
    <hyperlink ref="H331" r:id="rId329"/>
    <hyperlink ref="H332" r:id="rId330"/>
    <hyperlink ref="H333" r:id="rId331"/>
    <hyperlink ref="H334" r:id="rId332"/>
    <hyperlink ref="H335" r:id="rId333"/>
    <hyperlink ref="H336" r:id="rId334"/>
    <hyperlink ref="H337" r:id="rId335"/>
    <hyperlink ref="H338" r:id="rId336"/>
    <hyperlink ref="H339" r:id="rId337"/>
    <hyperlink ref="H340" r:id="rId338"/>
    <hyperlink ref="H341" r:id="rId339"/>
    <hyperlink ref="H342" r:id="rId340"/>
    <hyperlink ref="H343" r:id="rId341"/>
    <hyperlink ref="H344" r:id="rId342"/>
    <hyperlink ref="H345" r:id="rId343"/>
    <hyperlink ref="H346" r:id="rId344"/>
    <hyperlink ref="H347" r:id="rId345"/>
    <hyperlink ref="H348" r:id="rId346"/>
    <hyperlink ref="H349" r:id="rId347"/>
    <hyperlink ref="H350" r:id="rId348"/>
    <hyperlink ref="H351" r:id="rId349"/>
    <hyperlink ref="H352" r:id="rId350"/>
    <hyperlink ref="H353" r:id="rId351"/>
    <hyperlink ref="H354" r:id="rId352"/>
    <hyperlink ref="H355" r:id="rId353"/>
    <hyperlink ref="H356" r:id="rId354"/>
    <hyperlink ref="H357" r:id="rId355"/>
    <hyperlink ref="H358" r:id="rId356"/>
    <hyperlink ref="H359" r:id="rId357"/>
    <hyperlink ref="H360" r:id="rId358"/>
    <hyperlink ref="H361" r:id="rId359"/>
    <hyperlink ref="H362" r:id="rId360"/>
    <hyperlink ref="H363" r:id="rId361"/>
    <hyperlink ref="H364" r:id="rId362"/>
    <hyperlink ref="H365" r:id="rId363"/>
    <hyperlink ref="H366" r:id="rId364"/>
    <hyperlink ref="H367" r:id="rId365"/>
    <hyperlink ref="H368" r:id="rId366"/>
    <hyperlink ref="H369" r:id="rId367"/>
    <hyperlink ref="H370" r:id="rId368"/>
    <hyperlink ref="H371" r:id="rId369"/>
    <hyperlink ref="H372" r:id="rId370"/>
    <hyperlink ref="H373" r:id="rId371"/>
    <hyperlink ref="H374" r:id="rId372"/>
    <hyperlink ref="H375" r:id="rId373"/>
    <hyperlink ref="H376" r:id="rId374"/>
    <hyperlink ref="H377" r:id="rId375"/>
    <hyperlink ref="H378" r:id="rId376"/>
    <hyperlink ref="H379" r:id="rId377"/>
    <hyperlink ref="H380" r:id="rId378"/>
    <hyperlink ref="H381" r:id="rId379"/>
    <hyperlink ref="H382" r:id="rId380"/>
    <hyperlink ref="H383" r:id="rId381"/>
    <hyperlink ref="H384" r:id="rId382"/>
    <hyperlink ref="H385" r:id="rId383"/>
    <hyperlink ref="H386" r:id="rId384"/>
    <hyperlink ref="H387" r:id="rId385"/>
    <hyperlink ref="H388" r:id="rId386"/>
    <hyperlink ref="H389" r:id="rId387"/>
    <hyperlink ref="H390" r:id="rId388"/>
    <hyperlink ref="H391" r:id="rId389"/>
    <hyperlink ref="H392" r:id="rId390"/>
    <hyperlink ref="H393" r:id="rId391"/>
    <hyperlink ref="H394" r:id="rId392"/>
    <hyperlink ref="H395" r:id="rId393"/>
    <hyperlink ref="H396" r:id="rId394"/>
    <hyperlink ref="H397" r:id="rId395"/>
    <hyperlink ref="H398" r:id="rId396"/>
    <hyperlink ref="H399" r:id="rId397"/>
    <hyperlink ref="H400" r:id="rId398"/>
    <hyperlink ref="H401" r:id="rId399"/>
    <hyperlink ref="H402" r:id="rId400"/>
    <hyperlink ref="H403" r:id="rId401"/>
    <hyperlink ref="H404" r:id="rId402"/>
    <hyperlink ref="H405" r:id="rId403"/>
    <hyperlink ref="H406" r:id="rId404"/>
    <hyperlink ref="H407" r:id="rId405"/>
    <hyperlink ref="H408" r:id="rId406"/>
    <hyperlink ref="H409" r:id="rId407"/>
    <hyperlink ref="H410" r:id="rId408"/>
    <hyperlink ref="H411" r:id="rId409"/>
    <hyperlink ref="H412" r:id="rId410"/>
    <hyperlink ref="H413" r:id="rId411"/>
    <hyperlink ref="H414" r:id="rId412"/>
    <hyperlink ref="H415" r:id="rId413"/>
    <hyperlink ref="H416" r:id="rId414"/>
    <hyperlink ref="H417" r:id="rId415"/>
    <hyperlink ref="H418" r:id="rId416"/>
    <hyperlink ref="H419" r:id="rId417"/>
    <hyperlink ref="H420" r:id="rId418"/>
    <hyperlink ref="H421" r:id="rId419"/>
    <hyperlink ref="H422" r:id="rId420"/>
    <hyperlink ref="H423" r:id="rId421"/>
    <hyperlink ref="H424" r:id="rId422"/>
    <hyperlink ref="H425" r:id="rId423"/>
    <hyperlink ref="H426" r:id="rId424"/>
    <hyperlink ref="H427" r:id="rId425"/>
    <hyperlink ref="H428" r:id="rId426"/>
    <hyperlink ref="H429" r:id="rId427"/>
    <hyperlink ref="H430" r:id="rId428"/>
    <hyperlink ref="H431" r:id="rId429"/>
    <hyperlink ref="H432" r:id="rId430"/>
    <hyperlink ref="H433" r:id="rId431"/>
    <hyperlink ref="H434" r:id="rId432"/>
    <hyperlink ref="H435" r:id="rId433"/>
    <hyperlink ref="H436" r:id="rId434"/>
    <hyperlink ref="H437" r:id="rId435"/>
    <hyperlink ref="H438" r:id="rId436"/>
    <hyperlink ref="H439" r:id="rId437"/>
    <hyperlink ref="H440" r:id="rId438"/>
    <hyperlink ref="H441" r:id="rId439"/>
    <hyperlink ref="H442" r:id="rId440"/>
    <hyperlink ref="H443" r:id="rId441"/>
    <hyperlink ref="H444" r:id="rId442"/>
    <hyperlink ref="H445" r:id="rId443"/>
    <hyperlink ref="H446" r:id="rId444"/>
    <hyperlink ref="H447" r:id="rId445"/>
    <hyperlink ref="H448" r:id="rId446"/>
    <hyperlink ref="H449" r:id="rId447"/>
    <hyperlink ref="H450" r:id="rId448"/>
    <hyperlink ref="H451" r:id="rId449"/>
    <hyperlink ref="H452" r:id="rId450"/>
    <hyperlink ref="H453" r:id="rId451"/>
    <hyperlink ref="H454" r:id="rId452"/>
    <hyperlink ref="H455" r:id="rId453"/>
    <hyperlink ref="H456" r:id="rId454"/>
    <hyperlink ref="H457" r:id="rId455"/>
    <hyperlink ref="H458" r:id="rId456"/>
    <hyperlink ref="H459" r:id="rId457"/>
    <hyperlink ref="H460" r:id="rId458"/>
    <hyperlink ref="H461" r:id="rId459"/>
    <hyperlink ref="H462" r:id="rId460"/>
    <hyperlink ref="H463" r:id="rId461"/>
    <hyperlink ref="H464" r:id="rId462"/>
    <hyperlink ref="H465" r:id="rId463"/>
    <hyperlink ref="H466" r:id="rId464"/>
    <hyperlink ref="H467" r:id="rId465"/>
    <hyperlink ref="H468" r:id="rId466"/>
    <hyperlink ref="H469" r:id="rId467"/>
    <hyperlink ref="H470" r:id="rId468"/>
    <hyperlink ref="H471" r:id="rId469"/>
    <hyperlink ref="H472" r:id="rId470"/>
    <hyperlink ref="H473" r:id="rId471"/>
    <hyperlink ref="H474" r:id="rId472"/>
    <hyperlink ref="H475" r:id="rId473"/>
    <hyperlink ref="H476" r:id="rId474"/>
    <hyperlink ref="H477" r:id="rId475"/>
    <hyperlink ref="H478" r:id="rId476"/>
    <hyperlink ref="H479" r:id="rId477"/>
    <hyperlink ref="H480" r:id="rId478"/>
    <hyperlink ref="H481" r:id="rId479"/>
    <hyperlink ref="H482" r:id="rId480"/>
    <hyperlink ref="H483" r:id="rId481"/>
    <hyperlink ref="H484" r:id="rId482"/>
    <hyperlink ref="H485" r:id="rId483"/>
    <hyperlink ref="H486" r:id="rId484"/>
    <hyperlink ref="H487" r:id="rId485"/>
    <hyperlink ref="H488" r:id="rId486"/>
    <hyperlink ref="H489" r:id="rId487"/>
    <hyperlink ref="H490" r:id="rId488"/>
    <hyperlink ref="H491" r:id="rId489"/>
    <hyperlink ref="H492" r:id="rId490"/>
    <hyperlink ref="H493" r:id="rId491"/>
    <hyperlink ref="H494" r:id="rId492"/>
    <hyperlink ref="H495" r:id="rId493"/>
    <hyperlink ref="H496" r:id="rId494"/>
    <hyperlink ref="H497" r:id="rId495"/>
    <hyperlink ref="H498" r:id="rId496"/>
    <hyperlink ref="H499" r:id="rId497"/>
    <hyperlink ref="H500" r:id="rId498"/>
    <hyperlink ref="H501" r:id="rId499"/>
    <hyperlink ref="H502" r:id="rId500"/>
    <hyperlink ref="H503" r:id="rId501"/>
    <hyperlink ref="H504" r:id="rId502"/>
    <hyperlink ref="H505" r:id="rId503"/>
    <hyperlink ref="H506" r:id="rId504"/>
    <hyperlink ref="H507" r:id="rId505"/>
    <hyperlink ref="H508" r:id="rId506"/>
    <hyperlink ref="H509" r:id="rId507"/>
    <hyperlink ref="H510" r:id="rId508"/>
    <hyperlink ref="H511" r:id="rId509"/>
    <hyperlink ref="H512" r:id="rId510"/>
    <hyperlink ref="H513" r:id="rId511"/>
    <hyperlink ref="H514" r:id="rId512"/>
    <hyperlink ref="H515" r:id="rId513"/>
    <hyperlink ref="H516" r:id="rId514"/>
    <hyperlink ref="H517" r:id="rId515"/>
    <hyperlink ref="H518" r:id="rId516"/>
    <hyperlink ref="H519" r:id="rId517"/>
    <hyperlink ref="H520" r:id="rId518"/>
    <hyperlink ref="H521" r:id="rId519"/>
    <hyperlink ref="H522" r:id="rId520"/>
    <hyperlink ref="H523" r:id="rId521"/>
    <hyperlink ref="H524" r:id="rId522"/>
    <hyperlink ref="H525" r:id="rId523"/>
    <hyperlink ref="H526" r:id="rId524"/>
    <hyperlink ref="H527" r:id="rId525"/>
    <hyperlink ref="H528" r:id="rId526"/>
    <hyperlink ref="H529" r:id="rId527"/>
    <hyperlink ref="H530" r:id="rId528"/>
    <hyperlink ref="H531" r:id="rId529"/>
    <hyperlink ref="H532" r:id="rId530"/>
    <hyperlink ref="H533" r:id="rId531"/>
    <hyperlink ref="H534" r:id="rId532"/>
    <hyperlink ref="H535" r:id="rId533"/>
    <hyperlink ref="H536" r:id="rId534"/>
    <hyperlink ref="H537" r:id="rId535"/>
    <hyperlink ref="H538" r:id="rId536"/>
    <hyperlink ref="H539" r:id="rId537"/>
    <hyperlink ref="H540" r:id="rId538"/>
    <hyperlink ref="H541" r:id="rId539"/>
    <hyperlink ref="H542" r:id="rId540"/>
    <hyperlink ref="H543" r:id="rId541"/>
    <hyperlink ref="H545" r:id="rId542"/>
    <hyperlink ref="H546" r:id="rId543"/>
    <hyperlink ref="H547" r:id="rId544"/>
    <hyperlink ref="H548" r:id="rId545"/>
    <hyperlink ref="H549" r:id="rId546"/>
    <hyperlink ref="H550" r:id="rId547"/>
    <hyperlink ref="H551" r:id="rId548"/>
    <hyperlink ref="H552" r:id="rId549"/>
    <hyperlink ref="H553" r:id="rId550"/>
    <hyperlink ref="H554" r:id="rId551"/>
    <hyperlink ref="H555" r:id="rId552"/>
    <hyperlink ref="H556" r:id="rId553"/>
    <hyperlink ref="H557" r:id="rId554"/>
    <hyperlink ref="H558" r:id="rId555"/>
    <hyperlink ref="H559" r:id="rId556"/>
    <hyperlink ref="H560" r:id="rId557"/>
    <hyperlink ref="H561" r:id="rId558"/>
    <hyperlink ref="H562" r:id="rId559"/>
    <hyperlink ref="H563" r:id="rId560"/>
    <hyperlink ref="H564" r:id="rId561"/>
    <hyperlink ref="H565" r:id="rId562"/>
    <hyperlink ref="H566" r:id="rId563"/>
    <hyperlink ref="H567" r:id="rId564"/>
    <hyperlink ref="H568" r:id="rId565"/>
    <hyperlink ref="H569" r:id="rId566"/>
    <hyperlink ref="H570" r:id="rId567"/>
    <hyperlink ref="H571" r:id="rId568"/>
    <hyperlink ref="H572" r:id="rId569"/>
    <hyperlink ref="H573" r:id="rId570"/>
    <hyperlink ref="H574" r:id="rId571"/>
    <hyperlink ref="H575" r:id="rId572"/>
    <hyperlink ref="H576" r:id="rId573"/>
    <hyperlink ref="H577" r:id="rId574"/>
    <hyperlink ref="H578" r:id="rId575"/>
    <hyperlink ref="H579" r:id="rId576"/>
    <hyperlink ref="H580" r:id="rId577"/>
    <hyperlink ref="H581" r:id="rId578"/>
    <hyperlink ref="H582" r:id="rId579"/>
    <hyperlink ref="H583" r:id="rId580"/>
    <hyperlink ref="H584" r:id="rId581"/>
    <hyperlink ref="H585" r:id="rId582"/>
    <hyperlink ref="H586" r:id="rId583"/>
    <hyperlink ref="H587" r:id="rId584"/>
    <hyperlink ref="H588" r:id="rId585"/>
    <hyperlink ref="H589" r:id="rId586"/>
    <hyperlink ref="H590" r:id="rId587"/>
    <hyperlink ref="H591" r:id="rId588"/>
    <hyperlink ref="H592" r:id="rId589"/>
    <hyperlink ref="H593" r:id="rId590"/>
    <hyperlink ref="H594" r:id="rId591"/>
    <hyperlink ref="H595" r:id="rId592"/>
    <hyperlink ref="H596" r:id="rId593"/>
    <hyperlink ref="H597" r:id="rId594"/>
    <hyperlink ref="H598" r:id="rId595"/>
    <hyperlink ref="H599" r:id="rId596"/>
    <hyperlink ref="H600" r:id="rId597"/>
    <hyperlink ref="H601" r:id="rId598"/>
    <hyperlink ref="H602" r:id="rId599"/>
    <hyperlink ref="H603" r:id="rId600"/>
    <hyperlink ref="H604" r:id="rId601"/>
    <hyperlink ref="H605" r:id="rId602"/>
    <hyperlink ref="H606" r:id="rId603"/>
    <hyperlink ref="H607" r:id="rId604"/>
    <hyperlink ref="H608" r:id="rId605"/>
    <hyperlink ref="H609" r:id="rId606"/>
    <hyperlink ref="H610" r:id="rId607"/>
    <hyperlink ref="H611" r:id="rId608"/>
    <hyperlink ref="H612" r:id="rId609"/>
    <hyperlink ref="H613" r:id="rId610"/>
    <hyperlink ref="H614" r:id="rId611"/>
    <hyperlink ref="H615" r:id="rId612"/>
    <hyperlink ref="H616" r:id="rId613"/>
    <hyperlink ref="H617" r:id="rId614"/>
    <hyperlink ref="H618" r:id="rId615"/>
    <hyperlink ref="H619" r:id="rId616"/>
    <hyperlink ref="H620" r:id="rId617"/>
    <hyperlink ref="H621" r:id="rId618"/>
    <hyperlink ref="H622" r:id="rId619"/>
    <hyperlink ref="H623" r:id="rId620"/>
    <hyperlink ref="H624" r:id="rId621"/>
    <hyperlink ref="H625" r:id="rId622"/>
    <hyperlink ref="H626" r:id="rId623"/>
    <hyperlink ref="H627" r:id="rId624"/>
    <hyperlink ref="H628" r:id="rId625"/>
    <hyperlink ref="H629" r:id="rId626"/>
    <hyperlink ref="H630" r:id="rId627"/>
    <hyperlink ref="H631" r:id="rId628"/>
    <hyperlink ref="H632" r:id="rId629"/>
    <hyperlink ref="H633" r:id="rId630"/>
    <hyperlink ref="H634" r:id="rId631"/>
    <hyperlink ref="H635" r:id="rId632"/>
    <hyperlink ref="H636" r:id="rId633"/>
    <hyperlink ref="H637" r:id="rId634"/>
    <hyperlink ref="H638" r:id="rId635"/>
    <hyperlink ref="H639" r:id="rId636"/>
    <hyperlink ref="H640" r:id="rId637"/>
    <hyperlink ref="H641" r:id="rId638"/>
    <hyperlink ref="H642" r:id="rId639"/>
    <hyperlink ref="H643" r:id="rId640"/>
    <hyperlink ref="H644" r:id="rId641"/>
    <hyperlink ref="H645" r:id="rId642"/>
    <hyperlink ref="H646" r:id="rId643"/>
    <hyperlink ref="H647" r:id="rId644"/>
    <hyperlink ref="H648" r:id="rId645"/>
    <hyperlink ref="H649" r:id="rId646"/>
    <hyperlink ref="H650" r:id="rId647"/>
    <hyperlink ref="H651" r:id="rId648"/>
    <hyperlink ref="H652" r:id="rId649"/>
    <hyperlink ref="H653" r:id="rId650"/>
    <hyperlink ref="H654" r:id="rId651"/>
    <hyperlink ref="H655" r:id="rId652"/>
    <hyperlink ref="H656" r:id="rId653"/>
    <hyperlink ref="H657" r:id="rId654"/>
    <hyperlink ref="H658" r:id="rId655"/>
    <hyperlink ref="H659" r:id="rId656"/>
    <hyperlink ref="H660" r:id="rId657"/>
    <hyperlink ref="H661" r:id="rId658"/>
    <hyperlink ref="H662" r:id="rId659"/>
    <hyperlink ref="H663" r:id="rId660"/>
    <hyperlink ref="H664" r:id="rId661"/>
    <hyperlink ref="H665" r:id="rId662"/>
    <hyperlink ref="H666" r:id="rId663"/>
    <hyperlink ref="H667" r:id="rId664"/>
    <hyperlink ref="H668" r:id="rId665"/>
    <hyperlink ref="H669" r:id="rId666"/>
    <hyperlink ref="H670" r:id="rId667"/>
    <hyperlink ref="H671" r:id="rId668"/>
    <hyperlink ref="H672" r:id="rId669"/>
    <hyperlink ref="H673" r:id="rId670"/>
    <hyperlink ref="H674" r:id="rId671"/>
    <hyperlink ref="H675" r:id="rId672"/>
    <hyperlink ref="H676" r:id="rId673"/>
    <hyperlink ref="H677" r:id="rId674"/>
    <hyperlink ref="H678" r:id="rId675"/>
    <hyperlink ref="H679" r:id="rId676"/>
    <hyperlink ref="H680" r:id="rId677"/>
    <hyperlink ref="H681" r:id="rId678"/>
    <hyperlink ref="H682" r:id="rId679"/>
    <hyperlink ref="H683" r:id="rId680"/>
    <hyperlink ref="H684" r:id="rId681"/>
    <hyperlink ref="H685" r:id="rId682"/>
    <hyperlink ref="H686" r:id="rId683"/>
    <hyperlink ref="H687" r:id="rId684"/>
    <hyperlink ref="H688" r:id="rId685"/>
    <hyperlink ref="H689" r:id="rId686"/>
    <hyperlink ref="H690" r:id="rId687"/>
    <hyperlink ref="H691" r:id="rId688"/>
    <hyperlink ref="H692" r:id="rId689"/>
    <hyperlink ref="H693" r:id="rId690"/>
    <hyperlink ref="H694" r:id="rId691"/>
    <hyperlink ref="H695" r:id="rId692"/>
    <hyperlink ref="H696" r:id="rId693"/>
    <hyperlink ref="H697" r:id="rId694"/>
    <hyperlink ref="H698" r:id="rId695"/>
    <hyperlink ref="H699" r:id="rId696"/>
    <hyperlink ref="H700" r:id="rId697"/>
    <hyperlink ref="H701" r:id="rId698"/>
    <hyperlink ref="H702" r:id="rId699"/>
    <hyperlink ref="H703" r:id="rId700"/>
    <hyperlink ref="H704" r:id="rId701"/>
    <hyperlink ref="H705" r:id="rId702"/>
    <hyperlink ref="H706" r:id="rId703"/>
    <hyperlink ref="H707" r:id="rId704"/>
    <hyperlink ref="H708" r:id="rId705"/>
    <hyperlink ref="H709" r:id="rId706"/>
    <hyperlink ref="H710" r:id="rId707"/>
    <hyperlink ref="H711" r:id="rId708"/>
    <hyperlink ref="H712" r:id="rId709"/>
    <hyperlink ref="H713" r:id="rId710"/>
    <hyperlink ref="H714" r:id="rId711"/>
    <hyperlink ref="H715" r:id="rId712"/>
    <hyperlink ref="H716" r:id="rId713"/>
    <hyperlink ref="H717" r:id="rId714"/>
    <hyperlink ref="H718" r:id="rId715"/>
    <hyperlink ref="H719" r:id="rId716"/>
    <hyperlink ref="H720" r:id="rId717"/>
    <hyperlink ref="H721" r:id="rId718"/>
    <hyperlink ref="H722" r:id="rId719"/>
    <hyperlink ref="H723" r:id="rId720"/>
    <hyperlink ref="H724" r:id="rId721"/>
    <hyperlink ref="H725" r:id="rId722"/>
    <hyperlink ref="H726" r:id="rId723"/>
    <hyperlink ref="H727" r:id="rId724"/>
    <hyperlink ref="H728" r:id="rId725"/>
    <hyperlink ref="H729" r:id="rId726"/>
    <hyperlink ref="H730" r:id="rId727"/>
    <hyperlink ref="H731" r:id="rId728"/>
    <hyperlink ref="H732" r:id="rId729"/>
    <hyperlink ref="H733" r:id="rId730"/>
    <hyperlink ref="H734" r:id="rId731"/>
    <hyperlink ref="H735" r:id="rId732"/>
    <hyperlink ref="H736" r:id="rId733"/>
    <hyperlink ref="H737" r:id="rId734"/>
    <hyperlink ref="H738" r:id="rId735"/>
    <hyperlink ref="H739" r:id="rId736"/>
    <hyperlink ref="H740" r:id="rId737"/>
    <hyperlink ref="H741" r:id="rId738"/>
    <hyperlink ref="H742" r:id="rId739"/>
    <hyperlink ref="H743" r:id="rId740"/>
    <hyperlink ref="H744" r:id="rId741"/>
    <hyperlink ref="H745" r:id="rId742"/>
    <hyperlink ref="H746" r:id="rId743"/>
    <hyperlink ref="H747" r:id="rId744"/>
    <hyperlink ref="H748" r:id="rId745"/>
    <hyperlink ref="H749" r:id="rId746"/>
    <hyperlink ref="H750" r:id="rId747"/>
    <hyperlink ref="H751" r:id="rId748"/>
    <hyperlink ref="H752" r:id="rId749"/>
    <hyperlink ref="H753" r:id="rId750"/>
    <hyperlink ref="H754" r:id="rId751"/>
    <hyperlink ref="H755" r:id="rId752"/>
    <hyperlink ref="H756" r:id="rId753"/>
    <hyperlink ref="H757" r:id="rId754"/>
    <hyperlink ref="H758" r:id="rId755"/>
    <hyperlink ref="H759" r:id="rId756"/>
    <hyperlink ref="H760" r:id="rId757"/>
    <hyperlink ref="H761" r:id="rId758"/>
    <hyperlink ref="H762" r:id="rId759"/>
    <hyperlink ref="H763" r:id="rId760"/>
    <hyperlink ref="H764" r:id="rId761"/>
    <hyperlink ref="H765" r:id="rId762"/>
    <hyperlink ref="H766" r:id="rId763"/>
    <hyperlink ref="H767" r:id="rId764"/>
    <hyperlink ref="H768" r:id="rId765"/>
    <hyperlink ref="H769" r:id="rId766"/>
    <hyperlink ref="H770" r:id="rId767"/>
    <hyperlink ref="H771" r:id="rId768"/>
    <hyperlink ref="H772" r:id="rId769"/>
    <hyperlink ref="H773" r:id="rId770"/>
    <hyperlink ref="H774" r:id="rId771"/>
    <hyperlink ref="H775" r:id="rId772"/>
    <hyperlink ref="H776" r:id="rId773"/>
    <hyperlink ref="H777" r:id="rId774"/>
    <hyperlink ref="H778" r:id="rId775"/>
    <hyperlink ref="H779" r:id="rId776"/>
    <hyperlink ref="H780" r:id="rId777"/>
    <hyperlink ref="H781" r:id="rId778"/>
    <hyperlink ref="H782" r:id="rId779"/>
    <hyperlink ref="H783" r:id="rId780"/>
    <hyperlink ref="H784" r:id="rId781"/>
    <hyperlink ref="H785" r:id="rId782"/>
    <hyperlink ref="H786" r:id="rId783"/>
    <hyperlink ref="H787" r:id="rId784"/>
    <hyperlink ref="H788" r:id="rId785"/>
    <hyperlink ref="H789" r:id="rId786"/>
    <hyperlink ref="H790" r:id="rId787"/>
    <hyperlink ref="H791" r:id="rId788"/>
    <hyperlink ref="H792" r:id="rId789"/>
    <hyperlink ref="H793" r:id="rId790"/>
    <hyperlink ref="H794" r:id="rId791"/>
    <hyperlink ref="H795" r:id="rId792"/>
    <hyperlink ref="H796" r:id="rId793"/>
    <hyperlink ref="H797" r:id="rId794"/>
    <hyperlink ref="H798" r:id="rId795"/>
    <hyperlink ref="H799" r:id="rId796"/>
    <hyperlink ref="H800" r:id="rId797"/>
    <hyperlink ref="H801" r:id="rId798"/>
    <hyperlink ref="H802" r:id="rId799"/>
    <hyperlink ref="H803" r:id="rId800"/>
    <hyperlink ref="H804" r:id="rId801"/>
    <hyperlink ref="H805" r:id="rId802"/>
    <hyperlink ref="H806" r:id="rId803"/>
    <hyperlink ref="H807" r:id="rId804"/>
    <hyperlink ref="H808" r:id="rId805"/>
    <hyperlink ref="H809" r:id="rId806"/>
    <hyperlink ref="H810" r:id="rId807"/>
    <hyperlink ref="H811" r:id="rId808"/>
    <hyperlink ref="H812" r:id="rId809"/>
    <hyperlink ref="H813" r:id="rId810"/>
    <hyperlink ref="H814" r:id="rId811"/>
    <hyperlink ref="H815" r:id="rId812"/>
    <hyperlink ref="H816" r:id="rId813"/>
    <hyperlink ref="H817" r:id="rId814"/>
    <hyperlink ref="H818" r:id="rId815"/>
    <hyperlink ref="H819" r:id="rId816"/>
    <hyperlink ref="H820" r:id="rId817"/>
    <hyperlink ref="H821" r:id="rId818"/>
    <hyperlink ref="H822" r:id="rId819"/>
    <hyperlink ref="H823" r:id="rId820"/>
    <hyperlink ref="H824" r:id="rId821"/>
    <hyperlink ref="H825" r:id="rId822"/>
    <hyperlink ref="H826" r:id="rId823"/>
    <hyperlink ref="H827" r:id="rId824"/>
    <hyperlink ref="H828" r:id="rId825"/>
    <hyperlink ref="H829" r:id="rId826"/>
    <hyperlink ref="H830" r:id="rId827"/>
    <hyperlink ref="H831" r:id="rId828"/>
    <hyperlink ref="H832" r:id="rId829"/>
    <hyperlink ref="H833" r:id="rId830"/>
    <hyperlink ref="H834" r:id="rId831"/>
    <hyperlink ref="H835" r:id="rId832"/>
    <hyperlink ref="H836" r:id="rId833"/>
    <hyperlink ref="H837" r:id="rId834"/>
    <hyperlink ref="H838" r:id="rId835"/>
    <hyperlink ref="H839" r:id="rId836"/>
    <hyperlink ref="H840" r:id="rId837"/>
    <hyperlink ref="H841" r:id="rId838"/>
    <hyperlink ref="H842" r:id="rId839"/>
    <hyperlink ref="H843" r:id="rId840"/>
    <hyperlink ref="H844" r:id="rId841"/>
    <hyperlink ref="H845" r:id="rId842"/>
    <hyperlink ref="H846" r:id="rId843"/>
    <hyperlink ref="H847" r:id="rId844"/>
    <hyperlink ref="H848" r:id="rId845"/>
    <hyperlink ref="H849" r:id="rId846"/>
    <hyperlink ref="H850" r:id="rId847"/>
    <hyperlink ref="H851" r:id="rId848"/>
    <hyperlink ref="H852" r:id="rId849"/>
    <hyperlink ref="H853" r:id="rId850"/>
    <hyperlink ref="H854" r:id="rId851"/>
    <hyperlink ref="H855" r:id="rId852"/>
    <hyperlink ref="H856" r:id="rId853"/>
    <hyperlink ref="H857" r:id="rId854"/>
    <hyperlink ref="H858" r:id="rId855"/>
    <hyperlink ref="H859" r:id="rId856"/>
    <hyperlink ref="H860" r:id="rId857"/>
    <hyperlink ref="H861" r:id="rId858"/>
    <hyperlink ref="H862" r:id="rId859"/>
    <hyperlink ref="H863" r:id="rId860"/>
    <hyperlink ref="H864" r:id="rId861"/>
    <hyperlink ref="H865" r:id="rId862"/>
    <hyperlink ref="H866" r:id="rId863"/>
    <hyperlink ref="H867" r:id="rId864"/>
    <hyperlink ref="H868" r:id="rId865"/>
    <hyperlink ref="H869" r:id="rId866"/>
    <hyperlink ref="H870" r:id="rId867"/>
    <hyperlink ref="H871" r:id="rId868"/>
    <hyperlink ref="H872" r:id="rId869"/>
    <hyperlink ref="H873" r:id="rId870"/>
    <hyperlink ref="H874" r:id="rId871"/>
    <hyperlink ref="H875" r:id="rId872"/>
    <hyperlink ref="H876" r:id="rId873"/>
    <hyperlink ref="H877" r:id="rId874"/>
    <hyperlink ref="H878" r:id="rId875"/>
    <hyperlink ref="H879" r:id="rId876"/>
    <hyperlink ref="H880" r:id="rId877"/>
    <hyperlink ref="H881" r:id="rId878"/>
    <hyperlink ref="H882" r:id="rId879"/>
    <hyperlink ref="H883" r:id="rId880"/>
    <hyperlink ref="H884" r:id="rId881"/>
    <hyperlink ref="H885" r:id="rId882"/>
    <hyperlink ref="H886" r:id="rId883"/>
    <hyperlink ref="H887" r:id="rId884"/>
    <hyperlink ref="H888" r:id="rId885"/>
    <hyperlink ref="H889" r:id="rId886"/>
    <hyperlink ref="H890" r:id="rId887"/>
    <hyperlink ref="H891" r:id="rId888"/>
    <hyperlink ref="H892" r:id="rId889"/>
    <hyperlink ref="H893" r:id="rId890"/>
    <hyperlink ref="H894" r:id="rId891"/>
    <hyperlink ref="H895" r:id="rId892"/>
    <hyperlink ref="H896" r:id="rId893"/>
    <hyperlink ref="H897" r:id="rId894"/>
    <hyperlink ref="H898" r:id="rId895"/>
    <hyperlink ref="H899" r:id="rId896"/>
    <hyperlink ref="H900" r:id="rId897"/>
    <hyperlink ref="H901" r:id="rId898"/>
    <hyperlink ref="H902" r:id="rId899"/>
    <hyperlink ref="H903" r:id="rId900"/>
    <hyperlink ref="H904" r:id="rId901"/>
    <hyperlink ref="H905" r:id="rId902"/>
    <hyperlink ref="H906" r:id="rId903"/>
    <hyperlink ref="H907" r:id="rId904"/>
    <hyperlink ref="H908" r:id="rId905"/>
    <hyperlink ref="H909" r:id="rId906"/>
    <hyperlink ref="H910" r:id="rId907"/>
    <hyperlink ref="H911" r:id="rId908"/>
    <hyperlink ref="H912" r:id="rId909"/>
    <hyperlink ref="H913" r:id="rId910"/>
    <hyperlink ref="H914" r:id="rId911"/>
    <hyperlink ref="H915" r:id="rId912"/>
    <hyperlink ref="H916" r:id="rId913"/>
    <hyperlink ref="H917" r:id="rId914"/>
    <hyperlink ref="H918" r:id="rId915"/>
    <hyperlink ref="H919" r:id="rId916"/>
    <hyperlink ref="H920" r:id="rId917"/>
    <hyperlink ref="H921" r:id="rId918"/>
    <hyperlink ref="H922" r:id="rId919"/>
    <hyperlink ref="H923" r:id="rId920"/>
    <hyperlink ref="H924" r:id="rId921"/>
    <hyperlink ref="H925" r:id="rId922"/>
    <hyperlink ref="H926" r:id="rId923"/>
    <hyperlink ref="H927" r:id="rId924"/>
    <hyperlink ref="H928" r:id="rId925"/>
    <hyperlink ref="H929" r:id="rId926"/>
    <hyperlink ref="H930" r:id="rId927"/>
    <hyperlink ref="H931" r:id="rId928"/>
    <hyperlink ref="H932" r:id="rId929"/>
    <hyperlink ref="H933" r:id="rId930"/>
    <hyperlink ref="H934" r:id="rId931"/>
    <hyperlink ref="H935" r:id="rId932"/>
    <hyperlink ref="H936" r:id="rId933"/>
    <hyperlink ref="H937" r:id="rId934"/>
    <hyperlink ref="H938" r:id="rId935"/>
    <hyperlink ref="H939" r:id="rId936"/>
    <hyperlink ref="H940" r:id="rId937"/>
    <hyperlink ref="H941" r:id="rId938"/>
    <hyperlink ref="H942" r:id="rId939"/>
    <hyperlink ref="H943" r:id="rId940"/>
    <hyperlink ref="H944" r:id="rId941"/>
    <hyperlink ref="H945" r:id="rId942"/>
    <hyperlink ref="H946" r:id="rId943"/>
    <hyperlink ref="H947" r:id="rId944"/>
    <hyperlink ref="H948" r:id="rId945"/>
    <hyperlink ref="H949" r:id="rId946"/>
    <hyperlink ref="H950" r:id="rId947"/>
    <hyperlink ref="H951" r:id="rId948"/>
    <hyperlink ref="H952" r:id="rId949"/>
    <hyperlink ref="H953" r:id="rId950"/>
    <hyperlink ref="H954" r:id="rId951"/>
    <hyperlink ref="H955" r:id="rId952"/>
    <hyperlink ref="H956" r:id="rId953"/>
    <hyperlink ref="H957" r:id="rId954"/>
    <hyperlink ref="H958" r:id="rId955"/>
    <hyperlink ref="H959" r:id="rId956"/>
    <hyperlink ref="H960" r:id="rId957"/>
    <hyperlink ref="H961" r:id="rId958"/>
    <hyperlink ref="H962" r:id="rId959"/>
    <hyperlink ref="H963" r:id="rId960"/>
    <hyperlink ref="H964" r:id="rId961"/>
    <hyperlink ref="H965" r:id="rId962"/>
    <hyperlink ref="H966" r:id="rId963"/>
    <hyperlink ref="H967" r:id="rId964"/>
    <hyperlink ref="H968" r:id="rId965"/>
    <hyperlink ref="H969" r:id="rId966"/>
    <hyperlink ref="H970" r:id="rId967"/>
    <hyperlink ref="H971" r:id="rId968"/>
    <hyperlink ref="H972" r:id="rId969"/>
    <hyperlink ref="H973" r:id="rId970"/>
    <hyperlink ref="H974" r:id="rId971"/>
    <hyperlink ref="H975" r:id="rId972"/>
    <hyperlink ref="H976" r:id="rId973"/>
    <hyperlink ref="H977" r:id="rId974"/>
    <hyperlink ref="H978" r:id="rId975"/>
    <hyperlink ref="H979" r:id="rId976"/>
    <hyperlink ref="H980" r:id="rId977"/>
    <hyperlink ref="H981" r:id="rId978"/>
    <hyperlink ref="H982" r:id="rId979"/>
  </hyperlinks>
  <pageMargins left="0.7" right="0.7" top="0.75" bottom="0.75" header="0" footer="0"/>
  <pageSetup paperSize="9" orientation="landscape"/>
  <legacyDrawing r:id="rId98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5029</v>
      </c>
      <c r="B1" s="290"/>
      <c r="C1" s="290"/>
      <c r="D1" s="290"/>
      <c r="E1" s="290"/>
      <c r="F1" s="290"/>
      <c r="G1" s="290"/>
      <c r="H1" s="290"/>
      <c r="J1" s="18" t="s">
        <v>1375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24" t="s">
        <v>2</v>
      </c>
      <c r="B3" s="225" t="s">
        <v>4</v>
      </c>
      <c r="C3" s="225" t="s">
        <v>5</v>
      </c>
      <c r="D3" s="225" t="s">
        <v>6</v>
      </c>
      <c r="E3" s="225" t="s">
        <v>7</v>
      </c>
      <c r="F3" s="225" t="s">
        <v>8</v>
      </c>
      <c r="G3" s="225" t="s">
        <v>9</v>
      </c>
      <c r="H3" s="226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si="0">IF(B4="","",ROW(B4)-3)</f>
        <v>1</v>
      </c>
      <c r="B4" s="31" t="s">
        <v>1376</v>
      </c>
      <c r="C4" s="19" t="s">
        <v>1377</v>
      </c>
      <c r="D4" s="20" t="s">
        <v>1378</v>
      </c>
      <c r="E4" s="39" t="s">
        <v>416</v>
      </c>
      <c r="F4" s="206" t="s">
        <v>53</v>
      </c>
      <c r="G4" s="116" t="s">
        <v>1379</v>
      </c>
      <c r="H4" s="24" t="s">
        <v>55</v>
      </c>
    </row>
    <row r="5" spans="1:26" ht="26.25" customHeight="1">
      <c r="A5" s="154">
        <f t="shared" si="0"/>
        <v>2</v>
      </c>
      <c r="B5" s="31" t="s">
        <v>1911</v>
      </c>
      <c r="C5" s="19" t="s">
        <v>1068</v>
      </c>
      <c r="D5" s="20" t="s">
        <v>1912</v>
      </c>
      <c r="E5" s="39" t="s">
        <v>1913</v>
      </c>
      <c r="F5" s="206" t="s">
        <v>1086</v>
      </c>
      <c r="G5" s="116" t="s">
        <v>1914</v>
      </c>
      <c r="H5" s="24" t="s">
        <v>55</v>
      </c>
    </row>
    <row r="6" spans="1:26" ht="26.25" customHeight="1">
      <c r="A6" s="154">
        <f t="shared" si="0"/>
        <v>3</v>
      </c>
      <c r="B6" s="31" t="s">
        <v>2217</v>
      </c>
      <c r="C6" s="19" t="s">
        <v>2218</v>
      </c>
      <c r="D6" s="20" t="s">
        <v>2219</v>
      </c>
      <c r="E6" s="39" t="s">
        <v>1921</v>
      </c>
      <c r="F6" s="206" t="s">
        <v>31</v>
      </c>
      <c r="G6" s="116" t="s">
        <v>2220</v>
      </c>
      <c r="H6" s="24" t="s">
        <v>55</v>
      </c>
    </row>
    <row r="7" spans="1:26" ht="26.25" customHeight="1">
      <c r="A7" s="154">
        <f t="shared" si="0"/>
        <v>4</v>
      </c>
      <c r="B7" s="19" t="s">
        <v>2376</v>
      </c>
      <c r="C7" s="19" t="s">
        <v>2377</v>
      </c>
      <c r="D7" s="20" t="s">
        <v>2378</v>
      </c>
      <c r="E7" s="39" t="s">
        <v>52</v>
      </c>
      <c r="F7" s="206" t="s">
        <v>31</v>
      </c>
      <c r="G7" s="116" t="s">
        <v>2379</v>
      </c>
      <c r="H7" s="24" t="s">
        <v>20</v>
      </c>
    </row>
    <row r="8" spans="1:26" ht="26.25" customHeight="1">
      <c r="A8" s="154">
        <f t="shared" si="0"/>
        <v>5</v>
      </c>
      <c r="B8" s="19" t="s">
        <v>2380</v>
      </c>
      <c r="C8" s="19" t="s">
        <v>2377</v>
      </c>
      <c r="D8" s="20" t="s">
        <v>2381</v>
      </c>
      <c r="E8" s="39" t="s">
        <v>4992</v>
      </c>
      <c r="F8" s="206" t="s">
        <v>31</v>
      </c>
      <c r="G8" s="116" t="s">
        <v>2383</v>
      </c>
      <c r="H8" s="24" t="s">
        <v>20</v>
      </c>
    </row>
    <row r="9" spans="1:26" ht="26.25" customHeight="1">
      <c r="A9" s="154">
        <f t="shared" si="0"/>
        <v>6</v>
      </c>
      <c r="B9" s="19" t="s">
        <v>2521</v>
      </c>
      <c r="C9" s="19" t="s">
        <v>939</v>
      </c>
      <c r="D9" s="20" t="s">
        <v>2522</v>
      </c>
      <c r="E9" s="39" t="s">
        <v>4960</v>
      </c>
      <c r="F9" s="206" t="s">
        <v>42</v>
      </c>
      <c r="G9" s="116" t="s">
        <v>2524</v>
      </c>
      <c r="H9" s="24" t="s">
        <v>20</v>
      </c>
    </row>
    <row r="10" spans="1:26" ht="26.25" customHeight="1">
      <c r="A10" s="154">
        <f t="shared" si="0"/>
        <v>7</v>
      </c>
      <c r="B10" s="31" t="s">
        <v>2537</v>
      </c>
      <c r="C10" s="19" t="s">
        <v>2538</v>
      </c>
      <c r="D10" s="20" t="s">
        <v>767</v>
      </c>
      <c r="E10" s="39" t="s">
        <v>1033</v>
      </c>
      <c r="F10" s="206" t="s">
        <v>53</v>
      </c>
      <c r="G10" s="116" t="s">
        <v>2539</v>
      </c>
      <c r="H10" s="24" t="s">
        <v>55</v>
      </c>
    </row>
    <row r="11" spans="1:26" ht="26.25" customHeight="1">
      <c r="A11" s="154">
        <f t="shared" si="0"/>
        <v>8</v>
      </c>
      <c r="B11" s="31" t="s">
        <v>2584</v>
      </c>
      <c r="C11" s="19" t="s">
        <v>2585</v>
      </c>
      <c r="D11" s="20" t="s">
        <v>2586</v>
      </c>
      <c r="E11" s="39" t="s">
        <v>428</v>
      </c>
      <c r="F11" s="206" t="s">
        <v>53</v>
      </c>
      <c r="G11" s="116" t="s">
        <v>2587</v>
      </c>
      <c r="H11" s="24" t="s">
        <v>55</v>
      </c>
    </row>
    <row r="12" spans="1:26" ht="26.25" customHeight="1">
      <c r="A12" s="154">
        <f t="shared" si="0"/>
        <v>9</v>
      </c>
      <c r="B12" s="31" t="s">
        <v>2588</v>
      </c>
      <c r="C12" s="19" t="s">
        <v>2589</v>
      </c>
      <c r="D12" s="20" t="s">
        <v>264</v>
      </c>
      <c r="E12" s="39" t="s">
        <v>142</v>
      </c>
      <c r="F12" s="206" t="s">
        <v>63</v>
      </c>
      <c r="G12" s="116" t="s">
        <v>2590</v>
      </c>
      <c r="H12" s="24" t="s">
        <v>55</v>
      </c>
    </row>
    <row r="13" spans="1:26" ht="26.25" customHeight="1">
      <c r="A13" s="154">
        <f t="shared" si="0"/>
        <v>10</v>
      </c>
      <c r="B13" s="31" t="s">
        <v>2591</v>
      </c>
      <c r="C13" s="19" t="s">
        <v>2592</v>
      </c>
      <c r="D13" s="20" t="s">
        <v>2593</v>
      </c>
      <c r="E13" s="39">
        <v>2013</v>
      </c>
      <c r="F13" s="206" t="s">
        <v>53</v>
      </c>
      <c r="G13" s="116" t="s">
        <v>2594</v>
      </c>
      <c r="H13" s="24" t="s">
        <v>55</v>
      </c>
    </row>
    <row r="14" spans="1:26" ht="26.25" customHeight="1">
      <c r="A14" s="154">
        <f t="shared" si="0"/>
        <v>11</v>
      </c>
      <c r="B14" s="19" t="s">
        <v>2595</v>
      </c>
      <c r="C14" s="19" t="s">
        <v>2377</v>
      </c>
      <c r="D14" s="20" t="s">
        <v>2596</v>
      </c>
      <c r="E14" s="39" t="s">
        <v>52</v>
      </c>
      <c r="F14" s="206" t="s">
        <v>53</v>
      </c>
      <c r="G14" s="116" t="s">
        <v>2597</v>
      </c>
      <c r="H14" s="24" t="s">
        <v>20</v>
      </c>
    </row>
    <row r="15" spans="1:26" ht="26.25" customHeight="1">
      <c r="A15" s="154">
        <f t="shared" si="0"/>
        <v>12</v>
      </c>
      <c r="B15" s="31" t="s">
        <v>1124</v>
      </c>
      <c r="C15" s="19" t="s">
        <v>2598</v>
      </c>
      <c r="D15" s="20" t="s">
        <v>1126</v>
      </c>
      <c r="E15" s="39" t="s">
        <v>170</v>
      </c>
      <c r="F15" s="206" t="s">
        <v>42</v>
      </c>
      <c r="G15" s="116" t="s">
        <v>2599</v>
      </c>
      <c r="H15" s="24" t="s">
        <v>55</v>
      </c>
    </row>
    <row r="16" spans="1:26" ht="26.25" customHeight="1">
      <c r="A16" s="154">
        <f t="shared" si="0"/>
        <v>13</v>
      </c>
      <c r="B16" s="19" t="s">
        <v>2756</v>
      </c>
      <c r="C16" s="19" t="s">
        <v>2757</v>
      </c>
      <c r="D16" s="20" t="s">
        <v>2758</v>
      </c>
      <c r="E16" s="39" t="s">
        <v>52</v>
      </c>
      <c r="F16" s="206" t="s">
        <v>53</v>
      </c>
      <c r="G16" s="116" t="s">
        <v>2759</v>
      </c>
      <c r="H16" s="24" t="s">
        <v>20</v>
      </c>
    </row>
    <row r="17" spans="1:8" ht="26.25" customHeight="1">
      <c r="A17" s="154">
        <f t="shared" si="0"/>
        <v>14</v>
      </c>
      <c r="B17" s="19" t="s">
        <v>2961</v>
      </c>
      <c r="C17" s="19" t="s">
        <v>141</v>
      </c>
      <c r="D17" s="20" t="s">
        <v>2962</v>
      </c>
      <c r="E17" s="39" t="s">
        <v>5030</v>
      </c>
      <c r="F17" s="206" t="s">
        <v>42</v>
      </c>
      <c r="G17" s="116" t="s">
        <v>2964</v>
      </c>
      <c r="H17" s="24" t="s">
        <v>20</v>
      </c>
    </row>
    <row r="18" spans="1:8" ht="26.25" customHeight="1">
      <c r="A18" s="154">
        <f t="shared" si="0"/>
        <v>15</v>
      </c>
      <c r="B18" s="31" t="s">
        <v>2968</v>
      </c>
      <c r="C18" s="19" t="s">
        <v>2969</v>
      </c>
      <c r="D18" s="20" t="s">
        <v>2970</v>
      </c>
      <c r="E18" s="39" t="s">
        <v>1913</v>
      </c>
      <c r="F18" s="206" t="s">
        <v>53</v>
      </c>
      <c r="G18" s="116" t="s">
        <v>2971</v>
      </c>
      <c r="H18" s="24" t="s">
        <v>55</v>
      </c>
    </row>
    <row r="19" spans="1:8" ht="26.25" customHeight="1">
      <c r="A19" s="154">
        <f t="shared" si="0"/>
        <v>16</v>
      </c>
      <c r="B19" s="31" t="s">
        <v>2972</v>
      </c>
      <c r="C19" s="19" t="s">
        <v>2969</v>
      </c>
      <c r="D19" s="20" t="s">
        <v>2973</v>
      </c>
      <c r="E19" s="39" t="s">
        <v>2974</v>
      </c>
      <c r="F19" s="206" t="s">
        <v>53</v>
      </c>
      <c r="G19" s="116" t="s">
        <v>2975</v>
      </c>
      <c r="H19" s="24" t="s">
        <v>55</v>
      </c>
    </row>
    <row r="20" spans="1:8" ht="26.25" customHeight="1">
      <c r="A20" s="154">
        <f t="shared" si="0"/>
        <v>17</v>
      </c>
      <c r="B20" s="31" t="s">
        <v>1538</v>
      </c>
      <c r="C20" s="19" t="s">
        <v>3115</v>
      </c>
      <c r="D20" s="20" t="s">
        <v>1540</v>
      </c>
      <c r="E20" s="39" t="s">
        <v>178</v>
      </c>
      <c r="F20" s="206" t="s">
        <v>53</v>
      </c>
      <c r="G20" s="116" t="s">
        <v>3116</v>
      </c>
      <c r="H20" s="95" t="s">
        <v>20</v>
      </c>
    </row>
    <row r="21" spans="1:8" ht="26.25" customHeight="1">
      <c r="A21" s="154">
        <f t="shared" si="0"/>
        <v>18</v>
      </c>
      <c r="B21" s="31" t="s">
        <v>3127</v>
      </c>
      <c r="C21" s="19" t="s">
        <v>124</v>
      </c>
      <c r="D21" s="20" t="s">
        <v>3128</v>
      </c>
      <c r="E21" s="39" t="s">
        <v>1913</v>
      </c>
      <c r="F21" s="206" t="s">
        <v>1086</v>
      </c>
      <c r="G21" s="116" t="s">
        <v>3129</v>
      </c>
      <c r="H21" s="24" t="s">
        <v>55</v>
      </c>
    </row>
    <row r="22" spans="1:8" ht="26.25" customHeight="1">
      <c r="A22" s="154">
        <f t="shared" si="0"/>
        <v>19</v>
      </c>
      <c r="B22" s="31" t="s">
        <v>3130</v>
      </c>
      <c r="C22" s="19" t="s">
        <v>3131</v>
      </c>
      <c r="D22" s="20" t="s">
        <v>1152</v>
      </c>
      <c r="E22" s="39" t="s">
        <v>170</v>
      </c>
      <c r="F22" s="206" t="s">
        <v>63</v>
      </c>
      <c r="G22" s="116" t="s">
        <v>3132</v>
      </c>
      <c r="H22" s="24" t="s">
        <v>55</v>
      </c>
    </row>
    <row r="23" spans="1:8" ht="26.25" customHeight="1">
      <c r="A23" s="154">
        <f t="shared" si="0"/>
        <v>20</v>
      </c>
      <c r="B23" s="19" t="s">
        <v>3133</v>
      </c>
      <c r="C23" s="19" t="s">
        <v>124</v>
      </c>
      <c r="D23" s="20" t="s">
        <v>3134</v>
      </c>
      <c r="E23" s="39" t="s">
        <v>2890</v>
      </c>
      <c r="F23" s="206" t="s">
        <v>42</v>
      </c>
      <c r="G23" s="116" t="s">
        <v>3135</v>
      </c>
      <c r="H23" s="24" t="s">
        <v>20</v>
      </c>
    </row>
    <row r="24" spans="1:8" ht="26.25" customHeight="1">
      <c r="A24" s="154">
        <f t="shared" si="0"/>
        <v>21</v>
      </c>
      <c r="B24" s="31" t="s">
        <v>3275</v>
      </c>
      <c r="C24" s="19" t="s">
        <v>3276</v>
      </c>
      <c r="D24" s="20" t="s">
        <v>3277</v>
      </c>
      <c r="E24" s="39" t="s">
        <v>3278</v>
      </c>
      <c r="F24" s="206" t="s">
        <v>53</v>
      </c>
      <c r="G24" s="116" t="s">
        <v>3279</v>
      </c>
      <c r="H24" s="24" t="s">
        <v>55</v>
      </c>
    </row>
    <row r="25" spans="1:8" ht="26.25" customHeight="1">
      <c r="A25" s="154">
        <f t="shared" si="0"/>
        <v>22</v>
      </c>
      <c r="B25" s="19" t="s">
        <v>3398</v>
      </c>
      <c r="C25" s="19" t="s">
        <v>45</v>
      </c>
      <c r="D25" s="20" t="s">
        <v>3399</v>
      </c>
      <c r="E25" s="39" t="s">
        <v>52</v>
      </c>
      <c r="F25" s="206" t="s">
        <v>42</v>
      </c>
      <c r="G25" s="116" t="s">
        <v>3400</v>
      </c>
      <c r="H25" s="24" t="s">
        <v>20</v>
      </c>
    </row>
    <row r="26" spans="1:8" ht="26.25" customHeight="1">
      <c r="A26" s="154">
        <f t="shared" si="0"/>
        <v>23</v>
      </c>
      <c r="B26" s="31" t="s">
        <v>3418</v>
      </c>
      <c r="C26" s="19" t="s">
        <v>1162</v>
      </c>
      <c r="D26" s="20" t="s">
        <v>1163</v>
      </c>
      <c r="E26" s="39" t="s">
        <v>3419</v>
      </c>
      <c r="F26" s="206" t="s">
        <v>53</v>
      </c>
      <c r="G26" s="116" t="s">
        <v>3420</v>
      </c>
      <c r="H26" s="24" t="s">
        <v>55</v>
      </c>
    </row>
    <row r="27" spans="1:8" ht="26.25" customHeight="1">
      <c r="A27" s="154">
        <f t="shared" si="0"/>
        <v>24</v>
      </c>
      <c r="B27" s="31" t="s">
        <v>3446</v>
      </c>
      <c r="C27" s="19" t="s">
        <v>3447</v>
      </c>
      <c r="D27" s="20" t="s">
        <v>3448</v>
      </c>
      <c r="E27" s="39" t="s">
        <v>3449</v>
      </c>
      <c r="F27" s="206" t="s">
        <v>53</v>
      </c>
      <c r="G27" s="116" t="s">
        <v>3450</v>
      </c>
      <c r="H27" s="24" t="s">
        <v>55</v>
      </c>
    </row>
    <row r="28" spans="1:8" ht="26.25" customHeight="1">
      <c r="A28" s="154">
        <f t="shared" si="0"/>
        <v>25</v>
      </c>
      <c r="B28" s="31" t="s">
        <v>3451</v>
      </c>
      <c r="C28" s="19" t="s">
        <v>3452</v>
      </c>
      <c r="D28" s="20" t="s">
        <v>3453</v>
      </c>
      <c r="E28" s="39" t="s">
        <v>3454</v>
      </c>
      <c r="F28" s="206" t="s">
        <v>53</v>
      </c>
      <c r="G28" s="116" t="s">
        <v>3455</v>
      </c>
      <c r="H28" s="24" t="s">
        <v>55</v>
      </c>
    </row>
    <row r="29" spans="1:8" ht="26.25" customHeight="1">
      <c r="A29" s="154">
        <f t="shared" si="0"/>
        <v>26</v>
      </c>
      <c r="B29" s="19" t="s">
        <v>3478</v>
      </c>
      <c r="C29" s="19" t="s">
        <v>1162</v>
      </c>
      <c r="D29" s="20" t="s">
        <v>3479</v>
      </c>
      <c r="E29" s="39" t="s">
        <v>186</v>
      </c>
      <c r="F29" s="206" t="s">
        <v>31</v>
      </c>
      <c r="G29" s="116" t="s">
        <v>3480</v>
      </c>
      <c r="H29" s="24" t="s">
        <v>20</v>
      </c>
    </row>
    <row r="30" spans="1:8" ht="26.25" customHeight="1">
      <c r="A30" s="154">
        <f t="shared" si="0"/>
        <v>27</v>
      </c>
      <c r="B30" s="31" t="s">
        <v>3509</v>
      </c>
      <c r="C30" s="19" t="s">
        <v>1162</v>
      </c>
      <c r="D30" s="20" t="s">
        <v>3510</v>
      </c>
      <c r="E30" s="39" t="s">
        <v>2718</v>
      </c>
      <c r="F30" s="206" t="s">
        <v>53</v>
      </c>
      <c r="G30" s="116" t="s">
        <v>3511</v>
      </c>
      <c r="H30" s="24" t="s">
        <v>55</v>
      </c>
    </row>
    <row r="31" spans="1:8" ht="26.25" customHeight="1">
      <c r="A31" s="154">
        <f t="shared" si="0"/>
        <v>28</v>
      </c>
      <c r="B31" s="19" t="s">
        <v>3603</v>
      </c>
      <c r="C31" s="19" t="s">
        <v>3604</v>
      </c>
      <c r="D31" s="20" t="s">
        <v>1881</v>
      </c>
      <c r="E31" s="39" t="s">
        <v>178</v>
      </c>
      <c r="F31" s="206" t="s">
        <v>53</v>
      </c>
      <c r="G31" s="116" t="s">
        <v>3605</v>
      </c>
      <c r="H31" s="24" t="s">
        <v>20</v>
      </c>
    </row>
    <row r="32" spans="1:8" ht="26.25" customHeight="1">
      <c r="A32" s="154">
        <f t="shared" si="0"/>
        <v>29</v>
      </c>
      <c r="B32" s="31" t="s">
        <v>3606</v>
      </c>
      <c r="C32" s="19" t="s">
        <v>3607</v>
      </c>
      <c r="D32" s="20" t="s">
        <v>3608</v>
      </c>
      <c r="E32" s="39" t="s">
        <v>3609</v>
      </c>
      <c r="F32" s="206" t="s">
        <v>53</v>
      </c>
      <c r="G32" s="116" t="s">
        <v>3610</v>
      </c>
      <c r="H32" s="24" t="s">
        <v>55</v>
      </c>
    </row>
    <row r="33" spans="1:8" ht="26.25" customHeight="1">
      <c r="A33" s="154">
        <f t="shared" si="0"/>
        <v>30</v>
      </c>
      <c r="B33" s="31" t="s">
        <v>3685</v>
      </c>
      <c r="C33" s="19" t="s">
        <v>3686</v>
      </c>
      <c r="D33" s="20" t="s">
        <v>3687</v>
      </c>
      <c r="E33" s="39" t="s">
        <v>3688</v>
      </c>
      <c r="F33" s="206" t="s">
        <v>53</v>
      </c>
      <c r="G33" s="116" t="s">
        <v>3689</v>
      </c>
      <c r="H33" s="24" t="s">
        <v>55</v>
      </c>
    </row>
    <row r="34" spans="1:8" ht="26.25" customHeight="1">
      <c r="A34" s="154">
        <f t="shared" si="0"/>
        <v>31</v>
      </c>
      <c r="B34" s="19" t="s">
        <v>3987</v>
      </c>
      <c r="C34" s="19" t="s">
        <v>2538</v>
      </c>
      <c r="D34" s="20" t="s">
        <v>3988</v>
      </c>
      <c r="E34" s="39" t="s">
        <v>2504</v>
      </c>
      <c r="F34" s="206" t="s">
        <v>53</v>
      </c>
      <c r="G34" s="116" t="s">
        <v>3989</v>
      </c>
      <c r="H34" s="24" t="s">
        <v>20</v>
      </c>
    </row>
    <row r="35" spans="1:8" ht="26.25" customHeight="1">
      <c r="A35" s="154">
        <f t="shared" si="0"/>
        <v>32</v>
      </c>
      <c r="B35" s="31" t="s">
        <v>4026</v>
      </c>
      <c r="C35" s="19" t="s">
        <v>2757</v>
      </c>
      <c r="D35" s="20" t="s">
        <v>4027</v>
      </c>
      <c r="E35" s="39" t="s">
        <v>222</v>
      </c>
      <c r="F35" s="206" t="s">
        <v>53</v>
      </c>
      <c r="G35" s="116" t="s">
        <v>4028</v>
      </c>
      <c r="H35" s="24" t="s">
        <v>55</v>
      </c>
    </row>
    <row r="36" spans="1:8" ht="26.25" customHeight="1">
      <c r="A36" s="159">
        <f t="shared" si="0"/>
        <v>33</v>
      </c>
      <c r="B36" s="85" t="s">
        <v>4029</v>
      </c>
      <c r="C36" s="160" t="s">
        <v>4030</v>
      </c>
      <c r="D36" s="113" t="s">
        <v>1597</v>
      </c>
      <c r="E36" s="227" t="s">
        <v>3522</v>
      </c>
      <c r="F36" s="206" t="s">
        <v>53</v>
      </c>
      <c r="G36" s="228" t="s">
        <v>4031</v>
      </c>
      <c r="H36" s="195" t="s">
        <v>55</v>
      </c>
    </row>
    <row r="37" spans="1:8" ht="26.25" customHeight="1">
      <c r="A37" s="161">
        <f t="shared" si="0"/>
        <v>34</v>
      </c>
      <c r="B37" s="185" t="s">
        <v>4285</v>
      </c>
      <c r="C37" s="118" t="s">
        <v>4286</v>
      </c>
      <c r="D37" s="119" t="s">
        <v>4287</v>
      </c>
      <c r="E37" s="212" t="s">
        <v>4288</v>
      </c>
      <c r="F37" s="213" t="s">
        <v>53</v>
      </c>
      <c r="G37" s="214" t="s">
        <v>4289</v>
      </c>
      <c r="H37" s="165" t="s">
        <v>55</v>
      </c>
    </row>
    <row r="38" spans="1:8" ht="17.25" customHeight="1">
      <c r="A38" s="46" t="str">
        <f t="shared" si="0"/>
        <v/>
      </c>
      <c r="B38" s="221"/>
      <c r="C38" s="215"/>
      <c r="D38" s="1"/>
      <c r="E38" s="216"/>
      <c r="F38" s="217"/>
      <c r="G38" s="108"/>
      <c r="H38" s="1"/>
    </row>
    <row r="39" spans="1:8" ht="17.25" customHeight="1">
      <c r="A39" s="46" t="str">
        <f t="shared" si="0"/>
        <v/>
      </c>
      <c r="B39" s="215"/>
      <c r="C39" s="215"/>
      <c r="D39" s="1"/>
      <c r="E39" s="216"/>
      <c r="F39" s="217"/>
      <c r="G39" s="108"/>
      <c r="H39" s="1"/>
    </row>
    <row r="40" spans="1:8" ht="17.25" customHeight="1">
      <c r="A40" s="46" t="str">
        <f t="shared" si="0"/>
        <v/>
      </c>
      <c r="B40" s="221"/>
      <c r="C40" s="215"/>
      <c r="D40" s="1"/>
      <c r="E40" s="216"/>
      <c r="F40" s="217"/>
      <c r="G40" s="108"/>
      <c r="H40" s="1"/>
    </row>
    <row r="41" spans="1:8" ht="17.25" customHeight="1">
      <c r="A41" s="46" t="str">
        <f t="shared" si="0"/>
        <v/>
      </c>
      <c r="B41" s="215"/>
      <c r="C41" s="215"/>
      <c r="D41" s="1"/>
      <c r="E41" s="216"/>
      <c r="F41" s="217"/>
      <c r="G41" s="108"/>
      <c r="H41" s="1"/>
    </row>
    <row r="42" spans="1:8" ht="17.25" customHeight="1">
      <c r="A42" s="46" t="str">
        <f t="shared" si="0"/>
        <v/>
      </c>
      <c r="B42" s="215"/>
      <c r="C42" s="215"/>
      <c r="D42" s="1"/>
      <c r="E42" s="216"/>
      <c r="F42" s="217"/>
      <c r="G42" s="108"/>
      <c r="H42" s="1"/>
    </row>
    <row r="43" spans="1:8" ht="17.25" customHeight="1">
      <c r="A43" s="46" t="str">
        <f t="shared" si="0"/>
        <v/>
      </c>
      <c r="B43" s="215"/>
      <c r="C43" s="215"/>
      <c r="D43" s="1"/>
      <c r="E43" s="216"/>
      <c r="F43" s="217"/>
      <c r="G43" s="108"/>
      <c r="H43" s="1"/>
    </row>
    <row r="44" spans="1:8" ht="17.25" customHeight="1">
      <c r="A44" s="46" t="str">
        <f t="shared" si="0"/>
        <v/>
      </c>
      <c r="B44" s="221"/>
      <c r="C44" s="215"/>
      <c r="D44" s="1"/>
      <c r="E44" s="216"/>
      <c r="F44" s="217"/>
      <c r="G44" s="108"/>
      <c r="H44" s="1"/>
    </row>
    <row r="45" spans="1:8" ht="17.25" customHeight="1">
      <c r="A45" s="46" t="str">
        <f t="shared" si="0"/>
        <v/>
      </c>
      <c r="B45" s="215"/>
      <c r="C45" s="215"/>
      <c r="D45" s="1"/>
      <c r="E45" s="216"/>
      <c r="F45" s="217"/>
      <c r="G45" s="108"/>
      <c r="H45" s="1"/>
    </row>
    <row r="46" spans="1:8" ht="17.25" customHeight="1">
      <c r="A46" s="46" t="str">
        <f t="shared" si="0"/>
        <v/>
      </c>
      <c r="B46" s="215"/>
      <c r="C46" s="215"/>
      <c r="D46" s="1"/>
      <c r="E46" s="216"/>
      <c r="F46" s="217"/>
      <c r="G46" s="108"/>
      <c r="H46" s="1"/>
    </row>
    <row r="47" spans="1:8" ht="17.25" customHeight="1">
      <c r="A47" s="46" t="str">
        <f t="shared" si="0"/>
        <v/>
      </c>
      <c r="B47" s="221"/>
      <c r="C47" s="215"/>
      <c r="D47" s="1"/>
      <c r="E47" s="216"/>
      <c r="F47" s="217"/>
      <c r="G47" s="108"/>
      <c r="H47" s="1"/>
    </row>
    <row r="48" spans="1:8" ht="17.25" customHeight="1">
      <c r="A48" s="46" t="str">
        <f t="shared" si="0"/>
        <v/>
      </c>
      <c r="B48" s="215"/>
      <c r="C48" s="215"/>
      <c r="D48" s="1"/>
      <c r="E48" s="216"/>
      <c r="F48" s="217"/>
      <c r="G48" s="108"/>
      <c r="H48" s="1"/>
    </row>
    <row r="49" spans="1:8" ht="17.25" customHeight="1">
      <c r="A49" s="46" t="str">
        <f t="shared" si="0"/>
        <v/>
      </c>
      <c r="B49" s="221"/>
      <c r="C49" s="215"/>
      <c r="D49" s="1"/>
      <c r="E49" s="216"/>
      <c r="F49" s="217"/>
      <c r="G49" s="108"/>
      <c r="H49" s="1"/>
    </row>
    <row r="50" spans="1:8" ht="17.25" customHeight="1">
      <c r="A50" s="46" t="str">
        <f t="shared" si="0"/>
        <v/>
      </c>
      <c r="B50" s="215"/>
      <c r="C50" s="215"/>
      <c r="D50" s="1"/>
      <c r="E50" s="216"/>
      <c r="F50" s="217"/>
      <c r="G50" s="108"/>
      <c r="H50" s="1"/>
    </row>
    <row r="51" spans="1:8" ht="17.25" customHeight="1">
      <c r="A51" s="46" t="str">
        <f t="shared" si="0"/>
        <v/>
      </c>
      <c r="B51" s="215"/>
      <c r="C51" s="215"/>
      <c r="D51" s="1"/>
      <c r="E51" s="216"/>
      <c r="F51" s="217"/>
      <c r="G51" s="108"/>
      <c r="H51" s="1"/>
    </row>
    <row r="52" spans="1:8" ht="17.25" customHeight="1">
      <c r="A52" s="46" t="str">
        <f t="shared" si="0"/>
        <v/>
      </c>
      <c r="B52" s="215"/>
      <c r="C52" s="215"/>
      <c r="D52" s="1"/>
      <c r="E52" s="216"/>
      <c r="F52" s="217"/>
      <c r="G52" s="108"/>
      <c r="H52" s="1"/>
    </row>
    <row r="53" spans="1:8" ht="17.25" customHeight="1">
      <c r="A53" s="46" t="str">
        <f t="shared" si="0"/>
        <v/>
      </c>
      <c r="B53" s="215"/>
      <c r="C53" s="215"/>
      <c r="D53" s="1"/>
      <c r="E53" s="216"/>
      <c r="F53" s="217"/>
      <c r="G53" s="108"/>
      <c r="H53" s="1"/>
    </row>
    <row r="54" spans="1:8" ht="17.25" customHeight="1">
      <c r="A54" s="46" t="str">
        <f t="shared" si="0"/>
        <v/>
      </c>
      <c r="B54" s="215"/>
      <c r="C54" s="215"/>
      <c r="D54" s="1"/>
      <c r="E54" s="216"/>
      <c r="F54" s="217"/>
      <c r="G54" s="108"/>
      <c r="H54" s="1"/>
    </row>
    <row r="55" spans="1:8" ht="17.25" customHeight="1">
      <c r="A55" s="46" t="str">
        <f t="shared" si="0"/>
        <v/>
      </c>
      <c r="B55" s="221"/>
      <c r="C55" s="215"/>
      <c r="D55" s="1"/>
      <c r="E55" s="216"/>
      <c r="F55" s="217"/>
      <c r="G55" s="108"/>
      <c r="H55" s="1"/>
    </row>
    <row r="56" spans="1:8" ht="17.25" customHeight="1">
      <c r="A56" s="46" t="str">
        <f t="shared" si="0"/>
        <v/>
      </c>
      <c r="B56" s="215"/>
      <c r="C56" s="215"/>
      <c r="D56" s="1"/>
      <c r="E56" s="216"/>
      <c r="F56" s="217"/>
      <c r="G56" s="108"/>
      <c r="H56" s="1"/>
    </row>
    <row r="57" spans="1:8" ht="17.25" customHeight="1">
      <c r="A57" s="46" t="str">
        <f t="shared" si="0"/>
        <v/>
      </c>
      <c r="B57" s="221"/>
      <c r="C57" s="215"/>
      <c r="D57" s="1"/>
      <c r="E57" s="216"/>
      <c r="F57" s="217"/>
      <c r="G57" s="108"/>
      <c r="H57" s="1"/>
    </row>
    <row r="58" spans="1:8" ht="17.25" customHeight="1">
      <c r="A58" s="46" t="str">
        <f t="shared" si="0"/>
        <v/>
      </c>
      <c r="B58" s="221"/>
      <c r="C58" s="215"/>
      <c r="D58" s="1"/>
      <c r="E58" s="216"/>
      <c r="F58" s="217"/>
      <c r="G58" s="108"/>
      <c r="H58" s="1"/>
    </row>
    <row r="59" spans="1:8" ht="17.25" customHeight="1">
      <c r="A59" s="46" t="str">
        <f t="shared" si="0"/>
        <v/>
      </c>
      <c r="B59" s="221"/>
      <c r="C59" s="215"/>
      <c r="D59" s="1"/>
      <c r="E59" s="216"/>
      <c r="F59" s="217"/>
      <c r="G59" s="108"/>
      <c r="H59" s="1"/>
    </row>
    <row r="60" spans="1:8" ht="17.25" customHeight="1">
      <c r="A60" s="46" t="str">
        <f t="shared" si="0"/>
        <v/>
      </c>
      <c r="B60" s="220"/>
      <c r="C60" s="216"/>
      <c r="D60" s="1"/>
      <c r="E60" s="229"/>
      <c r="F60" s="99"/>
      <c r="G60" s="230"/>
      <c r="H60" s="1"/>
    </row>
    <row r="61" spans="1:8" ht="17.25" customHeight="1">
      <c r="A61" s="46" t="str">
        <f t="shared" si="0"/>
        <v/>
      </c>
      <c r="B61" s="221"/>
      <c r="C61" s="215"/>
      <c r="D61" s="1"/>
      <c r="E61" s="216"/>
      <c r="F61" s="217"/>
      <c r="G61" s="108"/>
      <c r="H61" s="1"/>
    </row>
    <row r="62" spans="1:8" ht="17.25" customHeight="1">
      <c r="A62" s="46" t="str">
        <f t="shared" si="0"/>
        <v/>
      </c>
      <c r="B62" s="215"/>
      <c r="C62" s="215"/>
      <c r="D62" s="1"/>
      <c r="E62" s="216"/>
      <c r="F62" s="217"/>
      <c r="G62" s="108"/>
      <c r="H62" s="1"/>
    </row>
    <row r="63" spans="1:8" ht="17.25" customHeight="1">
      <c r="A63" s="46" t="str">
        <f t="shared" si="0"/>
        <v/>
      </c>
      <c r="B63" s="215"/>
      <c r="C63" s="215"/>
      <c r="D63" s="1"/>
      <c r="E63" s="216"/>
      <c r="F63" s="217"/>
      <c r="G63" s="108"/>
      <c r="H63" s="1"/>
    </row>
    <row r="64" spans="1:8" ht="17.25" customHeight="1">
      <c r="A64" s="46" t="str">
        <f t="shared" si="0"/>
        <v/>
      </c>
      <c r="B64" s="215"/>
      <c r="C64" s="215"/>
      <c r="D64" s="1"/>
      <c r="E64" s="216"/>
      <c r="F64" s="217"/>
      <c r="G64" s="108"/>
      <c r="H64" s="1"/>
    </row>
    <row r="65" spans="1:8" ht="17.25" customHeight="1">
      <c r="A65" s="46" t="str">
        <f t="shared" si="0"/>
        <v/>
      </c>
      <c r="B65" s="215"/>
      <c r="C65" s="215"/>
      <c r="D65" s="1"/>
      <c r="E65" s="216"/>
      <c r="F65" s="217"/>
      <c r="G65" s="108"/>
      <c r="H65" s="1"/>
    </row>
    <row r="66" spans="1:8" ht="17.25" customHeight="1">
      <c r="A66" s="46" t="str">
        <f t="shared" si="0"/>
        <v/>
      </c>
      <c r="B66" s="215"/>
      <c r="C66" s="215"/>
      <c r="D66" s="1"/>
      <c r="E66" s="216"/>
      <c r="F66" s="217"/>
      <c r="G66" s="108"/>
      <c r="H66" s="1"/>
    </row>
    <row r="67" spans="1:8" ht="17.25" customHeight="1">
      <c r="A67" s="46" t="str">
        <f t="shared" si="0"/>
        <v/>
      </c>
      <c r="B67" s="221"/>
      <c r="C67" s="215"/>
      <c r="D67" s="1"/>
      <c r="E67" s="216"/>
      <c r="F67" s="217"/>
      <c r="G67" s="108"/>
      <c r="H67" s="1"/>
    </row>
    <row r="68" spans="1:8" ht="17.25" customHeight="1">
      <c r="A68" s="46" t="str">
        <f t="shared" si="0"/>
        <v/>
      </c>
      <c r="B68" s="215"/>
      <c r="C68" s="215"/>
      <c r="D68" s="1"/>
      <c r="E68" s="216"/>
      <c r="F68" s="217"/>
      <c r="G68" s="108"/>
      <c r="H68" s="1"/>
    </row>
    <row r="69" spans="1:8" ht="17.25" customHeight="1">
      <c r="A69" s="46" t="str">
        <f t="shared" si="0"/>
        <v/>
      </c>
      <c r="B69" s="215"/>
      <c r="C69" s="215"/>
      <c r="D69" s="1"/>
      <c r="E69" s="216"/>
      <c r="F69" s="217"/>
      <c r="G69" s="108"/>
      <c r="H69" s="1"/>
    </row>
    <row r="70" spans="1:8" ht="17.25" customHeight="1">
      <c r="A70" s="46" t="str">
        <f t="shared" si="0"/>
        <v/>
      </c>
      <c r="B70" s="215"/>
      <c r="C70" s="215"/>
      <c r="D70" s="1"/>
      <c r="E70" s="216"/>
      <c r="F70" s="217"/>
      <c r="G70" s="108"/>
      <c r="H70" s="1"/>
    </row>
    <row r="71" spans="1:8" ht="17.25" customHeight="1">
      <c r="A71" s="46" t="str">
        <f t="shared" si="0"/>
        <v/>
      </c>
      <c r="B71" s="215"/>
      <c r="C71" s="215"/>
      <c r="D71" s="1"/>
      <c r="E71" s="216"/>
      <c r="F71" s="217"/>
      <c r="G71" s="108"/>
      <c r="H71" s="1"/>
    </row>
    <row r="72" spans="1:8" ht="17.25" customHeight="1">
      <c r="A72" s="46" t="str">
        <f t="shared" si="0"/>
        <v/>
      </c>
      <c r="B72" s="215"/>
      <c r="C72" s="215"/>
      <c r="D72" s="1"/>
      <c r="E72" s="216"/>
      <c r="F72" s="217"/>
      <c r="G72" s="108"/>
      <c r="H72" s="1"/>
    </row>
    <row r="73" spans="1:8" ht="17.25" customHeight="1">
      <c r="A73" s="46" t="str">
        <f t="shared" si="0"/>
        <v/>
      </c>
      <c r="B73" s="221"/>
      <c r="C73" s="215"/>
      <c r="D73" s="1"/>
      <c r="E73" s="216"/>
      <c r="F73" s="217"/>
      <c r="G73" s="108"/>
      <c r="H73" s="1"/>
    </row>
    <row r="74" spans="1:8" ht="17.25" customHeight="1">
      <c r="A74" s="46" t="str">
        <f t="shared" si="0"/>
        <v/>
      </c>
      <c r="B74" s="221"/>
      <c r="C74" s="215"/>
      <c r="D74" s="1"/>
      <c r="E74" s="216"/>
      <c r="F74" s="220"/>
      <c r="G74" s="108"/>
      <c r="H74" s="1"/>
    </row>
    <row r="75" spans="1:8" ht="17.25" customHeight="1">
      <c r="A75" s="46" t="str">
        <f t="shared" si="0"/>
        <v/>
      </c>
      <c r="B75" s="221"/>
      <c r="C75" s="215"/>
      <c r="D75" s="1"/>
      <c r="E75" s="216"/>
      <c r="F75" s="217"/>
      <c r="G75" s="108"/>
      <c r="H75" s="1"/>
    </row>
    <row r="76" spans="1:8" ht="17.25" customHeight="1">
      <c r="A76" s="46" t="str">
        <f t="shared" si="0"/>
        <v/>
      </c>
      <c r="B76" s="215"/>
      <c r="C76" s="215"/>
      <c r="D76" s="1"/>
      <c r="E76" s="216"/>
      <c r="F76" s="217"/>
      <c r="G76" s="108"/>
      <c r="H76" s="1"/>
    </row>
    <row r="77" spans="1:8" ht="17.25" customHeight="1">
      <c r="A77" s="46" t="str">
        <f t="shared" si="0"/>
        <v/>
      </c>
      <c r="B77" s="215"/>
      <c r="C77" s="215"/>
      <c r="D77" s="1"/>
      <c r="E77" s="216"/>
      <c r="F77" s="217"/>
      <c r="G77" s="108"/>
      <c r="H77" s="1"/>
    </row>
    <row r="78" spans="1:8" ht="17.25" customHeight="1">
      <c r="A78" s="46" t="str">
        <f t="shared" si="0"/>
        <v/>
      </c>
      <c r="B78" s="221"/>
      <c r="C78" s="215"/>
      <c r="D78" s="1"/>
      <c r="E78" s="216"/>
      <c r="F78" s="217"/>
      <c r="G78" s="108"/>
      <c r="H78" s="1"/>
    </row>
    <row r="79" spans="1:8" ht="17.25" customHeight="1">
      <c r="A79" s="46" t="str">
        <f t="shared" si="0"/>
        <v/>
      </c>
      <c r="B79" s="221"/>
      <c r="C79" s="215"/>
      <c r="D79" s="1"/>
      <c r="E79" s="216"/>
      <c r="F79" s="217"/>
      <c r="G79" s="108"/>
      <c r="H79" s="1"/>
    </row>
    <row r="80" spans="1:8" ht="17.25" customHeight="1">
      <c r="A80" s="46" t="str">
        <f t="shared" si="0"/>
        <v/>
      </c>
      <c r="B80" s="215"/>
      <c r="C80" s="215"/>
      <c r="D80" s="1"/>
      <c r="E80" s="216"/>
      <c r="F80" s="217"/>
      <c r="G80" s="108"/>
      <c r="H80" s="1"/>
    </row>
    <row r="81" spans="1:8" ht="17.25" customHeight="1">
      <c r="A81" s="46" t="str">
        <f t="shared" si="0"/>
        <v/>
      </c>
      <c r="B81" s="221"/>
      <c r="C81" s="215"/>
      <c r="D81" s="1"/>
      <c r="E81" s="216"/>
      <c r="F81" s="217"/>
      <c r="G81" s="108"/>
      <c r="H81" s="1"/>
    </row>
    <row r="82" spans="1:8" ht="17.25" customHeight="1">
      <c r="A82" s="46" t="str">
        <f t="shared" si="0"/>
        <v/>
      </c>
      <c r="B82" s="221"/>
      <c r="C82" s="215"/>
      <c r="D82" s="1"/>
      <c r="E82" s="216"/>
      <c r="F82" s="217"/>
      <c r="G82" s="108"/>
      <c r="H82" s="1"/>
    </row>
    <row r="83" spans="1:8" ht="17.25" customHeight="1">
      <c r="A83" s="46" t="str">
        <f t="shared" si="0"/>
        <v/>
      </c>
      <c r="B83" s="221"/>
      <c r="C83" s="215"/>
      <c r="D83" s="1"/>
      <c r="E83" s="216"/>
      <c r="F83" s="217"/>
      <c r="G83" s="108"/>
      <c r="H83" s="1"/>
    </row>
    <row r="84" spans="1:8" ht="17.25" customHeight="1">
      <c r="A84" s="46" t="str">
        <f t="shared" si="0"/>
        <v/>
      </c>
      <c r="B84" s="215"/>
      <c r="C84" s="215"/>
      <c r="D84" s="1"/>
      <c r="E84" s="216"/>
      <c r="F84" s="217"/>
      <c r="G84" s="108"/>
      <c r="H84" s="1"/>
    </row>
    <row r="85" spans="1:8" ht="17.25" customHeight="1">
      <c r="A85" s="46" t="str">
        <f t="shared" si="0"/>
        <v/>
      </c>
      <c r="B85" s="221"/>
      <c r="C85" s="215"/>
      <c r="D85" s="1"/>
      <c r="E85" s="216"/>
      <c r="F85" s="217"/>
      <c r="G85" s="108"/>
      <c r="H85" s="1"/>
    </row>
    <row r="86" spans="1:8" ht="17.25" customHeight="1">
      <c r="A86" s="46" t="str">
        <f t="shared" si="0"/>
        <v/>
      </c>
      <c r="B86" s="221"/>
      <c r="C86" s="215"/>
      <c r="D86" s="1"/>
      <c r="E86" s="216"/>
      <c r="F86" s="217"/>
      <c r="G86" s="108"/>
      <c r="H86" s="1"/>
    </row>
    <row r="87" spans="1:8" ht="17.25" customHeight="1">
      <c r="A87" s="46" t="str">
        <f t="shared" si="0"/>
        <v/>
      </c>
      <c r="B87" s="215"/>
      <c r="C87" s="215"/>
      <c r="D87" s="1"/>
      <c r="E87" s="216"/>
      <c r="F87" s="217"/>
      <c r="G87" s="108"/>
      <c r="H87" s="1"/>
    </row>
    <row r="88" spans="1:8" ht="17.25" customHeight="1">
      <c r="A88" s="46" t="str">
        <f t="shared" si="0"/>
        <v/>
      </c>
      <c r="B88" s="215"/>
      <c r="C88" s="215"/>
      <c r="D88" s="1"/>
      <c r="E88" s="216"/>
      <c r="F88" s="217"/>
      <c r="G88" s="108"/>
      <c r="H88" s="1"/>
    </row>
    <row r="89" spans="1:8" ht="17.25" customHeight="1">
      <c r="A89" s="46" t="str">
        <f t="shared" si="0"/>
        <v/>
      </c>
      <c r="B89" s="221"/>
      <c r="C89" s="215"/>
      <c r="D89" s="1"/>
      <c r="E89" s="216"/>
      <c r="F89" s="217"/>
      <c r="G89" s="108"/>
      <c r="H89" s="1"/>
    </row>
    <row r="90" spans="1:8" ht="17.25" customHeight="1">
      <c r="A90" s="46" t="str">
        <f t="shared" si="0"/>
        <v/>
      </c>
      <c r="B90" s="215"/>
      <c r="C90" s="215"/>
      <c r="D90" s="1"/>
      <c r="E90" s="216"/>
      <c r="F90" s="217"/>
      <c r="G90" s="108"/>
      <c r="H90" s="1"/>
    </row>
    <row r="91" spans="1:8" ht="17.25" customHeight="1">
      <c r="A91" s="46" t="str">
        <f t="shared" si="0"/>
        <v/>
      </c>
      <c r="B91" s="221"/>
      <c r="C91" s="215"/>
      <c r="D91" s="1"/>
      <c r="E91" s="216"/>
      <c r="F91" s="220"/>
      <c r="G91" s="108"/>
      <c r="H91" s="1"/>
    </row>
    <row r="92" spans="1:8" ht="17.25" customHeight="1">
      <c r="A92" s="46" t="str">
        <f t="shared" si="0"/>
        <v/>
      </c>
      <c r="B92" s="215"/>
      <c r="C92" s="215"/>
      <c r="D92" s="1"/>
      <c r="E92" s="216"/>
      <c r="F92" s="217"/>
      <c r="G92" s="108"/>
      <c r="H92" s="1"/>
    </row>
    <row r="93" spans="1:8" ht="17.25" customHeight="1">
      <c r="A93" s="46" t="str">
        <f t="shared" si="0"/>
        <v/>
      </c>
      <c r="B93" s="215"/>
      <c r="C93" s="215"/>
      <c r="D93" s="1"/>
      <c r="E93" s="216"/>
      <c r="F93" s="217"/>
      <c r="G93" s="108"/>
      <c r="H93" s="1"/>
    </row>
    <row r="94" spans="1:8" ht="17.25" customHeight="1">
      <c r="A94" s="46" t="str">
        <f t="shared" si="0"/>
        <v/>
      </c>
      <c r="B94" s="215"/>
      <c r="C94" s="215"/>
      <c r="D94" s="1"/>
      <c r="E94" s="216"/>
      <c r="F94" s="217"/>
      <c r="G94" s="108"/>
      <c r="H94" s="1"/>
    </row>
    <row r="95" spans="1:8" ht="17.25" customHeight="1">
      <c r="A95" s="46" t="str">
        <f t="shared" si="0"/>
        <v/>
      </c>
      <c r="B95" s="221"/>
      <c r="C95" s="215"/>
      <c r="D95" s="1"/>
      <c r="E95" s="216"/>
      <c r="F95" s="217"/>
      <c r="G95" s="108"/>
      <c r="H95" s="1"/>
    </row>
    <row r="96" spans="1:8" ht="17.25" customHeight="1">
      <c r="A96" s="46" t="str">
        <f t="shared" si="0"/>
        <v/>
      </c>
      <c r="B96" s="215"/>
      <c r="C96" s="215"/>
      <c r="D96" s="231"/>
      <c r="E96" s="216"/>
      <c r="F96" s="217"/>
      <c r="G96" s="108"/>
      <c r="H96" s="1"/>
    </row>
    <row r="97" spans="1:8" ht="17.25" customHeight="1">
      <c r="A97" s="46" t="str">
        <f t="shared" si="0"/>
        <v/>
      </c>
      <c r="B97" s="215"/>
      <c r="C97" s="215"/>
      <c r="D97" s="1"/>
      <c r="E97" s="216"/>
      <c r="F97" s="217"/>
      <c r="G97" s="108"/>
      <c r="H97" s="1"/>
    </row>
    <row r="98" spans="1:8" ht="17.25" customHeight="1">
      <c r="A98" s="46" t="str">
        <f t="shared" si="0"/>
        <v/>
      </c>
      <c r="B98" s="215"/>
      <c r="C98" s="215"/>
      <c r="D98" s="1"/>
      <c r="E98" s="216"/>
      <c r="F98" s="217"/>
      <c r="G98" s="108"/>
      <c r="H98" s="1"/>
    </row>
    <row r="99" spans="1:8" ht="17.25" customHeight="1">
      <c r="A99" s="46" t="str">
        <f t="shared" si="0"/>
        <v/>
      </c>
      <c r="B99" s="221"/>
      <c r="C99" s="215"/>
      <c r="D99" s="1"/>
      <c r="E99" s="216"/>
      <c r="F99" s="220"/>
      <c r="G99" s="108"/>
      <c r="H99" s="1"/>
    </row>
    <row r="100" spans="1:8" ht="17.25" customHeight="1">
      <c r="A100" s="46" t="str">
        <f t="shared" si="0"/>
        <v/>
      </c>
      <c r="B100" s="221"/>
      <c r="C100" s="215"/>
      <c r="D100" s="1"/>
      <c r="E100" s="216"/>
      <c r="F100" s="217"/>
      <c r="G100" s="108"/>
      <c r="H100" s="1"/>
    </row>
    <row r="101" spans="1:8" ht="17.25" customHeight="1">
      <c r="A101" s="46" t="str">
        <f t="shared" si="0"/>
        <v/>
      </c>
      <c r="B101" s="221"/>
      <c r="C101" s="215"/>
      <c r="D101" s="1"/>
      <c r="E101" s="216"/>
      <c r="F101" s="217"/>
      <c r="G101" s="108"/>
      <c r="H101" s="1"/>
    </row>
    <row r="102" spans="1:8" ht="17.25" customHeight="1">
      <c r="A102" s="46" t="str">
        <f t="shared" si="0"/>
        <v/>
      </c>
      <c r="B102" s="215"/>
      <c r="C102" s="215"/>
      <c r="D102" s="1"/>
      <c r="E102" s="216"/>
      <c r="F102" s="217"/>
      <c r="G102" s="108"/>
      <c r="H102" s="1"/>
    </row>
    <row r="103" spans="1:8" ht="17.25" customHeight="1">
      <c r="A103" s="46" t="str">
        <f t="shared" si="0"/>
        <v/>
      </c>
      <c r="B103" s="215"/>
      <c r="C103" s="215"/>
      <c r="D103" s="1"/>
      <c r="E103" s="216"/>
      <c r="F103" s="217"/>
      <c r="G103" s="108"/>
      <c r="H103" s="1"/>
    </row>
    <row r="104" spans="1:8" ht="17.25" customHeight="1">
      <c r="A104" s="46" t="str">
        <f t="shared" si="0"/>
        <v/>
      </c>
      <c r="B104" s="215"/>
      <c r="C104" s="215"/>
      <c r="D104" s="1"/>
      <c r="E104" s="216"/>
      <c r="F104" s="217"/>
      <c r="G104" s="108"/>
      <c r="H104" s="1"/>
    </row>
    <row r="105" spans="1:8" ht="17.25" customHeight="1">
      <c r="A105" s="46" t="str">
        <f t="shared" si="0"/>
        <v/>
      </c>
      <c r="B105" s="215"/>
      <c r="C105" s="215"/>
      <c r="D105" s="1"/>
      <c r="E105" s="216"/>
      <c r="F105" s="217"/>
      <c r="G105" s="108"/>
      <c r="H105" s="1"/>
    </row>
    <row r="106" spans="1:8" ht="17.25" customHeight="1">
      <c r="A106" s="46" t="str">
        <f t="shared" si="0"/>
        <v/>
      </c>
      <c r="B106" s="215"/>
      <c r="C106" s="215"/>
      <c r="D106" s="231"/>
      <c r="E106" s="216"/>
      <c r="F106" s="217"/>
      <c r="G106" s="108"/>
      <c r="H106" s="1"/>
    </row>
    <row r="107" spans="1:8" ht="17.25" customHeight="1">
      <c r="A107" s="46" t="str">
        <f t="shared" si="0"/>
        <v/>
      </c>
      <c r="B107" s="221"/>
      <c r="C107" s="215"/>
      <c r="D107" s="1"/>
      <c r="E107" s="216"/>
      <c r="F107" s="217"/>
      <c r="G107" s="108"/>
      <c r="H107" s="1"/>
    </row>
    <row r="108" spans="1:8" ht="17.25" customHeight="1">
      <c r="A108" s="46" t="str">
        <f t="shared" si="0"/>
        <v/>
      </c>
      <c r="B108" s="215"/>
      <c r="C108" s="215"/>
      <c r="D108" s="232"/>
      <c r="E108" s="216"/>
      <c r="F108" s="217"/>
      <c r="G108" s="108"/>
      <c r="H108" s="1"/>
    </row>
    <row r="109" spans="1:8" ht="17.2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</row>
    <row r="110" spans="1:8" ht="17.2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</row>
    <row r="111" spans="1:8" ht="17.2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</row>
    <row r="112" spans="1:8" ht="17.2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</row>
    <row r="113" spans="1:8" ht="17.2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</row>
    <row r="114" spans="1:8" ht="17.2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</row>
    <row r="115" spans="1:8" ht="17.2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</row>
    <row r="116" spans="1:8" ht="17.2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</row>
    <row r="117" spans="1:8" ht="17.2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</row>
    <row r="118" spans="1:8" ht="17.2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</row>
    <row r="119" spans="1:8" ht="17.2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</row>
    <row r="120" spans="1:8" ht="17.2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</row>
    <row r="121" spans="1:8" ht="17.2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</row>
    <row r="122" spans="1:8" ht="17.2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</row>
    <row r="123" spans="1:8" ht="17.2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</row>
    <row r="124" spans="1:8" ht="17.2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</row>
    <row r="125" spans="1:8" ht="17.2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</row>
    <row r="126" spans="1:8" ht="17.2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</row>
    <row r="127" spans="1:8" ht="17.2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</row>
    <row r="128" spans="1:8" ht="17.2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</row>
    <row r="129" spans="1:9" ht="17.2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</row>
    <row r="130" spans="1:9" ht="17.2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</row>
    <row r="131" spans="1:9" ht="17.2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</row>
    <row r="132" spans="1:9" ht="17.2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</row>
    <row r="133" spans="1:9" ht="17.2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</row>
    <row r="134" spans="1:9" ht="17.2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</row>
    <row r="135" spans="1:9" ht="17.2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</row>
    <row r="136" spans="1:9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9" ht="16.5" customHeight="1">
      <c r="A138" s="46"/>
      <c r="F138" s="167"/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</hyperlink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5031</v>
      </c>
      <c r="B1" s="290"/>
      <c r="C1" s="290"/>
      <c r="D1" s="290"/>
      <c r="E1" s="290"/>
      <c r="F1" s="290"/>
      <c r="G1" s="290"/>
      <c r="H1" s="290"/>
      <c r="I1" s="18" t="s">
        <v>1375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24" t="s">
        <v>2</v>
      </c>
      <c r="B3" s="225" t="s">
        <v>4</v>
      </c>
      <c r="C3" s="225" t="s">
        <v>5</v>
      </c>
      <c r="D3" s="225" t="s">
        <v>6</v>
      </c>
      <c r="E3" s="225" t="s">
        <v>7</v>
      </c>
      <c r="F3" s="225" t="s">
        <v>8</v>
      </c>
      <c r="G3" s="225" t="s">
        <v>9</v>
      </c>
      <c r="H3" s="226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ca="1" si="0">IF(B4="","",ROW(B4)-3)</f>
        <v>1</v>
      </c>
      <c r="B4" s="19" t="str">
        <f ca="1">IFERROR(__xludf.DUMMYFUNCTION("filter('통합'!C4:I983,'통합'!B4:B983=""조선공학"")"),"Fast Ferry International")</f>
        <v>Fast Ferry International</v>
      </c>
      <c r="C4" s="19" t="str">
        <f ca="1">IFERROR(__xludf.DUMMYFUNCTION("""COMPUTED_VALUE"""),"Fast Ferry Information Ltd.")</f>
        <v>Fast Ferry Information Ltd.</v>
      </c>
      <c r="D4" s="20" t="str">
        <f ca="1">IFERROR(__xludf.DUMMYFUNCTION("""COMPUTED_VALUE"""),"0954-3988")</f>
        <v>0954-3988</v>
      </c>
      <c r="E4" s="39" t="str">
        <f ca="1">IFERROR(__xludf.DUMMYFUNCTION("""COMPUTED_VALUE"""),"2010, 2011")</f>
        <v>2010, 2011</v>
      </c>
      <c r="F4" s="206" t="str">
        <f ca="1">IFERROR(__xludf.DUMMYFUNCTION("""COMPUTED_VALUE"""),"-")</f>
        <v>-</v>
      </c>
      <c r="G4" s="116" t="str">
        <f ca="1">IFERROR(__xludf.DUMMYFUNCTION("""COMPUTED_VALUE"""),"http://www.riss.kr/link?id=S418434")</f>
        <v>http://www.riss.kr/link?id=S418434</v>
      </c>
      <c r="H4" s="24" t="str">
        <f ca="1">IFERROR(__xludf.DUMMYFUNCTION("""COMPUTED_VALUE"""),"X")</f>
        <v>X</v>
      </c>
    </row>
    <row r="5" spans="1:26" ht="26.25" customHeight="1">
      <c r="A5" s="154">
        <f t="shared" ca="1" si="0"/>
        <v>2</v>
      </c>
      <c r="B5" s="31" t="str">
        <f ca="1">IFERROR(__xludf.DUMMYFUNCTION("""COMPUTED_VALUE"""),"International Shipbuilding Progress")</f>
        <v>International Shipbuilding Progress</v>
      </c>
      <c r="C5" s="19" t="str">
        <f ca="1">IFERROR(__xludf.DUMMYFUNCTION("""COMPUTED_VALUE"""),"IOS Press")</f>
        <v>IOS Press</v>
      </c>
      <c r="D5" s="20" t="str">
        <f ca="1">IFERROR(__xludf.DUMMYFUNCTION("""COMPUTED_VALUE"""),"0020-868X")</f>
        <v>0020-868X</v>
      </c>
      <c r="E5" s="39" t="str">
        <f ca="1">IFERROR(__xludf.DUMMYFUNCTION("""COMPUTED_VALUE"""),"1996-2004")</f>
        <v>1996-2004</v>
      </c>
      <c r="F5" s="206" t="str">
        <f ca="1">IFERROR(__xludf.DUMMYFUNCTION("""COMPUTED_VALUE"""),"ESCI, SCOPUS")</f>
        <v>ESCI, SCOPUS</v>
      </c>
      <c r="G5" s="116" t="str">
        <f ca="1">IFERROR(__xludf.DUMMYFUNCTION("""COMPUTED_VALUE"""),"http://www.riss.kr/link?id=S16089")</f>
        <v>http://www.riss.kr/link?id=S16089</v>
      </c>
      <c r="H5" s="24" t="str">
        <f ca="1">IFERROR(__xludf.DUMMYFUNCTION("""COMPUTED_VALUE"""),"X")</f>
        <v>X</v>
      </c>
    </row>
    <row r="6" spans="1:26" ht="26.25" customHeight="1">
      <c r="A6" s="154">
        <f t="shared" ca="1" si="0"/>
        <v>3</v>
      </c>
      <c r="B6" s="31" t="str">
        <f ca="1">IFERROR(__xludf.DUMMYFUNCTION("""COMPUTED_VALUE"""),"Journal of Marine Research")</f>
        <v>Journal of Marine Research</v>
      </c>
      <c r="C6" s="19" t="str">
        <f ca="1">IFERROR(__xludf.DUMMYFUNCTION("""COMPUTED_VALUE"""),"Sears Foundation for Marine Research")</f>
        <v>Sears Foundation for Marine Research</v>
      </c>
      <c r="D6" s="20" t="str">
        <f ca="1">IFERROR(__xludf.DUMMYFUNCTION("""COMPUTED_VALUE"""),"0022-2402")</f>
        <v>0022-2402</v>
      </c>
      <c r="E6" s="39" t="str">
        <f ca="1">IFERROR(__xludf.DUMMYFUNCTION("""COMPUTED_VALUE"""),"1984-1993, 1995-2013")</f>
        <v>1984-1993, 1995-2013</v>
      </c>
      <c r="F6" s="206" t="str">
        <f ca="1">IFERROR(__xludf.DUMMYFUNCTION("""COMPUTED_VALUE"""),"SCIE")</f>
        <v>SCIE</v>
      </c>
      <c r="G6" s="116" t="str">
        <f ca="1">IFERROR(__xludf.DUMMYFUNCTION("""COMPUTED_VALUE"""),"http://www.riss.kr/link?id=S16910")</f>
        <v>http://www.riss.kr/link?id=S16910</v>
      </c>
      <c r="H6" s="24" t="str">
        <f ca="1">IFERROR(__xludf.DUMMYFUNCTION("""COMPUTED_VALUE"""),"X")</f>
        <v>X</v>
      </c>
    </row>
    <row r="7" spans="1:26" ht="26.25" customHeight="1">
      <c r="A7" s="154">
        <f t="shared" ca="1" si="0"/>
        <v>4</v>
      </c>
      <c r="B7" s="19" t="str">
        <f ca="1">IFERROR(__xludf.DUMMYFUNCTION("""COMPUTED_VALUE"""),"Journal of Ship Production and Design")</f>
        <v>Journal of Ship Production and Design</v>
      </c>
      <c r="C7" s="19" t="str">
        <f ca="1">IFERROR(__xludf.DUMMYFUNCTION("""COMPUTED_VALUE"""),"The Society of Naval Architects and Marine Engineers")</f>
        <v>The Society of Naval Architects and Marine Engineers</v>
      </c>
      <c r="D7" s="20" t="str">
        <f ca="1">IFERROR(__xludf.DUMMYFUNCTION("""COMPUTED_VALUE"""),"2158-2866")</f>
        <v>2158-2866</v>
      </c>
      <c r="E7" s="39" t="str">
        <f ca="1">IFERROR(__xludf.DUMMYFUNCTION("""COMPUTED_VALUE"""),"2010-2021")</f>
        <v>2010-2021</v>
      </c>
      <c r="F7" s="206" t="str">
        <f ca="1">IFERROR(__xludf.DUMMYFUNCTION("""COMPUTED_VALUE"""),"SCIE")</f>
        <v>SCIE</v>
      </c>
      <c r="G7" s="116" t="str">
        <f ca="1">IFERROR(__xludf.DUMMYFUNCTION("""COMPUTED_VALUE"""),"http://www.riss.kr/link?id=S20404")</f>
        <v>http://www.riss.kr/link?id=S20404</v>
      </c>
      <c r="H7" s="24" t="str">
        <f ca="1">IFERROR(__xludf.DUMMYFUNCTION("""COMPUTED_VALUE"""),"O")</f>
        <v>O</v>
      </c>
    </row>
    <row r="8" spans="1:26" ht="26.25" customHeight="1">
      <c r="A8" s="154">
        <f t="shared" ca="1" si="0"/>
        <v>5</v>
      </c>
      <c r="B8" s="19" t="str">
        <f ca="1">IFERROR(__xludf.DUMMYFUNCTION("""COMPUTED_VALUE"""),"Journal of Ship Research")</f>
        <v>Journal of Ship Research</v>
      </c>
      <c r="C8" s="19" t="str">
        <f ca="1">IFERROR(__xludf.DUMMYFUNCTION("""COMPUTED_VALUE"""),"The Society of Naval Architects and Marine Engineers")</f>
        <v>The Society of Naval Architects and Marine Engineers</v>
      </c>
      <c r="D8" s="20" t="str">
        <f ca="1">IFERROR(__xludf.DUMMYFUNCTION("""COMPUTED_VALUE"""),"0022-4502")</f>
        <v>0022-4502</v>
      </c>
      <c r="E8" s="39" t="str">
        <f ca="1">IFERROR(__xludf.DUMMYFUNCTION("""COMPUTED_VALUE"""),"1973-2021")</f>
        <v>1973-2021</v>
      </c>
      <c r="F8" s="206" t="str">
        <f ca="1">IFERROR(__xludf.DUMMYFUNCTION("""COMPUTED_VALUE"""),"SCIE")</f>
        <v>SCIE</v>
      </c>
      <c r="G8" s="116" t="str">
        <f ca="1">IFERROR(__xludf.DUMMYFUNCTION("""COMPUTED_VALUE"""),"http://www.riss.kr/link?id=S16059")</f>
        <v>http://www.riss.kr/link?id=S16059</v>
      </c>
      <c r="H8" s="24" t="str">
        <f ca="1">IFERROR(__xludf.DUMMYFUNCTION("""COMPUTED_VALUE"""),"O")</f>
        <v>O</v>
      </c>
    </row>
    <row r="9" spans="1:26" ht="26.25" customHeight="1">
      <c r="A9" s="154">
        <f t="shared" ca="1" si="0"/>
        <v>6</v>
      </c>
      <c r="B9" s="19" t="str">
        <f ca="1">IFERROR(__xludf.DUMMYFUNCTION("""COMPUTED_VALUE"""),"Journal of Waterway, Port, Coastal, and Ocean Engineering")</f>
        <v>Journal of Waterway, Port, Coastal, and Ocean Engineering</v>
      </c>
      <c r="C9" s="19" t="str">
        <f ca="1">IFERROR(__xludf.DUMMYFUNCTION("""COMPUTED_VALUE"""),"American Society of Civil Engineers")</f>
        <v>American Society of Civil Engineers</v>
      </c>
      <c r="D9" s="20" t="str">
        <f ca="1">IFERROR(__xludf.DUMMYFUNCTION("""COMPUTED_VALUE"""),"0733-950X")</f>
        <v>0733-950X</v>
      </c>
      <c r="E9" s="39" t="str">
        <f ca="1">IFERROR(__xludf.DUMMYFUNCTION("""COMPUTED_VALUE"""),"1971-2021")</f>
        <v>1971-2021</v>
      </c>
      <c r="F9" s="206" t="str">
        <f ca="1">IFERROR(__xludf.DUMMYFUNCTION("""COMPUTED_VALUE"""),"SCIE, SCOPUS")</f>
        <v>SCIE, SCOPUS</v>
      </c>
      <c r="G9" s="116" t="str">
        <f ca="1">IFERROR(__xludf.DUMMYFUNCTION("""COMPUTED_VALUE"""),"http://www.riss.kr/link?id=S16027")</f>
        <v>http://www.riss.kr/link?id=S16027</v>
      </c>
      <c r="H9" s="24" t="str">
        <f ca="1">IFERROR(__xludf.DUMMYFUNCTION("""COMPUTED_VALUE"""),"O")</f>
        <v>O</v>
      </c>
    </row>
    <row r="10" spans="1:26" ht="26.25" customHeight="1">
      <c r="A10" s="154">
        <f t="shared" ca="1" si="0"/>
        <v>7</v>
      </c>
      <c r="B10" s="31" t="str">
        <f ca="1">IFERROR(__xludf.DUMMYFUNCTION("""COMPUTED_VALUE"""),"Kanrin")</f>
        <v>Kanrin</v>
      </c>
      <c r="C10" s="19" t="str">
        <f ca="1">IFERROR(__xludf.DUMMYFUNCTION("""COMPUTED_VALUE"""),"Japan Society of Naval Architects and Ocean Engineers")</f>
        <v>Japan Society of Naval Architects and Ocean Engineers</v>
      </c>
      <c r="D10" s="20" t="str">
        <f ca="1">IFERROR(__xludf.DUMMYFUNCTION("""COMPUTED_VALUE"""),"1880-3725")</f>
        <v>1880-3725</v>
      </c>
      <c r="E10" s="39" t="str">
        <f ca="1">IFERROR(__xludf.DUMMYFUNCTION("""COMPUTED_VALUE"""),"2011-2019")</f>
        <v>2011-2019</v>
      </c>
      <c r="F10" s="206" t="str">
        <f ca="1">IFERROR(__xludf.DUMMYFUNCTION("""COMPUTED_VALUE"""),"-")</f>
        <v>-</v>
      </c>
      <c r="G10" s="116" t="str">
        <f ca="1">IFERROR(__xludf.DUMMYFUNCTION("""COMPUTED_VALUE"""),"http://www.riss.kr/link?id=S115899")</f>
        <v>http://www.riss.kr/link?id=S115899</v>
      </c>
      <c r="H10" s="24" t="str">
        <f ca="1">IFERROR(__xludf.DUMMYFUNCTION("""COMPUTED_VALUE"""),"X")</f>
        <v>X</v>
      </c>
    </row>
    <row r="11" spans="1:26" ht="26.25" customHeight="1">
      <c r="A11" s="154">
        <f t="shared" ca="1" si="0"/>
        <v>8</v>
      </c>
      <c r="B11" s="31" t="str">
        <f ca="1">IFERROR(__xludf.DUMMYFUNCTION("""COMPUTED_VALUE"""),"Marine Engineering")</f>
        <v>Marine Engineering</v>
      </c>
      <c r="C11" s="19" t="str">
        <f ca="1">IFERROR(__xludf.DUMMYFUNCTION("""COMPUTED_VALUE"""),"Japan Institution of Marine Engineering")</f>
        <v>Japan Institution of Marine Engineering</v>
      </c>
      <c r="D11" s="20" t="str">
        <f ca="1">IFERROR(__xludf.DUMMYFUNCTION("""COMPUTED_VALUE"""),"1346-1427")</f>
        <v>1346-1427</v>
      </c>
      <c r="E11" s="39" t="str">
        <f ca="1">IFERROR(__xludf.DUMMYFUNCTION("""COMPUTED_VALUE"""),"2011, 2012")</f>
        <v>2011, 2012</v>
      </c>
      <c r="F11" s="206" t="str">
        <f ca="1">IFERROR(__xludf.DUMMYFUNCTION("""COMPUTED_VALUE"""),"-")</f>
        <v>-</v>
      </c>
      <c r="G11" s="116" t="str">
        <f ca="1">IFERROR(__xludf.DUMMYFUNCTION("""COMPUTED_VALUE"""),"http://www.riss.kr/link?id=S20095808")</f>
        <v>http://www.riss.kr/link?id=S20095808</v>
      </c>
      <c r="H11" s="24" t="str">
        <f ca="1">IFERROR(__xludf.DUMMYFUNCTION("""COMPUTED_VALUE"""),"X")</f>
        <v>X</v>
      </c>
    </row>
    <row r="12" spans="1:26" ht="26.25" customHeight="1">
      <c r="A12" s="154">
        <f t="shared" ca="1" si="0"/>
        <v>9</v>
      </c>
      <c r="B12" s="31" t="str">
        <f ca="1">IFERROR(__xludf.DUMMYFUNCTION("""COMPUTED_VALUE"""),"Marine Engineers Review")</f>
        <v>Marine Engineers Review</v>
      </c>
      <c r="C12" s="19" t="str">
        <f ca="1">IFERROR(__xludf.DUMMYFUNCTION("""COMPUTED_VALUE"""),"The Institute of Marine Engineering, Science and Technology")</f>
        <v>The Institute of Marine Engineering, Science and Technology</v>
      </c>
      <c r="D12" s="20" t="str">
        <f ca="1">IFERROR(__xludf.DUMMYFUNCTION("""COMPUTED_VALUE"""),"0047-5955")</f>
        <v>0047-5955</v>
      </c>
      <c r="E12" s="39" t="str">
        <f ca="1">IFERROR(__xludf.DUMMYFUNCTION("""COMPUTED_VALUE"""),"2010-2014")</f>
        <v>2010-2014</v>
      </c>
      <c r="F12" s="206" t="str">
        <f ca="1">IFERROR(__xludf.DUMMYFUNCTION("""COMPUTED_VALUE"""),"SCOPUS")</f>
        <v>SCOPUS</v>
      </c>
      <c r="G12" s="116" t="str">
        <f ca="1">IFERROR(__xludf.DUMMYFUNCTION("""COMPUTED_VALUE"""),"http://www.riss.kr/link?id=S11573535")</f>
        <v>http://www.riss.kr/link?id=S11573535</v>
      </c>
      <c r="H12" s="24" t="str">
        <f ca="1">IFERROR(__xludf.DUMMYFUNCTION("""COMPUTED_VALUE"""),"X")</f>
        <v>X</v>
      </c>
    </row>
    <row r="13" spans="1:26" ht="26.25" customHeight="1">
      <c r="A13" s="154">
        <f t="shared" ca="1" si="0"/>
        <v>10</v>
      </c>
      <c r="B13" s="31" t="str">
        <f ca="1">IFERROR(__xludf.DUMMYFUNCTION("""COMPUTED_VALUE"""),"Marine Log")</f>
        <v>Marine Log</v>
      </c>
      <c r="C13" s="19" t="str">
        <f ca="1">IFERROR(__xludf.DUMMYFUNCTION("""COMPUTED_VALUE"""),"Simmons-Boardman Publishing Corp.")</f>
        <v>Simmons-Boardman Publishing Corp.</v>
      </c>
      <c r="D13" s="20" t="str">
        <f ca="1">IFERROR(__xludf.DUMMYFUNCTION("""COMPUTED_VALUE"""),"0897-0491")</f>
        <v>0897-0491</v>
      </c>
      <c r="E13" s="39">
        <f ca="1">IFERROR(__xludf.DUMMYFUNCTION("""COMPUTED_VALUE"""),2013)</f>
        <v>2013</v>
      </c>
      <c r="F13" s="206" t="str">
        <f ca="1">IFERROR(__xludf.DUMMYFUNCTION("""COMPUTED_VALUE"""),"-")</f>
        <v>-</v>
      </c>
      <c r="G13" s="116" t="str">
        <f ca="1">IFERROR(__xludf.DUMMYFUNCTION("""COMPUTED_VALUE"""),"http://www.riss.kr/link?id=S413153")</f>
        <v>http://www.riss.kr/link?id=S413153</v>
      </c>
      <c r="H13" s="24" t="str">
        <f ca="1">IFERROR(__xludf.DUMMYFUNCTION("""COMPUTED_VALUE"""),"X")</f>
        <v>X</v>
      </c>
    </row>
    <row r="14" spans="1:26" ht="26.25" customHeight="1">
      <c r="A14" s="154">
        <f t="shared" ca="1" si="0"/>
        <v>11</v>
      </c>
      <c r="B14" s="19" t="str">
        <f ca="1">IFERROR(__xludf.DUMMYFUNCTION("""COMPUTED_VALUE"""),"Marine Technology")</f>
        <v>Marine Technology</v>
      </c>
      <c r="C14" s="19" t="str">
        <f ca="1">IFERROR(__xludf.DUMMYFUNCTION("""COMPUTED_VALUE"""),"The Society of Naval Architects and Marine Engineers")</f>
        <v>The Society of Naval Architects and Marine Engineers</v>
      </c>
      <c r="D14" s="20" t="str">
        <f ca="1">IFERROR(__xludf.DUMMYFUNCTION("""COMPUTED_VALUE"""),"2153-4721")</f>
        <v>2153-4721</v>
      </c>
      <c r="E14" s="39" t="str">
        <f ca="1">IFERROR(__xludf.DUMMYFUNCTION("""COMPUTED_VALUE"""),"2010-2021")</f>
        <v>2010-2021</v>
      </c>
      <c r="F14" s="206" t="str">
        <f ca="1">IFERROR(__xludf.DUMMYFUNCTION("""COMPUTED_VALUE"""),"-")</f>
        <v>-</v>
      </c>
      <c r="G14" s="116" t="str">
        <f ca="1">IFERROR(__xludf.DUMMYFUNCTION("""COMPUTED_VALUE"""),"http://www.riss.kr/link?id=S16019")</f>
        <v>http://www.riss.kr/link?id=S16019</v>
      </c>
      <c r="H14" s="24" t="str">
        <f ca="1">IFERROR(__xludf.DUMMYFUNCTION("""COMPUTED_VALUE"""),"O")</f>
        <v>O</v>
      </c>
    </row>
    <row r="15" spans="1:26" ht="26.25" customHeight="1">
      <c r="A15" s="154">
        <f t="shared" ca="1" si="0"/>
        <v>12</v>
      </c>
      <c r="B15" s="31" t="str">
        <f ca="1">IFERROR(__xludf.DUMMYFUNCTION("""COMPUTED_VALUE"""),"Marine Technology Society Journal")</f>
        <v>Marine Technology Society Journal</v>
      </c>
      <c r="C15" s="19" t="str">
        <f ca="1">IFERROR(__xludf.DUMMYFUNCTION("""COMPUTED_VALUE"""),"Marine Technology Society")</f>
        <v>Marine Technology Society</v>
      </c>
      <c r="D15" s="20" t="str">
        <f ca="1">IFERROR(__xludf.DUMMYFUNCTION("""COMPUTED_VALUE"""),"0025-3324")</f>
        <v>0025-3324</v>
      </c>
      <c r="E15" s="39" t="str">
        <f ca="1">IFERROR(__xludf.DUMMYFUNCTION("""COMPUTED_VALUE"""),"2010-2019")</f>
        <v>2010-2019</v>
      </c>
      <c r="F15" s="206" t="str">
        <f ca="1">IFERROR(__xludf.DUMMYFUNCTION("""COMPUTED_VALUE"""),"SCIE, SCOPUS")</f>
        <v>SCIE, SCOPUS</v>
      </c>
      <c r="G15" s="116" t="str">
        <f ca="1">IFERROR(__xludf.DUMMYFUNCTION("""COMPUTED_VALUE"""),"http://www.riss.kr/link?id=S16890")</f>
        <v>http://www.riss.kr/link?id=S16890</v>
      </c>
      <c r="H15" s="24" t="str">
        <f ca="1">IFERROR(__xludf.DUMMYFUNCTION("""COMPUTED_VALUE"""),"X")</f>
        <v>X</v>
      </c>
    </row>
    <row r="16" spans="1:26" ht="26.25" customHeight="1">
      <c r="A16" s="154">
        <f t="shared" ca="1" si="0"/>
        <v>13</v>
      </c>
      <c r="B16" s="19" t="str">
        <f ca="1">IFERROR(__xludf.DUMMYFUNCTION("""COMPUTED_VALUE"""),"Navigation")</f>
        <v>Navigation</v>
      </c>
      <c r="C16" s="19" t="str">
        <f ca="1">IFERROR(__xludf.DUMMYFUNCTION("""COMPUTED_VALUE"""),"Japan Institute of Navigation")</f>
        <v>Japan Institute of Navigation</v>
      </c>
      <c r="D16" s="20" t="str">
        <f ca="1">IFERROR(__xludf.DUMMYFUNCTION("""COMPUTED_VALUE"""),"0919-9985")</f>
        <v>0919-9985</v>
      </c>
      <c r="E16" s="39" t="str">
        <f ca="1">IFERROR(__xludf.DUMMYFUNCTION("""COMPUTED_VALUE"""),"2010-2021")</f>
        <v>2010-2021</v>
      </c>
      <c r="F16" s="206" t="str">
        <f ca="1">IFERROR(__xludf.DUMMYFUNCTION("""COMPUTED_VALUE"""),"-")</f>
        <v>-</v>
      </c>
      <c r="G16" s="116" t="str">
        <f ca="1">IFERROR(__xludf.DUMMYFUNCTION("""COMPUTED_VALUE"""),"http://www.riss.kr/link?id=S417089")</f>
        <v>http://www.riss.kr/link?id=S417089</v>
      </c>
      <c r="H16" s="24" t="str">
        <f ca="1">IFERROR(__xludf.DUMMYFUNCTION("""COMPUTED_VALUE"""),"O")</f>
        <v>O</v>
      </c>
    </row>
    <row r="17" spans="1:8" ht="26.25" customHeight="1">
      <c r="A17" s="154">
        <f t="shared" ca="1" si="0"/>
        <v>14</v>
      </c>
      <c r="B17" s="19" t="str">
        <f ca="1">IFERROR(__xludf.DUMMYFUNCTION("""COMPUTED_VALUE"""),"Proceedings of the Institution of Mechanical Engineers, Part M: Journal of Engineering for the Maritime Environment")</f>
        <v>Proceedings of the Institution of Mechanical Engineers, Part M: Journal of Engineering for the Maritime Environment</v>
      </c>
      <c r="C17" s="19" t="str">
        <f ca="1">IFERROR(__xludf.DUMMYFUNCTION("""COMPUTED_VALUE"""),"Sage Publications Ltd.")</f>
        <v>Sage Publications Ltd.</v>
      </c>
      <c r="D17" s="20" t="str">
        <f ca="1">IFERROR(__xludf.DUMMYFUNCTION("""COMPUTED_VALUE"""),"1475-0902")</f>
        <v>1475-0902</v>
      </c>
      <c r="E17" s="39" t="str">
        <f ca="1">IFERROR(__xludf.DUMMYFUNCTION("""COMPUTED_VALUE"""),"2002-2004, 2012-2021")</f>
        <v>2002-2004, 2012-2021</v>
      </c>
      <c r="F17" s="206" t="str">
        <f ca="1">IFERROR(__xludf.DUMMYFUNCTION("""COMPUTED_VALUE"""),"SCIE, SCOPUS")</f>
        <v>SCIE, SCOPUS</v>
      </c>
      <c r="G17" s="116" t="str">
        <f ca="1">IFERROR(__xludf.DUMMYFUNCTION("""COMPUTED_VALUE"""),"http://www.riss.kr/link?id=S20010735")</f>
        <v>http://www.riss.kr/link?id=S20010735</v>
      </c>
      <c r="H17" s="24" t="str">
        <f ca="1">IFERROR(__xludf.DUMMYFUNCTION("""COMPUTED_VALUE"""),"O")</f>
        <v>O</v>
      </c>
    </row>
    <row r="18" spans="1:8" ht="26.25" customHeight="1">
      <c r="A18" s="154">
        <f t="shared" ca="1" si="0"/>
        <v>15</v>
      </c>
      <c r="B18" s="31" t="str">
        <f ca="1">IFERROR(__xludf.DUMMYFUNCTION("""COMPUTED_VALUE"""),"Proceedings of the Ocean Drilling Program Initial report")</f>
        <v>Proceedings of the Ocean Drilling Program Initial report</v>
      </c>
      <c r="C18" s="19" t="str">
        <f ca="1">IFERROR(__xludf.DUMMYFUNCTION("""COMPUTED_VALUE"""),"Texas A &amp; M University * Ocean Drilling Program")</f>
        <v>Texas A &amp; M University * Ocean Drilling Program</v>
      </c>
      <c r="D18" s="20" t="str">
        <f ca="1">IFERROR(__xludf.DUMMYFUNCTION("""COMPUTED_VALUE"""),"0884-5883")</f>
        <v>0884-5883</v>
      </c>
      <c r="E18" s="39" t="str">
        <f ca="1">IFERROR(__xludf.DUMMYFUNCTION("""COMPUTED_VALUE"""),"1996-2004")</f>
        <v>1996-2004</v>
      </c>
      <c r="F18" s="206" t="str">
        <f ca="1">IFERROR(__xludf.DUMMYFUNCTION("""COMPUTED_VALUE"""),"-")</f>
        <v>-</v>
      </c>
      <c r="G18" s="116" t="str">
        <f ca="1">IFERROR(__xludf.DUMMYFUNCTION("""COMPUTED_VALUE"""),"http://www.riss.kr/link?id=S11644259")</f>
        <v>http://www.riss.kr/link?id=S11644259</v>
      </c>
      <c r="H18" s="24" t="str">
        <f ca="1">IFERROR(__xludf.DUMMYFUNCTION("""COMPUTED_VALUE"""),"X")</f>
        <v>X</v>
      </c>
    </row>
    <row r="19" spans="1:8" ht="26.25" customHeight="1">
      <c r="A19" s="154">
        <f t="shared" ca="1" si="0"/>
        <v>16</v>
      </c>
      <c r="B19" s="31" t="str">
        <f ca="1">IFERROR(__xludf.DUMMYFUNCTION("""COMPUTED_VALUE"""),"Proceedings of the Ocean Drilling Program scientific Results")</f>
        <v>Proceedings of the Ocean Drilling Program scientific Results</v>
      </c>
      <c r="C19" s="19" t="str">
        <f ca="1">IFERROR(__xludf.DUMMYFUNCTION("""COMPUTED_VALUE"""),"Texas A &amp; M University * Ocean Drilling Program")</f>
        <v>Texas A &amp; M University * Ocean Drilling Program</v>
      </c>
      <c r="D19" s="20" t="str">
        <f ca="1">IFERROR(__xludf.DUMMYFUNCTION("""COMPUTED_VALUE"""),"0884-5891")</f>
        <v>0884-5891</v>
      </c>
      <c r="E19" s="39" t="str">
        <f ca="1">IFERROR(__xludf.DUMMYFUNCTION("""COMPUTED_VALUE"""),"1998-2002, 2005")</f>
        <v>1998-2002, 2005</v>
      </c>
      <c r="F19" s="206" t="str">
        <f ca="1">IFERROR(__xludf.DUMMYFUNCTION("""COMPUTED_VALUE"""),"-")</f>
        <v>-</v>
      </c>
      <c r="G19" s="116" t="str">
        <f ca="1">IFERROR(__xludf.DUMMYFUNCTION("""COMPUTED_VALUE"""),"http://www.riss.kr/link?id=S5548")</f>
        <v>http://www.riss.kr/link?id=S5548</v>
      </c>
      <c r="H19" s="24" t="str">
        <f ca="1">IFERROR(__xludf.DUMMYFUNCTION("""COMPUTED_VALUE"""),"X")</f>
        <v>X</v>
      </c>
    </row>
    <row r="20" spans="1:8" ht="26.25" customHeight="1">
      <c r="A20" s="154">
        <f t="shared" ca="1" si="0"/>
        <v>17</v>
      </c>
      <c r="B20" s="31" t="str">
        <f ca="1">IFERROR(__xludf.DUMMYFUNCTION("""COMPUTED_VALUE"""),"Seaways")</f>
        <v>Seaways</v>
      </c>
      <c r="C20" s="19" t="str">
        <f ca="1">IFERROR(__xludf.DUMMYFUNCTION("""COMPUTED_VALUE"""),"The Nautical Institute")</f>
        <v>The Nautical Institute</v>
      </c>
      <c r="D20" s="20" t="str">
        <f ca="1">IFERROR(__xludf.DUMMYFUNCTION("""COMPUTED_VALUE"""),"0144-1019")</f>
        <v>0144-1019</v>
      </c>
      <c r="E20" s="39" t="str">
        <f ca="1">IFERROR(__xludf.DUMMYFUNCTION("""COMPUTED_VALUE"""),"2011-2020")</f>
        <v>2011-2020</v>
      </c>
      <c r="F20" s="206" t="str">
        <f ca="1">IFERROR(__xludf.DUMMYFUNCTION("""COMPUTED_VALUE"""),"-")</f>
        <v>-</v>
      </c>
      <c r="G20" s="116" t="str">
        <f ca="1">IFERROR(__xludf.DUMMYFUNCTION("""COMPUTED_VALUE"""),"http://www.riss.kr/link?id=S410797")</f>
        <v>http://www.riss.kr/link?id=S410797</v>
      </c>
      <c r="H20" s="95" t="str">
        <f ca="1">IFERROR(__xludf.DUMMYFUNCTION("""COMPUTED_VALUE"""),"X")</f>
        <v>X</v>
      </c>
    </row>
    <row r="21" spans="1:8" ht="26.25" customHeight="1">
      <c r="A21" s="154">
        <f t="shared" ca="1" si="0"/>
        <v>18</v>
      </c>
      <c r="B21" s="31" t="str">
        <f ca="1">IFERROR(__xludf.DUMMYFUNCTION("""COMPUTED_VALUE"""),"Ship Technology Research")</f>
        <v>Ship Technology Research</v>
      </c>
      <c r="C21" s="19" t="str">
        <f ca="1">IFERROR(__xludf.DUMMYFUNCTION("""COMPUTED_VALUE"""),"Taylor &amp; Francis")</f>
        <v>Taylor &amp; Francis</v>
      </c>
      <c r="D21" s="20" t="str">
        <f ca="1">IFERROR(__xludf.DUMMYFUNCTION("""COMPUTED_VALUE"""),"0937-7255")</f>
        <v>0937-7255</v>
      </c>
      <c r="E21" s="39" t="str">
        <f ca="1">IFERROR(__xludf.DUMMYFUNCTION("""COMPUTED_VALUE"""),"1996-2004")</f>
        <v>1996-2004</v>
      </c>
      <c r="F21" s="206" t="str">
        <f ca="1">IFERROR(__xludf.DUMMYFUNCTION("""COMPUTED_VALUE"""),"ESCI, SCOPUS")</f>
        <v>ESCI, SCOPUS</v>
      </c>
      <c r="G21" s="116" t="str">
        <f ca="1">IFERROR(__xludf.DUMMYFUNCTION("""COMPUTED_VALUE"""),"http://www.riss.kr/link?id=S13240")</f>
        <v>http://www.riss.kr/link?id=S13240</v>
      </c>
      <c r="H21" s="24" t="str">
        <f ca="1">IFERROR(__xludf.DUMMYFUNCTION("""COMPUTED_VALUE"""),"X")</f>
        <v>X</v>
      </c>
    </row>
    <row r="22" spans="1:8" ht="26.25" customHeight="1">
      <c r="A22" s="154">
        <f t="shared" ca="1" si="0"/>
        <v>19</v>
      </c>
      <c r="B22" s="31" t="str">
        <f ca="1">IFERROR(__xludf.DUMMYFUNCTION("""COMPUTED_VALUE"""),"Shiprepair")</f>
        <v>Shiprepair</v>
      </c>
      <c r="C22" s="19" t="str">
        <f ca="1">IFERROR(__xludf.DUMMYFUNCTION("""COMPUTED_VALUE"""),"Mercator Media Ltd.")</f>
        <v>Mercator Media Ltd.</v>
      </c>
      <c r="D22" s="20" t="str">
        <f ca="1">IFERROR(__xludf.DUMMYFUNCTION("""COMPUTED_VALUE"""),"0027-2000")</f>
        <v>0027-2000</v>
      </c>
      <c r="E22" s="39" t="str">
        <f ca="1">IFERROR(__xludf.DUMMYFUNCTION("""COMPUTED_VALUE"""),"2010-2019")</f>
        <v>2010-2019</v>
      </c>
      <c r="F22" s="206" t="str">
        <f ca="1">IFERROR(__xludf.DUMMYFUNCTION("""COMPUTED_VALUE"""),"SCOPUS")</f>
        <v>SCOPUS</v>
      </c>
      <c r="G22" s="116" t="str">
        <f ca="1">IFERROR(__xludf.DUMMYFUNCTION("""COMPUTED_VALUE"""),"http://www.riss.kr/link?id=S5102")</f>
        <v>http://www.riss.kr/link?id=S5102</v>
      </c>
      <c r="H22" s="24" t="str">
        <f ca="1">IFERROR(__xludf.DUMMYFUNCTION("""COMPUTED_VALUE"""),"X")</f>
        <v>X</v>
      </c>
    </row>
    <row r="23" spans="1:8" ht="26.25" customHeight="1">
      <c r="A23" s="154">
        <f t="shared" ca="1" si="0"/>
        <v>20</v>
      </c>
      <c r="B23" s="19" t="str">
        <f ca="1">IFERROR(__xludf.DUMMYFUNCTION("""COMPUTED_VALUE"""),"Ships and Offshore Structures")</f>
        <v>Ships and Offshore Structures</v>
      </c>
      <c r="C23" s="19" t="str">
        <f ca="1">IFERROR(__xludf.DUMMYFUNCTION("""COMPUTED_VALUE"""),"Taylor &amp; Francis")</f>
        <v>Taylor &amp; Francis</v>
      </c>
      <c r="D23" s="20" t="str">
        <f ca="1">IFERROR(__xludf.DUMMYFUNCTION("""COMPUTED_VALUE"""),"1744-5302")</f>
        <v>1744-5302</v>
      </c>
      <c r="E23" s="39" t="str">
        <f ca="1">IFERROR(__xludf.DUMMYFUNCTION("""COMPUTED_VALUE"""),"2006-2021")</f>
        <v>2006-2021</v>
      </c>
      <c r="F23" s="206" t="str">
        <f ca="1">IFERROR(__xludf.DUMMYFUNCTION("""COMPUTED_VALUE"""),"SCIE, SCOPUS")</f>
        <v>SCIE, SCOPUS</v>
      </c>
      <c r="G23" s="116" t="str">
        <f ca="1">IFERROR(__xludf.DUMMYFUNCTION("""COMPUTED_VALUE"""),"http://www.riss.kr/link?id=S31019601")</f>
        <v>http://www.riss.kr/link?id=S31019601</v>
      </c>
      <c r="H23" s="24" t="str">
        <f ca="1">IFERROR(__xludf.DUMMYFUNCTION("""COMPUTED_VALUE"""),"O")</f>
        <v>O</v>
      </c>
    </row>
    <row r="24" spans="1:8" ht="26.25" customHeight="1">
      <c r="A24" s="154">
        <f t="shared" ca="1" si="0"/>
        <v>21</v>
      </c>
      <c r="B24" s="31" t="str">
        <f ca="1">IFERROR(__xludf.DUMMYFUNCTION("""COMPUTED_VALUE"""),"Techno Marine")</f>
        <v>Techno Marine</v>
      </c>
      <c r="C24" s="19" t="str">
        <f ca="1">IFERROR(__xludf.DUMMYFUNCTION("""COMPUTED_VALUE"""),"日本造船學會")</f>
        <v>日本造船學會</v>
      </c>
      <c r="D24" s="20" t="str">
        <f ca="1">IFERROR(__xludf.DUMMYFUNCTION("""COMPUTED_VALUE"""),"0916-8699")</f>
        <v>0916-8699</v>
      </c>
      <c r="E24" s="39" t="str">
        <f ca="1">IFERROR(__xludf.DUMMYFUNCTION("""COMPUTED_VALUE"""),"1992-2004")</f>
        <v>1992-2004</v>
      </c>
      <c r="F24" s="206" t="str">
        <f ca="1">IFERROR(__xludf.DUMMYFUNCTION("""COMPUTED_VALUE"""),"-")</f>
        <v>-</v>
      </c>
      <c r="G24" s="116" t="str">
        <f ca="1">IFERROR(__xludf.DUMMYFUNCTION("""COMPUTED_VALUE"""),"http://www.riss.kr/link?id=S80310")</f>
        <v>http://www.riss.kr/link?id=S80310</v>
      </c>
      <c r="H24" s="24" t="str">
        <f ca="1">IFERROR(__xludf.DUMMYFUNCTION("""COMPUTED_VALUE"""),"X")</f>
        <v>X</v>
      </c>
    </row>
    <row r="25" spans="1:8" ht="26.25" customHeight="1">
      <c r="A25" s="154">
        <f t="shared" ca="1" si="0"/>
        <v>22</v>
      </c>
      <c r="B25" s="19" t="str">
        <f ca="1">IFERROR(__xludf.DUMMYFUNCTION("""COMPUTED_VALUE"""),"The Journal of Navigation")</f>
        <v>The Journal of Navigation</v>
      </c>
      <c r="C25" s="19" t="str">
        <f ca="1">IFERROR(__xludf.DUMMYFUNCTION("""COMPUTED_VALUE"""),"Cambridge University Press")</f>
        <v>Cambridge University Press</v>
      </c>
      <c r="D25" s="20" t="str">
        <f ca="1">IFERROR(__xludf.DUMMYFUNCTION("""COMPUTED_VALUE"""),"0373-4633")</f>
        <v>0373-4633</v>
      </c>
      <c r="E25" s="39" t="str">
        <f ca="1">IFERROR(__xludf.DUMMYFUNCTION("""COMPUTED_VALUE"""),"2010-2021")</f>
        <v>2010-2021</v>
      </c>
      <c r="F25" s="206" t="str">
        <f ca="1">IFERROR(__xludf.DUMMYFUNCTION("""COMPUTED_VALUE"""),"SCIE, SCOPUS")</f>
        <v>SCIE, SCOPUS</v>
      </c>
      <c r="G25" s="116" t="str">
        <f ca="1">IFERROR(__xludf.DUMMYFUNCTION("""COMPUTED_VALUE"""),"http://www.riss.kr/link?id=S12014")</f>
        <v>http://www.riss.kr/link?id=S12014</v>
      </c>
      <c r="H25" s="24" t="str">
        <f ca="1">IFERROR(__xludf.DUMMYFUNCTION("""COMPUTED_VALUE"""),"O")</f>
        <v>O</v>
      </c>
    </row>
    <row r="26" spans="1:8" ht="26.25" customHeight="1">
      <c r="A26" s="154">
        <f t="shared" ca="1" si="0"/>
        <v>23</v>
      </c>
      <c r="B26" s="31" t="str">
        <f ca="1">IFERROR(__xludf.DUMMYFUNCTION("""COMPUTED_VALUE"""),"The Naval Architect")</f>
        <v>The Naval Architect</v>
      </c>
      <c r="C26" s="19" t="str">
        <f ca="1">IFERROR(__xludf.DUMMYFUNCTION("""COMPUTED_VALUE"""),"Royal Institution of Naval Architects")</f>
        <v>Royal Institution of Naval Architects</v>
      </c>
      <c r="D26" s="20" t="str">
        <f ca="1">IFERROR(__xludf.DUMMYFUNCTION("""COMPUTED_VALUE"""),"0306-0209")</f>
        <v>0306-0209</v>
      </c>
      <c r="E26" s="39" t="str">
        <f ca="1">IFERROR(__xludf.DUMMYFUNCTION("""COMPUTED_VALUE"""),"1973-2004, 2006, 2008-2019")</f>
        <v>1973-2004, 2006, 2008-2019</v>
      </c>
      <c r="F26" s="206" t="str">
        <f ca="1">IFERROR(__xludf.DUMMYFUNCTION("""COMPUTED_VALUE"""),"-")</f>
        <v>-</v>
      </c>
      <c r="G26" s="116" t="str">
        <f ca="1">IFERROR(__xludf.DUMMYFUNCTION("""COMPUTED_VALUE"""),"http://www.riss.kr/link?id=S15985")</f>
        <v>http://www.riss.kr/link?id=S15985</v>
      </c>
      <c r="H26" s="24" t="str">
        <f ca="1">IFERROR(__xludf.DUMMYFUNCTION("""COMPUTED_VALUE"""),"X")</f>
        <v>X</v>
      </c>
    </row>
    <row r="27" spans="1:8" ht="26.25" customHeight="1">
      <c r="A27" s="154">
        <f t="shared" ca="1" si="0"/>
        <v>24</v>
      </c>
      <c r="B27" s="31" t="str">
        <f ca="1">IFERROR(__xludf.DUMMYFUNCTION("""COMPUTED_VALUE"""),"Transactions - The Society of Naval Architects and Marine Engineers")</f>
        <v>Transactions - The Society of Naval Architects and Marine Engineers</v>
      </c>
      <c r="C27" s="19" t="str">
        <f ca="1">IFERROR(__xludf.DUMMYFUNCTION("""COMPUTED_VALUE"""),"Society of Naval Architects and Marine Engineers")</f>
        <v>Society of Naval Architects and Marine Engineers</v>
      </c>
      <c r="D27" s="20" t="str">
        <f ca="1">IFERROR(__xludf.DUMMYFUNCTION("""COMPUTED_VALUE"""),"0081-1661")</f>
        <v>0081-1661</v>
      </c>
      <c r="E27" s="39" t="str">
        <f ca="1">IFERROR(__xludf.DUMMYFUNCTION("""COMPUTED_VALUE"""),"1965, 1972-1981, 1984-1985, 1987-1991, 1993-1997, 1999-2002")</f>
        <v>1965, 1972-1981, 1984-1985, 1987-1991, 1993-1997, 1999-2002</v>
      </c>
      <c r="F27" s="206" t="str">
        <f ca="1">IFERROR(__xludf.DUMMYFUNCTION("""COMPUTED_VALUE"""),"-")</f>
        <v>-</v>
      </c>
      <c r="G27" s="116" t="str">
        <f ca="1">IFERROR(__xludf.DUMMYFUNCTION("""COMPUTED_VALUE"""),"http://www.riss.kr/link?id=S21690")</f>
        <v>http://www.riss.kr/link?id=S21690</v>
      </c>
      <c r="H27" s="24" t="str">
        <f ca="1">IFERROR(__xludf.DUMMYFUNCTION("""COMPUTED_VALUE"""),"X")</f>
        <v>X</v>
      </c>
    </row>
    <row r="28" spans="1:8" ht="26.25" customHeight="1">
      <c r="A28" s="154">
        <f t="shared" ca="1" si="0"/>
        <v>25</v>
      </c>
      <c r="B28" s="31" t="str">
        <f ca="1">IFERROR(__xludf.DUMMYFUNCTION("""COMPUTED_VALUE"""),"Transactions - West Japan Society of Naval Architects")</f>
        <v>Transactions - West Japan Society of Naval Architects</v>
      </c>
      <c r="C28" s="19" t="str">
        <f ca="1">IFERROR(__xludf.DUMMYFUNCTION("""COMPUTED_VALUE"""),"Nihon Sempaku Kaiyou Kougakkai")</f>
        <v>Nihon Sempaku Kaiyou Kougakkai</v>
      </c>
      <c r="D28" s="20" t="str">
        <f ca="1">IFERROR(__xludf.DUMMYFUNCTION("""COMPUTED_VALUE"""),"0389-911X")</f>
        <v>0389-911X</v>
      </c>
      <c r="E28" s="39" t="str">
        <f ca="1">IFERROR(__xludf.DUMMYFUNCTION("""COMPUTED_VALUE"""),"1975, 1977-1979, 1981-1989, 1991-1994, 1996-2004")</f>
        <v>1975, 1977-1979, 1981-1989, 1991-1994, 1996-2004</v>
      </c>
      <c r="F28" s="206" t="str">
        <f ca="1">IFERROR(__xludf.DUMMYFUNCTION("""COMPUTED_VALUE"""),"-")</f>
        <v>-</v>
      </c>
      <c r="G28" s="116" t="str">
        <f ca="1">IFERROR(__xludf.DUMMYFUNCTION("""COMPUTED_VALUE"""),"http://www.riss.kr/link?id=S411651")</f>
        <v>http://www.riss.kr/link?id=S411651</v>
      </c>
      <c r="H28" s="24" t="str">
        <f ca="1">IFERROR(__xludf.DUMMYFUNCTION("""COMPUTED_VALUE"""),"X")</f>
        <v>X</v>
      </c>
    </row>
    <row r="29" spans="1:8" ht="26.25" customHeight="1">
      <c r="A29" s="154">
        <f t="shared" ca="1" si="0"/>
        <v>26</v>
      </c>
      <c r="B29" s="19" t="str">
        <f ca="1">IFERROR(__xludf.DUMMYFUNCTION("""COMPUTED_VALUE"""),"Transactions of the Royal Institution of Naval Architects Part A.")</f>
        <v>Transactions of the Royal Institution of Naval Architects Part A.</v>
      </c>
      <c r="C29" s="19" t="str">
        <f ca="1">IFERROR(__xludf.DUMMYFUNCTION("""COMPUTED_VALUE"""),"Royal Institution of Naval Architects")</f>
        <v>Royal Institution of Naval Architects</v>
      </c>
      <c r="D29" s="20" t="str">
        <f ca="1">IFERROR(__xludf.DUMMYFUNCTION("""COMPUTED_VALUE"""),"1479-8751")</f>
        <v>1479-8751</v>
      </c>
      <c r="E29" s="39" t="str">
        <f ca="1">IFERROR(__xludf.DUMMYFUNCTION("""COMPUTED_VALUE"""),"2012-2021")</f>
        <v>2012-2021</v>
      </c>
      <c r="F29" s="206" t="str">
        <f ca="1">IFERROR(__xludf.DUMMYFUNCTION("""COMPUTED_VALUE"""),"SCIE")</f>
        <v>SCIE</v>
      </c>
      <c r="G29" s="116" t="str">
        <f ca="1">IFERROR(__xludf.DUMMYFUNCTION("""COMPUTED_VALUE"""),"http://www.riss.kr/link?id=S6141")</f>
        <v>http://www.riss.kr/link?id=S6141</v>
      </c>
      <c r="H29" s="24" t="str">
        <f ca="1">IFERROR(__xludf.DUMMYFUNCTION("""COMPUTED_VALUE"""),"O")</f>
        <v>O</v>
      </c>
    </row>
    <row r="30" spans="1:8" ht="26.25" customHeight="1">
      <c r="A30" s="154">
        <f t="shared" ca="1" si="0"/>
        <v>27</v>
      </c>
      <c r="B30" s="31" t="str">
        <f ca="1">IFERROR(__xludf.DUMMYFUNCTION("""COMPUTED_VALUE"""),"Warship Technology")</f>
        <v>Warship Technology</v>
      </c>
      <c r="C30" s="19" t="str">
        <f ca="1">IFERROR(__xludf.DUMMYFUNCTION("""COMPUTED_VALUE"""),"Royal Institution of Naval Architects")</f>
        <v>Royal Institution of Naval Architects</v>
      </c>
      <c r="D30" s="20" t="str">
        <f ca="1">IFERROR(__xludf.DUMMYFUNCTION("""COMPUTED_VALUE"""),"0957-5537")</f>
        <v>0957-5537</v>
      </c>
      <c r="E30" s="39" t="str">
        <f ca="1">IFERROR(__xludf.DUMMYFUNCTION("""COMPUTED_VALUE"""),"2002-2019")</f>
        <v>2002-2019</v>
      </c>
      <c r="F30" s="206" t="str">
        <f ca="1">IFERROR(__xludf.DUMMYFUNCTION("""COMPUTED_VALUE"""),"-")</f>
        <v>-</v>
      </c>
      <c r="G30" s="116" t="str">
        <f ca="1">IFERROR(__xludf.DUMMYFUNCTION("""COMPUTED_VALUE"""),"http://www.riss.kr/link?id=S416102")</f>
        <v>http://www.riss.kr/link?id=S416102</v>
      </c>
      <c r="H30" s="24" t="str">
        <f ca="1">IFERROR(__xludf.DUMMYFUNCTION("""COMPUTED_VALUE"""),"X")</f>
        <v>X</v>
      </c>
    </row>
    <row r="31" spans="1:8" ht="26.25" customHeight="1">
      <c r="A31" s="154">
        <f t="shared" ca="1" si="0"/>
        <v>28</v>
      </c>
      <c r="B31" s="19" t="str">
        <f ca="1">IFERROR(__xludf.DUMMYFUNCTION("""COMPUTED_VALUE"""),"マリン エンジニア")</f>
        <v>マリン エンジニア</v>
      </c>
      <c r="C31" s="19" t="str">
        <f ca="1">IFERROR(__xludf.DUMMYFUNCTION("""COMPUTED_VALUE"""),"Japan Marine Engineers' Association")</f>
        <v>Japan Marine Engineers' Association</v>
      </c>
      <c r="D31" s="20" t="str">
        <f ca="1">IFERROR(__xludf.DUMMYFUNCTION("""COMPUTED_VALUE"""),"0287-203X")</f>
        <v>0287-203X</v>
      </c>
      <c r="E31" s="39" t="str">
        <f ca="1">IFERROR(__xludf.DUMMYFUNCTION("""COMPUTED_VALUE"""),"2011-2020")</f>
        <v>2011-2020</v>
      </c>
      <c r="F31" s="206" t="str">
        <f ca="1">IFERROR(__xludf.DUMMYFUNCTION("""COMPUTED_VALUE"""),"-")</f>
        <v>-</v>
      </c>
      <c r="G31" s="116" t="str">
        <f ca="1">IFERROR(__xludf.DUMMYFUNCTION("""COMPUTED_VALUE"""),"http://www.riss.kr/link?id=S108985")</f>
        <v>http://www.riss.kr/link?id=S108985</v>
      </c>
      <c r="H31" s="24" t="str">
        <f ca="1">IFERROR(__xludf.DUMMYFUNCTION("""COMPUTED_VALUE"""),"X")</f>
        <v>X</v>
      </c>
    </row>
    <row r="32" spans="1:8" ht="26.25" customHeight="1">
      <c r="A32" s="154">
        <f t="shared" ca="1" si="0"/>
        <v>29</v>
      </c>
      <c r="B32" s="31" t="str">
        <f ca="1">IFERROR(__xludf.DUMMYFUNCTION("""COMPUTED_VALUE"""),"ら ん")</f>
        <v>ら ん</v>
      </c>
      <c r="C32" s="19" t="str">
        <f ca="1">IFERROR(__xludf.DUMMYFUNCTION("""COMPUTED_VALUE"""),"Kansai Society of Naval Architects")</f>
        <v>Kansai Society of Naval Architects</v>
      </c>
      <c r="D32" s="20" t="str">
        <f ca="1">IFERROR(__xludf.DUMMYFUNCTION("""COMPUTED_VALUE"""),"0916-0981")</f>
        <v>0916-0981</v>
      </c>
      <c r="E32" s="39" t="str">
        <f ca="1">IFERROR(__xludf.DUMMYFUNCTION("""COMPUTED_VALUE"""),"1988-1991, 1993, 1995-1996, 1998-2001, 2003, 2005")</f>
        <v>1988-1991, 1993, 1995-1996, 1998-2001, 2003, 2005</v>
      </c>
      <c r="F32" s="206" t="str">
        <f ca="1">IFERROR(__xludf.DUMMYFUNCTION("""COMPUTED_VALUE"""),"-")</f>
        <v>-</v>
      </c>
      <c r="G32" s="116" t="str">
        <f ca="1">IFERROR(__xludf.DUMMYFUNCTION("""COMPUTED_VALUE"""),"http://www.riss.kr/link?id=S61213")</f>
        <v>http://www.riss.kr/link?id=S61213</v>
      </c>
      <c r="H32" s="24" t="str">
        <f ca="1">IFERROR(__xludf.DUMMYFUNCTION("""COMPUTED_VALUE"""),"X")</f>
        <v>X</v>
      </c>
    </row>
    <row r="33" spans="1:8" ht="26.25" customHeight="1">
      <c r="A33" s="154">
        <f t="shared" ca="1" si="0"/>
        <v>30</v>
      </c>
      <c r="B33" s="31" t="str">
        <f ca="1">IFERROR(__xludf.DUMMYFUNCTION("""COMPUTED_VALUE"""),"關西造船協會誌")</f>
        <v>關西造船協會誌</v>
      </c>
      <c r="C33" s="19" t="str">
        <f ca="1">IFERROR(__xludf.DUMMYFUNCTION("""COMPUTED_VALUE"""),"關西造船協會")</f>
        <v>關西造船協會</v>
      </c>
      <c r="D33" s="20" t="str">
        <f ca="1">IFERROR(__xludf.DUMMYFUNCTION("""COMPUTED_VALUE"""),"0389-9101")</f>
        <v>0389-9101</v>
      </c>
      <c r="E33" s="39" t="str">
        <f ca="1">IFERROR(__xludf.DUMMYFUNCTION("""COMPUTED_VALUE"""),"1949-1962, 1964-1988")</f>
        <v>1949-1962, 1964-1988</v>
      </c>
      <c r="F33" s="206" t="str">
        <f ca="1">IFERROR(__xludf.DUMMYFUNCTION("""COMPUTED_VALUE"""),"-")</f>
        <v>-</v>
      </c>
      <c r="G33" s="116" t="str">
        <f ca="1">IFERROR(__xludf.DUMMYFUNCTION("""COMPUTED_VALUE"""),"http://www.riss.kr/link?id=S60981")</f>
        <v>http://www.riss.kr/link?id=S60981</v>
      </c>
      <c r="H33" s="24" t="str">
        <f ca="1">IFERROR(__xludf.DUMMYFUNCTION("""COMPUTED_VALUE"""),"X")</f>
        <v>X</v>
      </c>
    </row>
    <row r="34" spans="1:8" ht="26.25" customHeight="1">
      <c r="A34" s="154">
        <f t="shared" ca="1" si="0"/>
        <v>31</v>
      </c>
      <c r="B34" s="19" t="str">
        <f ca="1">IFERROR(__xludf.DUMMYFUNCTION("""COMPUTED_VALUE"""),"日本船舶海洋工學會論文集")</f>
        <v>日本船舶海洋工學會論文集</v>
      </c>
      <c r="C34" s="19" t="str">
        <f ca="1">IFERROR(__xludf.DUMMYFUNCTION("""COMPUTED_VALUE"""),"Japan Society of Naval Architects and Ocean Engineers")</f>
        <v>Japan Society of Naval Architects and Ocean Engineers</v>
      </c>
      <c r="D34" s="20" t="str">
        <f ca="1">IFERROR(__xludf.DUMMYFUNCTION("""COMPUTED_VALUE"""),"1880-3717")</f>
        <v>1880-3717</v>
      </c>
      <c r="E34" s="39" t="str">
        <f ca="1">IFERROR(__xludf.DUMMYFUNCTION("""COMPUTED_VALUE"""),"2005-2021")</f>
        <v>2005-2021</v>
      </c>
      <c r="F34" s="206" t="str">
        <f ca="1">IFERROR(__xludf.DUMMYFUNCTION("""COMPUTED_VALUE"""),"-")</f>
        <v>-</v>
      </c>
      <c r="G34" s="116" t="str">
        <f ca="1">IFERROR(__xludf.DUMMYFUNCTION("""COMPUTED_VALUE"""),"http://www.riss.kr/link?id=S31000567")</f>
        <v>http://www.riss.kr/link?id=S31000567</v>
      </c>
      <c r="H34" s="24" t="str">
        <f ca="1">IFERROR(__xludf.DUMMYFUNCTION("""COMPUTED_VALUE"""),"O")</f>
        <v>O</v>
      </c>
    </row>
    <row r="35" spans="1:8" ht="26.25" customHeight="1">
      <c r="A35" s="154">
        <f t="shared" ca="1" si="0"/>
        <v>32</v>
      </c>
      <c r="B35" s="31" t="str">
        <f ca="1">IFERROR(__xludf.DUMMYFUNCTION("""COMPUTED_VALUE"""),"日本航海學會論文集")</f>
        <v>日本航海學會論文集</v>
      </c>
      <c r="C35" s="19" t="str">
        <f ca="1">IFERROR(__xludf.DUMMYFUNCTION("""COMPUTED_VALUE"""),"Japan Institute of Navigation")</f>
        <v>Japan Institute of Navigation</v>
      </c>
      <c r="D35" s="20" t="str">
        <f ca="1">IFERROR(__xludf.DUMMYFUNCTION("""COMPUTED_VALUE"""),"0388-7405")</f>
        <v>0388-7405</v>
      </c>
      <c r="E35" s="39" t="str">
        <f ca="1">IFERROR(__xludf.DUMMYFUNCTION("""COMPUTED_VALUE"""),"2010-2013")</f>
        <v>2010-2013</v>
      </c>
      <c r="F35" s="206" t="str">
        <f ca="1">IFERROR(__xludf.DUMMYFUNCTION("""COMPUTED_VALUE"""),"-")</f>
        <v>-</v>
      </c>
      <c r="G35" s="116" t="str">
        <f ca="1">IFERROR(__xludf.DUMMYFUNCTION("""COMPUTED_VALUE"""),"http://www.riss.kr/link?id=S80026")</f>
        <v>http://www.riss.kr/link?id=S80026</v>
      </c>
      <c r="H35" s="24" t="str">
        <f ca="1">IFERROR(__xludf.DUMMYFUNCTION("""COMPUTED_VALUE"""),"X")</f>
        <v>X</v>
      </c>
    </row>
    <row r="36" spans="1:8" ht="26.25" customHeight="1">
      <c r="A36" s="159">
        <f t="shared" ca="1" si="0"/>
        <v>33</v>
      </c>
      <c r="B36" s="85" t="str">
        <f ca="1">IFERROR(__xludf.DUMMYFUNCTION("""COMPUTED_VALUE"""),"日本海事協會會誌")</f>
        <v>日本海事協會會誌</v>
      </c>
      <c r="C36" s="160" t="str">
        <f ca="1">IFERROR(__xludf.DUMMYFUNCTION("""COMPUTED_VALUE"""),"日本海事協會")</f>
        <v>日本海事協會</v>
      </c>
      <c r="D36" s="113" t="str">
        <f ca="1">IFERROR(__xludf.DUMMYFUNCTION("""COMPUTED_VALUE"""),"0287-0274")</f>
        <v>0287-0274</v>
      </c>
      <c r="E36" s="227" t="str">
        <f ca="1">IFERROR(__xludf.DUMMYFUNCTION("""COMPUTED_VALUE"""),"1992-2020")</f>
        <v>1992-2020</v>
      </c>
      <c r="F36" s="206" t="str">
        <f ca="1">IFERROR(__xludf.DUMMYFUNCTION("""COMPUTED_VALUE"""),"-")</f>
        <v>-</v>
      </c>
      <c r="G36" s="228" t="str">
        <f ca="1">IFERROR(__xludf.DUMMYFUNCTION("""COMPUTED_VALUE"""),"http://www.riss.kr/link?id=S63727")</f>
        <v>http://www.riss.kr/link?id=S63727</v>
      </c>
      <c r="H36" s="195" t="str">
        <f ca="1">IFERROR(__xludf.DUMMYFUNCTION("""COMPUTED_VALUE"""),"X")</f>
        <v>X</v>
      </c>
    </row>
    <row r="37" spans="1:8" ht="26.25" customHeight="1">
      <c r="A37" s="161">
        <f t="shared" ca="1" si="0"/>
        <v>34</v>
      </c>
      <c r="B37" s="185" t="str">
        <f ca="1">IFERROR(__xludf.DUMMYFUNCTION("""COMPUTED_VALUE"""),"海岸工學論文集")</f>
        <v>海岸工學論文集</v>
      </c>
      <c r="C37" s="118" t="str">
        <f ca="1">IFERROR(__xludf.DUMMYFUNCTION("""COMPUTED_VALUE"""),"土木學會")</f>
        <v>土木學會</v>
      </c>
      <c r="D37" s="119" t="str">
        <f ca="1">IFERROR(__xludf.DUMMYFUNCTION("""COMPUTED_VALUE"""),"0916-7897")</f>
        <v>0916-7897</v>
      </c>
      <c r="E37" s="212" t="str">
        <f ca="1">IFERROR(__xludf.DUMMYFUNCTION("""COMPUTED_VALUE"""),"1974-1979, 1991-1993, 1996-2011")</f>
        <v>1974-1979, 1991-1993, 1996-2011</v>
      </c>
      <c r="F37" s="213" t="str">
        <f ca="1">IFERROR(__xludf.DUMMYFUNCTION("""COMPUTED_VALUE"""),"-")</f>
        <v>-</v>
      </c>
      <c r="G37" s="214" t="str">
        <f ca="1">IFERROR(__xludf.DUMMYFUNCTION("""COMPUTED_VALUE"""),"http://www.riss.kr/link?id=S63728")</f>
        <v>http://www.riss.kr/link?id=S63728</v>
      </c>
      <c r="H37" s="165" t="str">
        <f ca="1">IFERROR(__xludf.DUMMYFUNCTION("""COMPUTED_VALUE"""),"X")</f>
        <v>X</v>
      </c>
    </row>
    <row r="38" spans="1:8" ht="17.25" customHeight="1">
      <c r="A38" s="46" t="str">
        <f t="shared" si="0"/>
        <v/>
      </c>
      <c r="B38" s="221"/>
      <c r="C38" s="215"/>
      <c r="D38" s="1"/>
      <c r="E38" s="216"/>
      <c r="F38" s="217"/>
      <c r="G38" s="108"/>
      <c r="H38" s="1"/>
    </row>
    <row r="39" spans="1:8" ht="17.25" customHeight="1">
      <c r="A39" s="46" t="str">
        <f t="shared" si="0"/>
        <v/>
      </c>
      <c r="B39" s="215"/>
      <c r="C39" s="215"/>
      <c r="D39" s="1"/>
      <c r="E39" s="216"/>
      <c r="F39" s="217"/>
      <c r="G39" s="108"/>
      <c r="H39" s="1"/>
    </row>
    <row r="40" spans="1:8" ht="17.25" customHeight="1">
      <c r="A40" s="46" t="str">
        <f t="shared" si="0"/>
        <v/>
      </c>
      <c r="B40" s="221"/>
      <c r="C40" s="215"/>
      <c r="D40" s="1"/>
      <c r="E40" s="216"/>
      <c r="F40" s="217"/>
      <c r="G40" s="108"/>
      <c r="H40" s="1"/>
    </row>
    <row r="41" spans="1:8" ht="17.25" customHeight="1">
      <c r="A41" s="46" t="str">
        <f t="shared" si="0"/>
        <v/>
      </c>
      <c r="B41" s="215"/>
      <c r="C41" s="215"/>
      <c r="D41" s="1"/>
      <c r="E41" s="216"/>
      <c r="F41" s="217"/>
      <c r="G41" s="108"/>
      <c r="H41" s="1"/>
    </row>
    <row r="42" spans="1:8" ht="17.25" customHeight="1">
      <c r="A42" s="46" t="str">
        <f t="shared" si="0"/>
        <v/>
      </c>
      <c r="B42" s="215"/>
      <c r="C42" s="215"/>
      <c r="D42" s="1"/>
      <c r="E42" s="216"/>
      <c r="F42" s="217"/>
      <c r="G42" s="108"/>
      <c r="H42" s="1"/>
    </row>
    <row r="43" spans="1:8" ht="17.25" customHeight="1">
      <c r="A43" s="46" t="str">
        <f t="shared" si="0"/>
        <v/>
      </c>
      <c r="B43" s="215"/>
      <c r="C43" s="215"/>
      <c r="D43" s="1"/>
      <c r="E43" s="216"/>
      <c r="F43" s="217"/>
      <c r="G43" s="108"/>
      <c r="H43" s="1"/>
    </row>
    <row r="44" spans="1:8" ht="17.25" customHeight="1">
      <c r="A44" s="46" t="str">
        <f t="shared" si="0"/>
        <v/>
      </c>
      <c r="B44" s="221"/>
      <c r="C44" s="215"/>
      <c r="D44" s="1"/>
      <c r="E44" s="216"/>
      <c r="F44" s="217"/>
      <c r="G44" s="108"/>
      <c r="H44" s="1"/>
    </row>
    <row r="45" spans="1:8" ht="17.25" customHeight="1">
      <c r="A45" s="46" t="str">
        <f t="shared" si="0"/>
        <v/>
      </c>
      <c r="B45" s="215"/>
      <c r="C45" s="215"/>
      <c r="D45" s="1"/>
      <c r="E45" s="216"/>
      <c r="F45" s="217"/>
      <c r="G45" s="108"/>
      <c r="H45" s="1"/>
    </row>
    <row r="46" spans="1:8" ht="17.25" customHeight="1">
      <c r="A46" s="46" t="str">
        <f t="shared" si="0"/>
        <v/>
      </c>
      <c r="B46" s="215"/>
      <c r="C46" s="215"/>
      <c r="D46" s="1"/>
      <c r="E46" s="216"/>
      <c r="F46" s="217"/>
      <c r="G46" s="108"/>
      <c r="H46" s="1"/>
    </row>
    <row r="47" spans="1:8" ht="17.25" customHeight="1">
      <c r="A47" s="46" t="str">
        <f t="shared" si="0"/>
        <v/>
      </c>
      <c r="B47" s="221"/>
      <c r="C47" s="215"/>
      <c r="D47" s="1"/>
      <c r="E47" s="216"/>
      <c r="F47" s="217"/>
      <c r="G47" s="108"/>
      <c r="H47" s="1"/>
    </row>
    <row r="48" spans="1:8" ht="17.25" customHeight="1">
      <c r="A48" s="46" t="str">
        <f t="shared" si="0"/>
        <v/>
      </c>
      <c r="B48" s="215"/>
      <c r="C48" s="215"/>
      <c r="D48" s="1"/>
      <c r="E48" s="216"/>
      <c r="F48" s="217"/>
      <c r="G48" s="108"/>
      <c r="H48" s="1"/>
    </row>
    <row r="49" spans="1:8" ht="17.25" customHeight="1">
      <c r="A49" s="46" t="str">
        <f t="shared" si="0"/>
        <v/>
      </c>
      <c r="B49" s="221"/>
      <c r="C49" s="215"/>
      <c r="D49" s="1"/>
      <c r="E49" s="216"/>
      <c r="F49" s="217"/>
      <c r="G49" s="108"/>
      <c r="H49" s="1"/>
    </row>
    <row r="50" spans="1:8" ht="17.25" customHeight="1">
      <c r="A50" s="46" t="str">
        <f t="shared" si="0"/>
        <v/>
      </c>
      <c r="B50" s="215"/>
      <c r="C50" s="215"/>
      <c r="D50" s="1"/>
      <c r="E50" s="216"/>
      <c r="F50" s="217"/>
      <c r="G50" s="108"/>
      <c r="H50" s="1"/>
    </row>
    <row r="51" spans="1:8" ht="17.25" customHeight="1">
      <c r="A51" s="46" t="str">
        <f t="shared" si="0"/>
        <v/>
      </c>
      <c r="B51" s="215"/>
      <c r="C51" s="215"/>
      <c r="D51" s="1"/>
      <c r="E51" s="216"/>
      <c r="F51" s="217"/>
      <c r="G51" s="108"/>
      <c r="H51" s="1"/>
    </row>
    <row r="52" spans="1:8" ht="17.25" customHeight="1">
      <c r="A52" s="46" t="str">
        <f t="shared" si="0"/>
        <v/>
      </c>
      <c r="B52" s="215"/>
      <c r="C52" s="215"/>
      <c r="D52" s="1"/>
      <c r="E52" s="216"/>
      <c r="F52" s="217"/>
      <c r="G52" s="108"/>
      <c r="H52" s="1"/>
    </row>
    <row r="53" spans="1:8" ht="17.25" customHeight="1">
      <c r="A53" s="46" t="str">
        <f t="shared" si="0"/>
        <v/>
      </c>
      <c r="B53" s="215"/>
      <c r="C53" s="215"/>
      <c r="D53" s="1"/>
      <c r="E53" s="216"/>
      <c r="F53" s="217"/>
      <c r="G53" s="108"/>
      <c r="H53" s="1"/>
    </row>
    <row r="54" spans="1:8" ht="17.25" customHeight="1">
      <c r="A54" s="46" t="str">
        <f t="shared" si="0"/>
        <v/>
      </c>
      <c r="B54" s="215"/>
      <c r="C54" s="215"/>
      <c r="D54" s="1"/>
      <c r="E54" s="216"/>
      <c r="F54" s="217"/>
      <c r="G54" s="108"/>
      <c r="H54" s="1"/>
    </row>
    <row r="55" spans="1:8" ht="17.25" customHeight="1">
      <c r="A55" s="46" t="str">
        <f t="shared" si="0"/>
        <v/>
      </c>
      <c r="B55" s="221"/>
      <c r="C55" s="215"/>
      <c r="D55" s="1"/>
      <c r="E55" s="216"/>
      <c r="F55" s="217"/>
      <c r="G55" s="108"/>
      <c r="H55" s="1"/>
    </row>
    <row r="56" spans="1:8" ht="17.25" customHeight="1">
      <c r="A56" s="46" t="str">
        <f t="shared" si="0"/>
        <v/>
      </c>
      <c r="B56" s="215"/>
      <c r="C56" s="215"/>
      <c r="D56" s="1"/>
      <c r="E56" s="216"/>
      <c r="F56" s="217"/>
      <c r="G56" s="108"/>
      <c r="H56" s="1"/>
    </row>
    <row r="57" spans="1:8" ht="17.25" customHeight="1">
      <c r="A57" s="46" t="str">
        <f t="shared" si="0"/>
        <v/>
      </c>
      <c r="B57" s="221"/>
      <c r="C57" s="215"/>
      <c r="D57" s="1"/>
      <c r="E57" s="216"/>
      <c r="F57" s="217"/>
      <c r="G57" s="108"/>
      <c r="H57" s="1"/>
    </row>
    <row r="58" spans="1:8" ht="17.25" customHeight="1">
      <c r="A58" s="46" t="str">
        <f t="shared" si="0"/>
        <v/>
      </c>
      <c r="B58" s="221"/>
      <c r="C58" s="215"/>
      <c r="D58" s="1"/>
      <c r="E58" s="216"/>
      <c r="F58" s="217"/>
      <c r="G58" s="108"/>
      <c r="H58" s="1"/>
    </row>
    <row r="59" spans="1:8" ht="17.25" customHeight="1">
      <c r="A59" s="46" t="str">
        <f t="shared" si="0"/>
        <v/>
      </c>
      <c r="B59" s="221"/>
      <c r="C59" s="215"/>
      <c r="D59" s="1"/>
      <c r="E59" s="216"/>
      <c r="F59" s="217"/>
      <c r="G59" s="108"/>
      <c r="H59" s="1"/>
    </row>
    <row r="60" spans="1:8" ht="17.25" customHeight="1">
      <c r="A60" s="46" t="str">
        <f t="shared" si="0"/>
        <v/>
      </c>
      <c r="B60" s="220"/>
      <c r="C60" s="216"/>
      <c r="D60" s="1"/>
      <c r="E60" s="229"/>
      <c r="F60" s="99"/>
      <c r="G60" s="230"/>
      <c r="H60" s="1"/>
    </row>
    <row r="61" spans="1:8" ht="17.25" customHeight="1">
      <c r="A61" s="46" t="str">
        <f t="shared" si="0"/>
        <v/>
      </c>
      <c r="B61" s="221"/>
      <c r="C61" s="215"/>
      <c r="D61" s="1"/>
      <c r="E61" s="216"/>
      <c r="F61" s="217"/>
      <c r="G61" s="108"/>
      <c r="H61" s="1"/>
    </row>
    <row r="62" spans="1:8" ht="17.25" customHeight="1">
      <c r="A62" s="46" t="str">
        <f t="shared" si="0"/>
        <v/>
      </c>
      <c r="B62" s="215"/>
      <c r="C62" s="215"/>
      <c r="D62" s="1"/>
      <c r="E62" s="216"/>
      <c r="F62" s="217"/>
      <c r="G62" s="108"/>
      <c r="H62" s="1"/>
    </row>
    <row r="63" spans="1:8" ht="17.25" customHeight="1">
      <c r="A63" s="46" t="str">
        <f t="shared" si="0"/>
        <v/>
      </c>
      <c r="B63" s="215"/>
      <c r="C63" s="215"/>
      <c r="D63" s="1"/>
      <c r="E63" s="216"/>
      <c r="F63" s="217"/>
      <c r="G63" s="108"/>
      <c r="H63" s="1"/>
    </row>
    <row r="64" spans="1:8" ht="17.25" customHeight="1">
      <c r="A64" s="46" t="str">
        <f t="shared" si="0"/>
        <v/>
      </c>
      <c r="B64" s="215"/>
      <c r="C64" s="215"/>
      <c r="D64" s="1"/>
      <c r="E64" s="216"/>
      <c r="F64" s="217"/>
      <c r="G64" s="108"/>
      <c r="H64" s="1"/>
    </row>
    <row r="65" spans="1:8" ht="17.25" customHeight="1">
      <c r="A65" s="46" t="str">
        <f t="shared" si="0"/>
        <v/>
      </c>
      <c r="B65" s="215"/>
      <c r="C65" s="215"/>
      <c r="D65" s="1"/>
      <c r="E65" s="216"/>
      <c r="F65" s="217"/>
      <c r="G65" s="108"/>
      <c r="H65" s="1"/>
    </row>
    <row r="66" spans="1:8" ht="17.25" customHeight="1">
      <c r="A66" s="46" t="str">
        <f t="shared" si="0"/>
        <v/>
      </c>
      <c r="B66" s="215"/>
      <c r="C66" s="215"/>
      <c r="D66" s="1"/>
      <c r="E66" s="216"/>
      <c r="F66" s="217"/>
      <c r="G66" s="108"/>
      <c r="H66" s="1"/>
    </row>
    <row r="67" spans="1:8" ht="17.25" customHeight="1">
      <c r="A67" s="46" t="str">
        <f t="shared" si="0"/>
        <v/>
      </c>
      <c r="B67" s="221"/>
      <c r="C67" s="215"/>
      <c r="D67" s="1"/>
      <c r="E67" s="216"/>
      <c r="F67" s="217"/>
      <c r="G67" s="108"/>
      <c r="H67" s="1"/>
    </row>
    <row r="68" spans="1:8" ht="17.25" customHeight="1">
      <c r="A68" s="46" t="str">
        <f t="shared" si="0"/>
        <v/>
      </c>
      <c r="B68" s="215"/>
      <c r="C68" s="215"/>
      <c r="D68" s="1"/>
      <c r="E68" s="216"/>
      <c r="F68" s="217"/>
      <c r="G68" s="108"/>
      <c r="H68" s="1"/>
    </row>
    <row r="69" spans="1:8" ht="17.25" customHeight="1">
      <c r="A69" s="46" t="str">
        <f t="shared" si="0"/>
        <v/>
      </c>
      <c r="B69" s="215"/>
      <c r="C69" s="215"/>
      <c r="D69" s="1"/>
      <c r="E69" s="216"/>
      <c r="F69" s="217"/>
      <c r="G69" s="108"/>
      <c r="H69" s="1"/>
    </row>
    <row r="70" spans="1:8" ht="17.25" customHeight="1">
      <c r="A70" s="46" t="str">
        <f t="shared" si="0"/>
        <v/>
      </c>
      <c r="B70" s="215"/>
      <c r="C70" s="215"/>
      <c r="D70" s="1"/>
      <c r="E70" s="216"/>
      <c r="F70" s="217"/>
      <c r="G70" s="108"/>
      <c r="H70" s="1"/>
    </row>
    <row r="71" spans="1:8" ht="17.25" customHeight="1">
      <c r="A71" s="46" t="str">
        <f t="shared" si="0"/>
        <v/>
      </c>
      <c r="B71" s="215"/>
      <c r="C71" s="215"/>
      <c r="D71" s="1"/>
      <c r="E71" s="216"/>
      <c r="F71" s="217"/>
      <c r="G71" s="108"/>
      <c r="H71" s="1"/>
    </row>
    <row r="72" spans="1:8" ht="17.25" customHeight="1">
      <c r="A72" s="46" t="str">
        <f t="shared" si="0"/>
        <v/>
      </c>
      <c r="B72" s="215"/>
      <c r="C72" s="215"/>
      <c r="D72" s="1"/>
      <c r="E72" s="216"/>
      <c r="F72" s="217"/>
      <c r="G72" s="108"/>
      <c r="H72" s="1"/>
    </row>
    <row r="73" spans="1:8" ht="17.25" customHeight="1">
      <c r="A73" s="46" t="str">
        <f t="shared" si="0"/>
        <v/>
      </c>
      <c r="B73" s="221"/>
      <c r="C73" s="215"/>
      <c r="D73" s="1"/>
      <c r="E73" s="216"/>
      <c r="F73" s="217"/>
      <c r="G73" s="108"/>
      <c r="H73" s="1"/>
    </row>
    <row r="74" spans="1:8" ht="17.25" customHeight="1">
      <c r="A74" s="46" t="str">
        <f t="shared" si="0"/>
        <v/>
      </c>
      <c r="B74" s="221"/>
      <c r="C74" s="215"/>
      <c r="D74" s="1"/>
      <c r="E74" s="216"/>
      <c r="F74" s="220"/>
      <c r="G74" s="108"/>
      <c r="H74" s="1"/>
    </row>
    <row r="75" spans="1:8" ht="17.25" customHeight="1">
      <c r="A75" s="46" t="str">
        <f t="shared" si="0"/>
        <v/>
      </c>
      <c r="B75" s="221"/>
      <c r="C75" s="215"/>
      <c r="D75" s="1"/>
      <c r="E75" s="216"/>
      <c r="F75" s="217"/>
      <c r="G75" s="108"/>
      <c r="H75" s="1"/>
    </row>
    <row r="76" spans="1:8" ht="17.25" customHeight="1">
      <c r="A76" s="46" t="str">
        <f t="shared" si="0"/>
        <v/>
      </c>
      <c r="B76" s="215"/>
      <c r="C76" s="215"/>
      <c r="D76" s="1"/>
      <c r="E76" s="216"/>
      <c r="F76" s="217"/>
      <c r="G76" s="108"/>
      <c r="H76" s="1"/>
    </row>
    <row r="77" spans="1:8" ht="17.25" customHeight="1">
      <c r="A77" s="46" t="str">
        <f t="shared" si="0"/>
        <v/>
      </c>
      <c r="B77" s="215"/>
      <c r="C77" s="215"/>
      <c r="D77" s="1"/>
      <c r="E77" s="216"/>
      <c r="F77" s="217"/>
      <c r="G77" s="108"/>
      <c r="H77" s="1"/>
    </row>
    <row r="78" spans="1:8" ht="17.25" customHeight="1">
      <c r="A78" s="46" t="str">
        <f t="shared" si="0"/>
        <v/>
      </c>
      <c r="B78" s="221"/>
      <c r="C78" s="215"/>
      <c r="D78" s="1"/>
      <c r="E78" s="216"/>
      <c r="F78" s="217"/>
      <c r="G78" s="108"/>
      <c r="H78" s="1"/>
    </row>
    <row r="79" spans="1:8" ht="17.25" customHeight="1">
      <c r="A79" s="46" t="str">
        <f t="shared" si="0"/>
        <v/>
      </c>
      <c r="B79" s="221"/>
      <c r="C79" s="215"/>
      <c r="D79" s="1"/>
      <c r="E79" s="216"/>
      <c r="F79" s="217"/>
      <c r="G79" s="108"/>
      <c r="H79" s="1"/>
    </row>
    <row r="80" spans="1:8" ht="17.25" customHeight="1">
      <c r="A80" s="46" t="str">
        <f t="shared" si="0"/>
        <v/>
      </c>
      <c r="B80" s="215"/>
      <c r="C80" s="215"/>
      <c r="D80" s="1"/>
      <c r="E80" s="216"/>
      <c r="F80" s="217"/>
      <c r="G80" s="108"/>
      <c r="H80" s="1"/>
    </row>
    <row r="81" spans="1:8" ht="17.25" customHeight="1">
      <c r="A81" s="46" t="str">
        <f t="shared" si="0"/>
        <v/>
      </c>
      <c r="B81" s="221"/>
      <c r="C81" s="215"/>
      <c r="D81" s="1"/>
      <c r="E81" s="216"/>
      <c r="F81" s="217"/>
      <c r="G81" s="108"/>
      <c r="H81" s="1"/>
    </row>
    <row r="82" spans="1:8" ht="17.25" customHeight="1">
      <c r="A82" s="46" t="str">
        <f t="shared" si="0"/>
        <v/>
      </c>
      <c r="B82" s="221"/>
      <c r="C82" s="215"/>
      <c r="D82" s="1"/>
      <c r="E82" s="216"/>
      <c r="F82" s="217"/>
      <c r="G82" s="108"/>
      <c r="H82" s="1"/>
    </row>
    <row r="83" spans="1:8" ht="17.25" customHeight="1">
      <c r="A83" s="46" t="str">
        <f t="shared" si="0"/>
        <v/>
      </c>
      <c r="B83" s="221"/>
      <c r="C83" s="215"/>
      <c r="D83" s="1"/>
      <c r="E83" s="216"/>
      <c r="F83" s="217"/>
      <c r="G83" s="108"/>
      <c r="H83" s="1"/>
    </row>
    <row r="84" spans="1:8" ht="17.25" customHeight="1">
      <c r="A84" s="46" t="str">
        <f t="shared" si="0"/>
        <v/>
      </c>
      <c r="B84" s="215"/>
      <c r="C84" s="215"/>
      <c r="D84" s="1"/>
      <c r="E84" s="216"/>
      <c r="F84" s="217"/>
      <c r="G84" s="108"/>
      <c r="H84" s="1"/>
    </row>
    <row r="85" spans="1:8" ht="17.25" customHeight="1">
      <c r="A85" s="46" t="str">
        <f t="shared" si="0"/>
        <v/>
      </c>
      <c r="B85" s="221"/>
      <c r="C85" s="215"/>
      <c r="D85" s="1"/>
      <c r="E85" s="216"/>
      <c r="F85" s="217"/>
      <c r="G85" s="108"/>
      <c r="H85" s="1"/>
    </row>
    <row r="86" spans="1:8" ht="17.25" customHeight="1">
      <c r="A86" s="46" t="str">
        <f t="shared" si="0"/>
        <v/>
      </c>
      <c r="B86" s="221"/>
      <c r="C86" s="215"/>
      <c r="D86" s="1"/>
      <c r="E86" s="216"/>
      <c r="F86" s="217"/>
      <c r="G86" s="108"/>
      <c r="H86" s="1"/>
    </row>
    <row r="87" spans="1:8" ht="17.25" customHeight="1">
      <c r="A87" s="46" t="str">
        <f t="shared" si="0"/>
        <v/>
      </c>
      <c r="B87" s="215"/>
      <c r="C87" s="215"/>
      <c r="D87" s="1"/>
      <c r="E87" s="216"/>
      <c r="F87" s="217"/>
      <c r="G87" s="108"/>
      <c r="H87" s="1"/>
    </row>
    <row r="88" spans="1:8" ht="17.25" customHeight="1">
      <c r="A88" s="46" t="str">
        <f t="shared" si="0"/>
        <v/>
      </c>
      <c r="B88" s="215"/>
      <c r="C88" s="215"/>
      <c r="D88" s="1"/>
      <c r="E88" s="216"/>
      <c r="F88" s="217"/>
      <c r="G88" s="108"/>
      <c r="H88" s="1"/>
    </row>
    <row r="89" spans="1:8" ht="17.25" customHeight="1">
      <c r="A89" s="46" t="str">
        <f t="shared" si="0"/>
        <v/>
      </c>
      <c r="B89" s="221"/>
      <c r="C89" s="215"/>
      <c r="D89" s="1"/>
      <c r="E89" s="216"/>
      <c r="F89" s="217"/>
      <c r="G89" s="108"/>
      <c r="H89" s="1"/>
    </row>
    <row r="90" spans="1:8" ht="17.25" customHeight="1">
      <c r="A90" s="46" t="str">
        <f t="shared" si="0"/>
        <v/>
      </c>
      <c r="B90" s="215"/>
      <c r="C90" s="215"/>
      <c r="D90" s="1"/>
      <c r="E90" s="216"/>
      <c r="F90" s="217"/>
      <c r="G90" s="108"/>
      <c r="H90" s="1"/>
    </row>
    <row r="91" spans="1:8" ht="17.25" customHeight="1">
      <c r="A91" s="46" t="str">
        <f t="shared" si="0"/>
        <v/>
      </c>
      <c r="B91" s="221"/>
      <c r="C91" s="215"/>
      <c r="D91" s="1"/>
      <c r="E91" s="216"/>
      <c r="F91" s="220"/>
      <c r="G91" s="108"/>
      <c r="H91" s="1"/>
    </row>
    <row r="92" spans="1:8" ht="17.25" customHeight="1">
      <c r="A92" s="46" t="str">
        <f t="shared" si="0"/>
        <v/>
      </c>
      <c r="B92" s="215"/>
      <c r="C92" s="215"/>
      <c r="D92" s="1"/>
      <c r="E92" s="216"/>
      <c r="F92" s="217"/>
      <c r="G92" s="108"/>
      <c r="H92" s="1"/>
    </row>
    <row r="93" spans="1:8" ht="17.25" customHeight="1">
      <c r="A93" s="46" t="str">
        <f t="shared" si="0"/>
        <v/>
      </c>
      <c r="B93" s="215"/>
      <c r="C93" s="215"/>
      <c r="D93" s="1"/>
      <c r="E93" s="216"/>
      <c r="F93" s="217"/>
      <c r="G93" s="108"/>
      <c r="H93" s="1"/>
    </row>
    <row r="94" spans="1:8" ht="17.25" customHeight="1">
      <c r="A94" s="46" t="str">
        <f t="shared" si="0"/>
        <v/>
      </c>
      <c r="B94" s="215"/>
      <c r="C94" s="215"/>
      <c r="D94" s="1"/>
      <c r="E94" s="216"/>
      <c r="F94" s="217"/>
      <c r="G94" s="108"/>
      <c r="H94" s="1"/>
    </row>
    <row r="95" spans="1:8" ht="17.25" customHeight="1">
      <c r="A95" s="46" t="str">
        <f t="shared" si="0"/>
        <v/>
      </c>
      <c r="B95" s="221"/>
      <c r="C95" s="215"/>
      <c r="D95" s="1"/>
      <c r="E95" s="216"/>
      <c r="F95" s="217"/>
      <c r="G95" s="108"/>
      <c r="H95" s="1"/>
    </row>
    <row r="96" spans="1:8" ht="17.25" customHeight="1">
      <c r="A96" s="46" t="str">
        <f t="shared" si="0"/>
        <v/>
      </c>
      <c r="B96" s="215"/>
      <c r="C96" s="215"/>
      <c r="D96" s="231"/>
      <c r="E96" s="216"/>
      <c r="F96" s="217"/>
      <c r="G96" s="108"/>
      <c r="H96" s="1"/>
    </row>
    <row r="97" spans="1:8" ht="17.25" customHeight="1">
      <c r="A97" s="46" t="str">
        <f t="shared" si="0"/>
        <v/>
      </c>
      <c r="B97" s="215"/>
      <c r="C97" s="215"/>
      <c r="D97" s="1"/>
      <c r="E97" s="216"/>
      <c r="F97" s="217"/>
      <c r="G97" s="108"/>
      <c r="H97" s="1"/>
    </row>
    <row r="98" spans="1:8" ht="17.25" customHeight="1">
      <c r="A98" s="46" t="str">
        <f t="shared" si="0"/>
        <v/>
      </c>
      <c r="B98" s="215"/>
      <c r="C98" s="215"/>
      <c r="D98" s="1"/>
      <c r="E98" s="216"/>
      <c r="F98" s="217"/>
      <c r="G98" s="108"/>
      <c r="H98" s="1"/>
    </row>
    <row r="99" spans="1:8" ht="17.25" customHeight="1">
      <c r="A99" s="46" t="str">
        <f t="shared" si="0"/>
        <v/>
      </c>
      <c r="B99" s="221"/>
      <c r="C99" s="215"/>
      <c r="D99" s="1"/>
      <c r="E99" s="216"/>
      <c r="F99" s="220"/>
      <c r="G99" s="108"/>
      <c r="H99" s="1"/>
    </row>
    <row r="100" spans="1:8" ht="17.25" customHeight="1">
      <c r="A100" s="46" t="str">
        <f t="shared" si="0"/>
        <v/>
      </c>
      <c r="B100" s="221"/>
      <c r="C100" s="215"/>
      <c r="D100" s="1"/>
      <c r="E100" s="216"/>
      <c r="F100" s="217"/>
      <c r="G100" s="108"/>
      <c r="H100" s="1"/>
    </row>
    <row r="101" spans="1:8" ht="17.25" customHeight="1">
      <c r="A101" s="46" t="str">
        <f t="shared" si="0"/>
        <v/>
      </c>
      <c r="B101" s="221"/>
      <c r="C101" s="215"/>
      <c r="D101" s="1"/>
      <c r="E101" s="216"/>
      <c r="F101" s="217"/>
      <c r="G101" s="108"/>
      <c r="H101" s="1"/>
    </row>
    <row r="102" spans="1:8" ht="17.25" customHeight="1">
      <c r="A102" s="46" t="str">
        <f t="shared" si="0"/>
        <v/>
      </c>
      <c r="B102" s="215"/>
      <c r="C102" s="215"/>
      <c r="D102" s="1"/>
      <c r="E102" s="216"/>
      <c r="F102" s="217"/>
      <c r="G102" s="108"/>
      <c r="H102" s="1"/>
    </row>
    <row r="103" spans="1:8" ht="17.25" customHeight="1">
      <c r="A103" s="46" t="str">
        <f t="shared" si="0"/>
        <v/>
      </c>
      <c r="B103" s="215"/>
      <c r="C103" s="215"/>
      <c r="D103" s="1"/>
      <c r="E103" s="216"/>
      <c r="F103" s="217"/>
      <c r="G103" s="108"/>
      <c r="H103" s="1"/>
    </row>
    <row r="104" spans="1:8" ht="17.25" customHeight="1">
      <c r="A104" s="46" t="str">
        <f t="shared" si="0"/>
        <v/>
      </c>
      <c r="B104" s="215"/>
      <c r="C104" s="215"/>
      <c r="D104" s="1"/>
      <c r="E104" s="216"/>
      <c r="F104" s="217"/>
      <c r="G104" s="108"/>
      <c r="H104" s="1"/>
    </row>
    <row r="105" spans="1:8" ht="17.25" customHeight="1">
      <c r="A105" s="46" t="str">
        <f t="shared" si="0"/>
        <v/>
      </c>
      <c r="B105" s="215"/>
      <c r="C105" s="215"/>
      <c r="D105" s="1"/>
      <c r="E105" s="216"/>
      <c r="F105" s="217"/>
      <c r="G105" s="108"/>
      <c r="H105" s="1"/>
    </row>
    <row r="106" spans="1:8" ht="17.25" customHeight="1">
      <c r="A106" s="46" t="str">
        <f t="shared" si="0"/>
        <v/>
      </c>
      <c r="B106" s="215"/>
      <c r="C106" s="215"/>
      <c r="D106" s="231"/>
      <c r="E106" s="216"/>
      <c r="F106" s="217"/>
      <c r="G106" s="108"/>
      <c r="H106" s="1"/>
    </row>
    <row r="107" spans="1:8" ht="17.25" customHeight="1">
      <c r="A107" s="46" t="str">
        <f t="shared" si="0"/>
        <v/>
      </c>
      <c r="B107" s="221"/>
      <c r="C107" s="215"/>
      <c r="D107" s="1"/>
      <c r="E107" s="216"/>
      <c r="F107" s="217"/>
      <c r="G107" s="108"/>
      <c r="H107" s="1"/>
    </row>
    <row r="108" spans="1:8" ht="17.25" customHeight="1">
      <c r="A108" s="46" t="str">
        <f t="shared" si="0"/>
        <v/>
      </c>
      <c r="B108" s="215"/>
      <c r="C108" s="215"/>
      <c r="D108" s="232"/>
      <c r="E108" s="216"/>
      <c r="F108" s="217"/>
      <c r="G108" s="108"/>
      <c r="H108" s="1"/>
    </row>
    <row r="109" spans="1:8" ht="17.2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</row>
    <row r="110" spans="1:8" ht="17.2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</row>
    <row r="111" spans="1:8" ht="17.2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</row>
    <row r="112" spans="1:8" ht="17.2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</row>
    <row r="113" spans="1:8" ht="17.2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</row>
    <row r="114" spans="1:8" ht="17.2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</row>
    <row r="115" spans="1:8" ht="17.2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</row>
    <row r="116" spans="1:8" ht="17.2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</row>
    <row r="117" spans="1:8" ht="17.2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</row>
    <row r="118" spans="1:8" ht="17.2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</row>
    <row r="119" spans="1:8" ht="17.2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</row>
    <row r="120" spans="1:8" ht="17.2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</row>
    <row r="121" spans="1:8" ht="17.2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</row>
    <row r="122" spans="1:8" ht="17.2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</row>
    <row r="123" spans="1:8" ht="17.2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</row>
    <row r="124" spans="1:8" ht="17.2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</row>
    <row r="125" spans="1:8" ht="17.2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</row>
    <row r="126" spans="1:8" ht="17.2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</row>
    <row r="127" spans="1:8" ht="17.2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</row>
    <row r="128" spans="1:8" ht="17.2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</row>
    <row r="129" spans="1:9" ht="17.2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</row>
    <row r="130" spans="1:9" ht="17.2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</row>
    <row r="131" spans="1:9" ht="17.2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</row>
    <row r="132" spans="1:9" ht="17.2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</row>
    <row r="133" spans="1:9" ht="17.2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</row>
    <row r="134" spans="1:9" ht="17.2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</row>
    <row r="135" spans="1:9" ht="17.2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</row>
    <row r="136" spans="1:9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9" ht="16.5" customHeight="1">
      <c r="A138" s="46"/>
      <c r="F138" s="167"/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 display="http://www.riss.kr/link?id=S418434"/>
    <hyperlink ref="G5" r:id="rId2" display="http://www.riss.kr/link?id=S16089"/>
    <hyperlink ref="G6" r:id="rId3" display="http://www.riss.kr/link?id=S16910"/>
    <hyperlink ref="G7" r:id="rId4" display="http://www.riss.kr/link?id=S20404"/>
    <hyperlink ref="G8" r:id="rId5" display="http://www.riss.kr/link?id=S16059"/>
    <hyperlink ref="G9" r:id="rId6" display="http://www.riss.kr/link?id=S16027"/>
    <hyperlink ref="G10" r:id="rId7" display="http://www.riss.kr/link?id=S115899"/>
    <hyperlink ref="G11" r:id="rId8" display="http://www.riss.kr/link?id=S20095808"/>
    <hyperlink ref="G12" r:id="rId9" display="http://www.riss.kr/link?id=S11573535"/>
    <hyperlink ref="G13" r:id="rId10" display="http://www.riss.kr/link?id=S413153"/>
    <hyperlink ref="G14" r:id="rId11" display="http://www.riss.kr/link?id=S16019"/>
    <hyperlink ref="G15" r:id="rId12" display="http://www.riss.kr/link?id=S16890"/>
    <hyperlink ref="G16" r:id="rId13" display="http://www.riss.kr/link?id=S417089"/>
    <hyperlink ref="G17" r:id="rId14" display="http://www.riss.kr/link?id=S20010735"/>
    <hyperlink ref="G18" r:id="rId15" display="http://www.riss.kr/link?id=S11644259"/>
    <hyperlink ref="G19" r:id="rId16" display="http://www.riss.kr/link?id=S5548"/>
    <hyperlink ref="G20" r:id="rId17" display="http://www.riss.kr/link?id=S410797"/>
    <hyperlink ref="G21" r:id="rId18" display="http://www.riss.kr/link?id=S13240"/>
    <hyperlink ref="G22" r:id="rId19" display="http://www.riss.kr/link?id=S5102"/>
    <hyperlink ref="G23" r:id="rId20" display="http://www.riss.kr/link?id=S31019601"/>
    <hyperlink ref="G24" r:id="rId21" display="http://www.riss.kr/link?id=S80310"/>
    <hyperlink ref="G25" r:id="rId22" display="http://www.riss.kr/link?id=S12014"/>
    <hyperlink ref="G26" r:id="rId23" display="http://www.riss.kr/link?id=S15985"/>
    <hyperlink ref="G27" r:id="rId24" display="http://www.riss.kr/link?id=S21690"/>
    <hyperlink ref="G28" r:id="rId25" display="http://www.riss.kr/link?id=S411651"/>
    <hyperlink ref="G29" r:id="rId26" display="http://www.riss.kr/link?id=S6141"/>
    <hyperlink ref="G30" r:id="rId27" display="http://www.riss.kr/link?id=S416102"/>
    <hyperlink ref="G31" r:id="rId28" display="http://www.riss.kr/link?id=S108985"/>
    <hyperlink ref="G32" r:id="rId29" display="http://www.riss.kr/link?id=S61213"/>
    <hyperlink ref="G33" r:id="rId30" display="http://www.riss.kr/link?id=S60981"/>
    <hyperlink ref="G34" r:id="rId31" display="http://www.riss.kr/link?id=S31000567"/>
    <hyperlink ref="G35" r:id="rId32" display="http://www.riss.kr/link?id=S80026"/>
    <hyperlink ref="G36" r:id="rId33" display="http://www.riss.kr/link?id=S63727"/>
    <hyperlink ref="G37" r:id="rId34" display="http://www.riss.kr/link?id=S63728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5032</v>
      </c>
      <c r="B1" s="290"/>
      <c r="C1" s="290"/>
      <c r="D1" s="290"/>
      <c r="E1" s="290"/>
      <c r="F1" s="290"/>
      <c r="G1" s="290"/>
      <c r="H1" s="290"/>
      <c r="J1" s="18" t="s">
        <v>233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33" t="s">
        <v>2</v>
      </c>
      <c r="B3" s="234" t="s">
        <v>4</v>
      </c>
      <c r="C3" s="234" t="s">
        <v>5</v>
      </c>
      <c r="D3" s="234" t="s">
        <v>6</v>
      </c>
      <c r="E3" s="234" t="s">
        <v>7</v>
      </c>
      <c r="F3" s="234" t="s">
        <v>8</v>
      </c>
      <c r="G3" s="234" t="s">
        <v>9</v>
      </c>
      <c r="H3" s="235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si="0">IF(B4="","",ROW(B4)-3)</f>
        <v>1</v>
      </c>
      <c r="B4" s="31" t="s">
        <v>234</v>
      </c>
      <c r="C4" s="19" t="s">
        <v>235</v>
      </c>
      <c r="D4" s="20" t="s">
        <v>5033</v>
      </c>
      <c r="E4" s="39" t="s">
        <v>170</v>
      </c>
      <c r="F4" s="206" t="s">
        <v>53</v>
      </c>
      <c r="G4" s="116" t="s">
        <v>237</v>
      </c>
      <c r="H4" s="24" t="s">
        <v>55</v>
      </c>
    </row>
    <row r="5" spans="1:26" ht="26.25" customHeight="1">
      <c r="A5" s="154">
        <f t="shared" si="0"/>
        <v>2</v>
      </c>
      <c r="B5" s="22" t="s">
        <v>241</v>
      </c>
      <c r="C5" s="42" t="s">
        <v>242</v>
      </c>
      <c r="D5" s="43" t="s">
        <v>243</v>
      </c>
      <c r="E5" s="83" t="s">
        <v>170</v>
      </c>
      <c r="F5" s="206" t="s">
        <v>31</v>
      </c>
      <c r="G5" s="207" t="s">
        <v>244</v>
      </c>
      <c r="H5" s="45" t="s">
        <v>55</v>
      </c>
    </row>
    <row r="6" spans="1:26" ht="26.25" customHeight="1">
      <c r="A6" s="154">
        <f t="shared" si="0"/>
        <v>3</v>
      </c>
      <c r="B6" s="31" t="s">
        <v>217</v>
      </c>
      <c r="C6" s="19" t="s">
        <v>242</v>
      </c>
      <c r="D6" s="20" t="s">
        <v>219</v>
      </c>
      <c r="E6" s="39" t="s">
        <v>265</v>
      </c>
      <c r="F6" s="206" t="s">
        <v>42</v>
      </c>
      <c r="G6" s="116" t="s">
        <v>266</v>
      </c>
      <c r="H6" s="24" t="s">
        <v>55</v>
      </c>
    </row>
    <row r="7" spans="1:26" ht="26.25" customHeight="1">
      <c r="A7" s="154">
        <f t="shared" si="0"/>
        <v>4</v>
      </c>
      <c r="B7" s="31" t="s">
        <v>270</v>
      </c>
      <c r="C7" s="19" t="s">
        <v>271</v>
      </c>
      <c r="D7" s="20" t="s">
        <v>272</v>
      </c>
      <c r="E7" s="39" t="s">
        <v>222</v>
      </c>
      <c r="F7" s="206" t="s">
        <v>31</v>
      </c>
      <c r="G7" s="116" t="s">
        <v>273</v>
      </c>
      <c r="H7" s="24" t="s">
        <v>55</v>
      </c>
    </row>
    <row r="8" spans="1:26" ht="26.25" customHeight="1">
      <c r="A8" s="154">
        <f t="shared" si="0"/>
        <v>5</v>
      </c>
      <c r="B8" s="31" t="s">
        <v>742</v>
      </c>
      <c r="C8" s="19" t="s">
        <v>743</v>
      </c>
      <c r="D8" s="20" t="s">
        <v>744</v>
      </c>
      <c r="E8" s="39" t="s">
        <v>52</v>
      </c>
      <c r="F8" s="206" t="s">
        <v>53</v>
      </c>
      <c r="G8" s="116" t="s">
        <v>745</v>
      </c>
      <c r="H8" s="95" t="s">
        <v>20</v>
      </c>
    </row>
    <row r="9" spans="1:26" ht="26.25" customHeight="1">
      <c r="A9" s="154">
        <f t="shared" si="0"/>
        <v>6</v>
      </c>
      <c r="B9" s="19" t="s">
        <v>1895</v>
      </c>
      <c r="C9" s="19" t="s">
        <v>112</v>
      </c>
      <c r="D9" s="20" t="s">
        <v>1896</v>
      </c>
      <c r="E9" s="39" t="s">
        <v>52</v>
      </c>
      <c r="F9" s="206" t="s">
        <v>42</v>
      </c>
      <c r="G9" s="116" t="s">
        <v>1897</v>
      </c>
      <c r="H9" s="24" t="s">
        <v>20</v>
      </c>
    </row>
    <row r="10" spans="1:26" ht="26.25" customHeight="1">
      <c r="A10" s="154">
        <f t="shared" si="0"/>
        <v>7</v>
      </c>
      <c r="B10" s="89" t="s">
        <v>1674</v>
      </c>
      <c r="C10" s="89" t="s">
        <v>939</v>
      </c>
      <c r="D10" s="90" t="s">
        <v>1675</v>
      </c>
      <c r="E10" s="236" t="s">
        <v>1986</v>
      </c>
      <c r="F10" s="206" t="s">
        <v>42</v>
      </c>
      <c r="G10" s="116" t="s">
        <v>1987</v>
      </c>
      <c r="H10" s="24" t="s">
        <v>20</v>
      </c>
    </row>
    <row r="11" spans="1:26" ht="26.25" customHeight="1">
      <c r="A11" s="154">
        <f t="shared" si="0"/>
        <v>8</v>
      </c>
      <c r="B11" s="31" t="s">
        <v>1996</v>
      </c>
      <c r="C11" s="19" t="s">
        <v>242</v>
      </c>
      <c r="D11" s="20" t="s">
        <v>1997</v>
      </c>
      <c r="E11" s="39" t="s">
        <v>1998</v>
      </c>
      <c r="F11" s="206" t="s">
        <v>42</v>
      </c>
      <c r="G11" s="116" t="s">
        <v>1999</v>
      </c>
      <c r="H11" s="24" t="s">
        <v>55</v>
      </c>
    </row>
    <row r="12" spans="1:26" ht="26.25" customHeight="1">
      <c r="A12" s="154">
        <f t="shared" si="0"/>
        <v>9</v>
      </c>
      <c r="B12" s="31" t="s">
        <v>585</v>
      </c>
      <c r="C12" s="19" t="s">
        <v>2156</v>
      </c>
      <c r="D12" s="20" t="s">
        <v>586</v>
      </c>
      <c r="E12" s="39" t="s">
        <v>2157</v>
      </c>
      <c r="F12" s="206" t="s">
        <v>42</v>
      </c>
      <c r="G12" s="116" t="s">
        <v>2158</v>
      </c>
      <c r="H12" s="24" t="s">
        <v>55</v>
      </c>
    </row>
    <row r="13" spans="1:26" ht="26.25" customHeight="1">
      <c r="A13" s="154">
        <f t="shared" si="0"/>
        <v>10</v>
      </c>
      <c r="B13" s="31" t="s">
        <v>591</v>
      </c>
      <c r="C13" s="19" t="s">
        <v>242</v>
      </c>
      <c r="D13" s="20" t="s">
        <v>592</v>
      </c>
      <c r="E13" s="39" t="s">
        <v>496</v>
      </c>
      <c r="F13" s="206" t="s">
        <v>42</v>
      </c>
      <c r="G13" s="116" t="s">
        <v>2355</v>
      </c>
      <c r="H13" s="24" t="s">
        <v>55</v>
      </c>
    </row>
    <row r="14" spans="1:26" ht="26.25" customHeight="1">
      <c r="A14" s="154">
        <f t="shared" si="0"/>
        <v>11</v>
      </c>
      <c r="B14" s="31" t="s">
        <v>598</v>
      </c>
      <c r="C14" s="19" t="s">
        <v>242</v>
      </c>
      <c r="D14" s="20" t="s">
        <v>599</v>
      </c>
      <c r="E14" s="39" t="s">
        <v>2387</v>
      </c>
      <c r="F14" s="206" t="s">
        <v>42</v>
      </c>
      <c r="G14" s="116" t="s">
        <v>2388</v>
      </c>
      <c r="H14" s="24" t="s">
        <v>55</v>
      </c>
    </row>
    <row r="15" spans="1:26" ht="26.25" customHeight="1">
      <c r="A15" s="154">
        <f t="shared" si="0"/>
        <v>12</v>
      </c>
      <c r="B15" s="31" t="s">
        <v>2406</v>
      </c>
      <c r="C15" s="19" t="s">
        <v>2407</v>
      </c>
      <c r="D15" s="20" t="s">
        <v>2408</v>
      </c>
      <c r="E15" s="39" t="s">
        <v>222</v>
      </c>
      <c r="F15" s="206" t="s">
        <v>31</v>
      </c>
      <c r="G15" s="116" t="s">
        <v>2409</v>
      </c>
      <c r="H15" s="24" t="s">
        <v>55</v>
      </c>
    </row>
    <row r="16" spans="1:26" ht="26.25" customHeight="1">
      <c r="A16" s="154">
        <f t="shared" si="0"/>
        <v>13</v>
      </c>
      <c r="B16" s="19" t="s">
        <v>2940</v>
      </c>
      <c r="C16" s="19" t="s">
        <v>141</v>
      </c>
      <c r="D16" s="20" t="s">
        <v>2941</v>
      </c>
      <c r="E16" s="39" t="s">
        <v>4985</v>
      </c>
      <c r="F16" s="206" t="s">
        <v>42</v>
      </c>
      <c r="G16" s="116" t="s">
        <v>2942</v>
      </c>
      <c r="H16" s="24" t="s">
        <v>20</v>
      </c>
    </row>
    <row r="17" spans="1:9" ht="26.25" customHeight="1">
      <c r="A17" s="154">
        <f t="shared" si="0"/>
        <v>14</v>
      </c>
      <c r="B17" s="19" t="s">
        <v>1667</v>
      </c>
      <c r="C17" s="19" t="s">
        <v>3058</v>
      </c>
      <c r="D17" s="20" t="s">
        <v>1669</v>
      </c>
      <c r="E17" s="39" t="s">
        <v>52</v>
      </c>
      <c r="F17" s="206" t="s">
        <v>53</v>
      </c>
      <c r="G17" s="116" t="s">
        <v>3059</v>
      </c>
      <c r="H17" s="24" t="s">
        <v>20</v>
      </c>
    </row>
    <row r="18" spans="1:9" ht="26.25" customHeight="1">
      <c r="A18" s="154">
        <f t="shared" si="0"/>
        <v>15</v>
      </c>
      <c r="B18" s="31" t="s">
        <v>3074</v>
      </c>
      <c r="C18" s="19" t="s">
        <v>3075</v>
      </c>
      <c r="D18" s="20" t="s">
        <v>3076</v>
      </c>
      <c r="E18" s="39">
        <v>1962</v>
      </c>
      <c r="F18" s="206" t="s">
        <v>53</v>
      </c>
      <c r="G18" s="116" t="s">
        <v>3077</v>
      </c>
      <c r="H18" s="24" t="s">
        <v>55</v>
      </c>
    </row>
    <row r="19" spans="1:9" ht="26.25" customHeight="1">
      <c r="A19" s="154">
        <f t="shared" si="0"/>
        <v>16</v>
      </c>
      <c r="B19" s="31" t="s">
        <v>3177</v>
      </c>
      <c r="C19" s="19" t="s">
        <v>1068</v>
      </c>
      <c r="D19" s="20" t="s">
        <v>3178</v>
      </c>
      <c r="E19" s="39" t="s">
        <v>3179</v>
      </c>
      <c r="F19" s="206" t="s">
        <v>53</v>
      </c>
      <c r="G19" s="116" t="s">
        <v>3180</v>
      </c>
      <c r="H19" s="24" t="s">
        <v>55</v>
      </c>
    </row>
    <row r="20" spans="1:9" ht="26.25" customHeight="1">
      <c r="A20" s="154">
        <f t="shared" si="0"/>
        <v>17</v>
      </c>
      <c r="B20" s="31" t="s">
        <v>3294</v>
      </c>
      <c r="C20" s="19" t="s">
        <v>45</v>
      </c>
      <c r="D20" s="20" t="s">
        <v>3295</v>
      </c>
      <c r="E20" s="39" t="s">
        <v>222</v>
      </c>
      <c r="F20" s="206" t="s">
        <v>42</v>
      </c>
      <c r="G20" s="116" t="s">
        <v>3296</v>
      </c>
      <c r="H20" s="24" t="s">
        <v>55</v>
      </c>
    </row>
    <row r="21" spans="1:9" ht="26.25" customHeight="1">
      <c r="A21" s="154">
        <f t="shared" si="0"/>
        <v>18</v>
      </c>
      <c r="B21" s="19" t="s">
        <v>3360</v>
      </c>
      <c r="C21" s="19" t="s">
        <v>141</v>
      </c>
      <c r="D21" s="20" t="s">
        <v>3361</v>
      </c>
      <c r="E21" s="39" t="s">
        <v>186</v>
      </c>
      <c r="F21" s="206" t="s">
        <v>42</v>
      </c>
      <c r="G21" s="116" t="s">
        <v>3362</v>
      </c>
      <c r="H21" s="24" t="s">
        <v>20</v>
      </c>
    </row>
    <row r="22" spans="1:9" ht="26.25" customHeight="1">
      <c r="A22" s="154">
        <f t="shared" si="0"/>
        <v>19</v>
      </c>
      <c r="B22" s="31" t="s">
        <v>3407</v>
      </c>
      <c r="C22" s="19" t="s">
        <v>3408</v>
      </c>
      <c r="D22" s="20" t="s">
        <v>122</v>
      </c>
      <c r="E22" s="39" t="s">
        <v>3409</v>
      </c>
      <c r="F22" s="206" t="s">
        <v>42</v>
      </c>
      <c r="G22" s="116" t="s">
        <v>3410</v>
      </c>
      <c r="H22" s="24" t="s">
        <v>55</v>
      </c>
    </row>
    <row r="23" spans="1:9" ht="26.25" customHeight="1">
      <c r="A23" s="154">
        <f t="shared" si="0"/>
        <v>20</v>
      </c>
      <c r="B23" s="31" t="s">
        <v>3473</v>
      </c>
      <c r="C23" s="19" t="s">
        <v>3474</v>
      </c>
      <c r="D23" s="20" t="s">
        <v>3475</v>
      </c>
      <c r="E23" s="39" t="s">
        <v>3476</v>
      </c>
      <c r="F23" s="206" t="s">
        <v>42</v>
      </c>
      <c r="G23" s="116" t="s">
        <v>3477</v>
      </c>
      <c r="H23" s="24" t="s">
        <v>55</v>
      </c>
    </row>
    <row r="24" spans="1:9" ht="26.25" customHeight="1">
      <c r="A24" s="154">
        <f t="shared" si="0"/>
        <v>21</v>
      </c>
      <c r="B24" s="19" t="s">
        <v>3492</v>
      </c>
      <c r="C24" s="19" t="s">
        <v>3493</v>
      </c>
      <c r="D24" s="20" t="s">
        <v>3494</v>
      </c>
      <c r="E24" s="39" t="s">
        <v>52</v>
      </c>
      <c r="F24" s="206" t="s">
        <v>63</v>
      </c>
      <c r="G24" s="116" t="s">
        <v>3495</v>
      </c>
      <c r="H24" s="24" t="s">
        <v>20</v>
      </c>
    </row>
    <row r="25" spans="1:9" ht="26.25" customHeight="1">
      <c r="A25" s="154">
        <f t="shared" si="0"/>
        <v>22</v>
      </c>
      <c r="B25" s="19" t="s">
        <v>3921</v>
      </c>
      <c r="C25" s="19" t="s">
        <v>3922</v>
      </c>
      <c r="D25" s="20" t="s">
        <v>3923</v>
      </c>
      <c r="E25" s="39" t="s">
        <v>5034</v>
      </c>
      <c r="F25" s="206" t="s">
        <v>53</v>
      </c>
      <c r="G25" s="116" t="s">
        <v>3925</v>
      </c>
      <c r="H25" s="24" t="s">
        <v>20</v>
      </c>
    </row>
    <row r="26" spans="1:9" ht="26.25" customHeight="1">
      <c r="A26" s="154">
        <f t="shared" si="0"/>
        <v>23</v>
      </c>
      <c r="B26" s="19" t="s">
        <v>4021</v>
      </c>
      <c r="C26" s="19" t="s">
        <v>4022</v>
      </c>
      <c r="D26" s="20" t="s">
        <v>4023</v>
      </c>
      <c r="E26" s="39" t="s">
        <v>5035</v>
      </c>
      <c r="F26" s="206" t="s">
        <v>53</v>
      </c>
      <c r="G26" s="116" t="s">
        <v>4025</v>
      </c>
      <c r="H26" s="24" t="s">
        <v>20</v>
      </c>
    </row>
    <row r="27" spans="1:9" ht="26.25" customHeight="1">
      <c r="A27" s="154">
        <f t="shared" si="0"/>
        <v>24</v>
      </c>
      <c r="B27" s="42" t="s">
        <v>4266</v>
      </c>
      <c r="C27" s="42" t="s">
        <v>4267</v>
      </c>
      <c r="D27" s="43" t="s">
        <v>1830</v>
      </c>
      <c r="E27" s="83" t="s">
        <v>178</v>
      </c>
      <c r="F27" s="206" t="s">
        <v>53</v>
      </c>
      <c r="G27" s="207" t="s">
        <v>4268</v>
      </c>
      <c r="H27" s="45" t="s">
        <v>20</v>
      </c>
    </row>
    <row r="28" spans="1:9" ht="26.25" customHeight="1">
      <c r="A28" s="211">
        <f t="shared" si="0"/>
        <v>25</v>
      </c>
      <c r="B28" s="118" t="s">
        <v>4269</v>
      </c>
      <c r="C28" s="118" t="s">
        <v>4270</v>
      </c>
      <c r="D28" s="119" t="s">
        <v>1836</v>
      </c>
      <c r="E28" s="212" t="s">
        <v>178</v>
      </c>
      <c r="F28" s="213" t="s">
        <v>53</v>
      </c>
      <c r="G28" s="214" t="s">
        <v>4271</v>
      </c>
      <c r="H28" s="165" t="s">
        <v>20</v>
      </c>
    </row>
    <row r="29" spans="1:9" ht="17.25" customHeight="1">
      <c r="A29" s="46" t="str">
        <f t="shared" si="0"/>
        <v/>
      </c>
      <c r="B29" s="215"/>
      <c r="C29" s="215"/>
      <c r="D29" s="1"/>
      <c r="E29" s="216"/>
      <c r="F29" s="217"/>
      <c r="G29" s="108"/>
      <c r="H29" s="1"/>
      <c r="I29" s="5"/>
    </row>
    <row r="30" spans="1:9" ht="17.25" customHeight="1">
      <c r="A30" s="46" t="str">
        <f t="shared" si="0"/>
        <v/>
      </c>
      <c r="B30" s="221"/>
      <c r="C30" s="215"/>
      <c r="D30" s="1"/>
      <c r="E30" s="216"/>
      <c r="F30" s="217"/>
      <c r="G30" s="108"/>
      <c r="H30" s="1"/>
      <c r="I30" s="5"/>
    </row>
    <row r="31" spans="1:9" ht="17.25" customHeight="1">
      <c r="A31" s="46" t="str">
        <f t="shared" si="0"/>
        <v/>
      </c>
      <c r="B31" s="215"/>
      <c r="C31" s="215"/>
      <c r="D31" s="1"/>
      <c r="E31" s="216"/>
      <c r="F31" s="217"/>
      <c r="G31" s="108"/>
      <c r="H31" s="1"/>
      <c r="I31" s="5"/>
    </row>
    <row r="32" spans="1:9" ht="17.25" customHeight="1">
      <c r="A32" s="46" t="str">
        <f t="shared" si="0"/>
        <v/>
      </c>
      <c r="B32" s="221"/>
      <c r="C32" s="215"/>
      <c r="D32" s="1"/>
      <c r="E32" s="216"/>
      <c r="F32" s="217"/>
      <c r="G32" s="108"/>
      <c r="H32" s="1"/>
      <c r="I32" s="5"/>
    </row>
    <row r="33" spans="1:9" ht="17.25" customHeight="1">
      <c r="A33" s="46" t="str">
        <f t="shared" si="0"/>
        <v/>
      </c>
      <c r="B33" s="215"/>
      <c r="C33" s="215"/>
      <c r="D33" s="1"/>
      <c r="E33" s="216"/>
      <c r="F33" s="217"/>
      <c r="G33" s="108"/>
      <c r="H33" s="1"/>
      <c r="I33" s="5"/>
    </row>
    <row r="34" spans="1:9" ht="17.25" customHeight="1">
      <c r="A34" s="46" t="str">
        <f t="shared" si="0"/>
        <v/>
      </c>
      <c r="B34" s="221"/>
      <c r="C34" s="215"/>
      <c r="D34" s="1"/>
      <c r="E34" s="216"/>
      <c r="F34" s="217"/>
      <c r="G34" s="108"/>
      <c r="H34" s="1"/>
      <c r="I34" s="5"/>
    </row>
    <row r="35" spans="1:9" ht="17.25" customHeight="1">
      <c r="A35" s="46" t="str">
        <f t="shared" si="0"/>
        <v/>
      </c>
      <c r="B35" s="221"/>
      <c r="C35" s="215"/>
      <c r="D35" s="1"/>
      <c r="E35" s="216"/>
      <c r="F35" s="217"/>
      <c r="G35" s="108"/>
      <c r="H35" s="1"/>
      <c r="I35" s="5"/>
    </row>
    <row r="36" spans="1:9" ht="17.25" customHeight="1">
      <c r="A36" s="46" t="str">
        <f t="shared" si="0"/>
        <v/>
      </c>
      <c r="B36" s="215"/>
      <c r="C36" s="215"/>
      <c r="D36" s="1"/>
      <c r="E36" s="216"/>
      <c r="F36" s="217"/>
      <c r="G36" s="108"/>
      <c r="H36" s="1"/>
      <c r="I36" s="5"/>
    </row>
    <row r="37" spans="1:9" ht="17.25" customHeight="1">
      <c r="A37" s="46" t="str">
        <f t="shared" si="0"/>
        <v/>
      </c>
      <c r="B37" s="221"/>
      <c r="C37" s="215"/>
      <c r="D37" s="1"/>
      <c r="E37" s="216"/>
      <c r="F37" s="217"/>
      <c r="G37" s="108"/>
      <c r="H37" s="1"/>
      <c r="I37" s="5"/>
    </row>
    <row r="38" spans="1:9" ht="17.25" customHeight="1">
      <c r="A38" s="46" t="str">
        <f t="shared" si="0"/>
        <v/>
      </c>
      <c r="B38" s="221"/>
      <c r="C38" s="215"/>
      <c r="D38" s="1"/>
      <c r="E38" s="216"/>
      <c r="F38" s="217"/>
      <c r="G38" s="108"/>
      <c r="H38" s="1"/>
      <c r="I38" s="5"/>
    </row>
    <row r="39" spans="1:9" ht="17.25" customHeight="1">
      <c r="A39" s="46" t="str">
        <f t="shared" si="0"/>
        <v/>
      </c>
      <c r="B39" s="215"/>
      <c r="C39" s="215"/>
      <c r="D39" s="1"/>
      <c r="E39" s="216"/>
      <c r="F39" s="217"/>
      <c r="G39" s="108"/>
      <c r="H39" s="1"/>
      <c r="I39" s="5"/>
    </row>
    <row r="40" spans="1:9" ht="17.25" customHeight="1">
      <c r="A40" s="46" t="str">
        <f t="shared" si="0"/>
        <v/>
      </c>
      <c r="B40" s="221"/>
      <c r="C40" s="215"/>
      <c r="D40" s="1"/>
      <c r="E40" s="216"/>
      <c r="F40" s="217"/>
      <c r="G40" s="108"/>
      <c r="H40" s="1"/>
      <c r="I40" s="5"/>
    </row>
    <row r="41" spans="1:9" ht="17.25" customHeight="1">
      <c r="A41" s="46" t="str">
        <f t="shared" si="0"/>
        <v/>
      </c>
      <c r="B41" s="215"/>
      <c r="C41" s="215"/>
      <c r="D41" s="1"/>
      <c r="E41" s="216"/>
      <c r="F41" s="217"/>
      <c r="G41" s="108"/>
      <c r="H41" s="1"/>
      <c r="I41" s="5"/>
    </row>
    <row r="42" spans="1:9" ht="17.25" customHeight="1">
      <c r="A42" s="46" t="str">
        <f t="shared" si="0"/>
        <v/>
      </c>
      <c r="B42" s="215"/>
      <c r="C42" s="215"/>
      <c r="D42" s="1"/>
      <c r="E42" s="216"/>
      <c r="F42" s="217"/>
      <c r="G42" s="108"/>
      <c r="H42" s="1"/>
      <c r="I42" s="5"/>
    </row>
    <row r="43" spans="1:9" ht="17.25" customHeight="1">
      <c r="A43" s="46" t="str">
        <f t="shared" si="0"/>
        <v/>
      </c>
      <c r="B43" s="215"/>
      <c r="C43" s="215"/>
      <c r="D43" s="1"/>
      <c r="E43" s="216"/>
      <c r="F43" s="217"/>
      <c r="G43" s="108"/>
      <c r="H43" s="1"/>
      <c r="I43" s="5"/>
    </row>
    <row r="44" spans="1:9" ht="17.25" customHeight="1">
      <c r="A44" s="46" t="str">
        <f t="shared" si="0"/>
        <v/>
      </c>
      <c r="B44" s="221"/>
      <c r="C44" s="215"/>
      <c r="D44" s="1"/>
      <c r="E44" s="216"/>
      <c r="F44" s="217"/>
      <c r="G44" s="108"/>
      <c r="H44" s="1"/>
      <c r="I44" s="5"/>
    </row>
    <row r="45" spans="1:9" ht="17.25" customHeight="1">
      <c r="A45" s="46" t="str">
        <f t="shared" si="0"/>
        <v/>
      </c>
      <c r="B45" s="215"/>
      <c r="C45" s="215"/>
      <c r="D45" s="1"/>
      <c r="E45" s="216"/>
      <c r="F45" s="217"/>
      <c r="G45" s="108"/>
      <c r="H45" s="1"/>
      <c r="I45" s="5"/>
    </row>
    <row r="46" spans="1:9" ht="17.25" customHeight="1">
      <c r="A46" s="46" t="str">
        <f t="shared" si="0"/>
        <v/>
      </c>
      <c r="B46" s="215"/>
      <c r="C46" s="215"/>
      <c r="D46" s="1"/>
      <c r="E46" s="216"/>
      <c r="F46" s="217"/>
      <c r="G46" s="108"/>
      <c r="H46" s="1"/>
      <c r="I46" s="5"/>
    </row>
    <row r="47" spans="1:9" ht="17.25" customHeight="1">
      <c r="A47" s="46" t="str">
        <f t="shared" si="0"/>
        <v/>
      </c>
      <c r="B47" s="221"/>
      <c r="C47" s="215"/>
      <c r="D47" s="1"/>
      <c r="E47" s="216"/>
      <c r="F47" s="217"/>
      <c r="G47" s="108"/>
      <c r="H47" s="1"/>
      <c r="I47" s="5"/>
    </row>
    <row r="48" spans="1:9" ht="17.25" customHeight="1">
      <c r="A48" s="46" t="str">
        <f t="shared" si="0"/>
        <v/>
      </c>
      <c r="B48" s="215"/>
      <c r="C48" s="215"/>
      <c r="D48" s="1"/>
      <c r="E48" s="216"/>
      <c r="F48" s="217"/>
      <c r="G48" s="108"/>
      <c r="H48" s="1"/>
      <c r="I48" s="5"/>
    </row>
    <row r="49" spans="1:9" ht="17.25" customHeight="1">
      <c r="A49" s="46" t="str">
        <f t="shared" si="0"/>
        <v/>
      </c>
      <c r="B49" s="221"/>
      <c r="C49" s="215"/>
      <c r="D49" s="1"/>
      <c r="E49" s="216"/>
      <c r="F49" s="217"/>
      <c r="G49" s="108"/>
      <c r="H49" s="1"/>
      <c r="I49" s="5"/>
    </row>
    <row r="50" spans="1:9" ht="17.25" customHeight="1">
      <c r="A50" s="46" t="str">
        <f t="shared" si="0"/>
        <v/>
      </c>
      <c r="B50" s="215"/>
      <c r="C50" s="215"/>
      <c r="D50" s="1"/>
      <c r="E50" s="216"/>
      <c r="F50" s="217"/>
      <c r="G50" s="108"/>
      <c r="H50" s="1"/>
      <c r="I50" s="5"/>
    </row>
    <row r="51" spans="1:9" ht="17.25" customHeight="1">
      <c r="A51" s="46" t="str">
        <f t="shared" si="0"/>
        <v/>
      </c>
      <c r="B51" s="215"/>
      <c r="C51" s="215"/>
      <c r="D51" s="1"/>
      <c r="E51" s="216"/>
      <c r="F51" s="217"/>
      <c r="G51" s="108"/>
      <c r="H51" s="1"/>
      <c r="I51" s="5"/>
    </row>
    <row r="52" spans="1:9" ht="17.25" customHeight="1">
      <c r="A52" s="46" t="str">
        <f t="shared" si="0"/>
        <v/>
      </c>
      <c r="B52" s="215"/>
      <c r="C52" s="215"/>
      <c r="D52" s="1"/>
      <c r="E52" s="216"/>
      <c r="F52" s="217"/>
      <c r="G52" s="108"/>
      <c r="H52" s="1"/>
      <c r="I52" s="5"/>
    </row>
    <row r="53" spans="1:9" ht="17.25" customHeight="1">
      <c r="A53" s="46" t="str">
        <f t="shared" si="0"/>
        <v/>
      </c>
      <c r="B53" s="215"/>
      <c r="C53" s="215"/>
      <c r="D53" s="1"/>
      <c r="E53" s="216"/>
      <c r="F53" s="217"/>
      <c r="G53" s="108"/>
      <c r="H53" s="1"/>
      <c r="I53" s="5"/>
    </row>
    <row r="54" spans="1:9" ht="17.25" customHeight="1">
      <c r="A54" s="46" t="str">
        <f t="shared" si="0"/>
        <v/>
      </c>
      <c r="B54" s="215"/>
      <c r="C54" s="215"/>
      <c r="D54" s="1"/>
      <c r="E54" s="216"/>
      <c r="F54" s="217"/>
      <c r="G54" s="108"/>
      <c r="H54" s="1"/>
      <c r="I54" s="5"/>
    </row>
    <row r="55" spans="1:9" ht="17.25" customHeight="1">
      <c r="A55" s="46" t="str">
        <f t="shared" si="0"/>
        <v/>
      </c>
      <c r="B55" s="221"/>
      <c r="C55" s="215"/>
      <c r="D55" s="1"/>
      <c r="E55" s="216"/>
      <c r="F55" s="217"/>
      <c r="G55" s="108"/>
      <c r="H55" s="1"/>
      <c r="I55" s="5"/>
    </row>
    <row r="56" spans="1:9" ht="17.25" customHeight="1">
      <c r="A56" s="46" t="str">
        <f t="shared" si="0"/>
        <v/>
      </c>
      <c r="B56" s="215"/>
      <c r="C56" s="215"/>
      <c r="D56" s="1"/>
      <c r="E56" s="216"/>
      <c r="F56" s="217"/>
      <c r="G56" s="108"/>
      <c r="H56" s="1"/>
      <c r="I56" s="5"/>
    </row>
    <row r="57" spans="1:9" ht="17.25" customHeight="1">
      <c r="A57" s="46" t="str">
        <f t="shared" si="0"/>
        <v/>
      </c>
      <c r="B57" s="221"/>
      <c r="C57" s="215"/>
      <c r="D57" s="1"/>
      <c r="E57" s="216"/>
      <c r="F57" s="217"/>
      <c r="G57" s="108"/>
      <c r="H57" s="1"/>
      <c r="I57" s="5"/>
    </row>
    <row r="58" spans="1:9" ht="17.25" customHeight="1">
      <c r="A58" s="46" t="str">
        <f t="shared" si="0"/>
        <v/>
      </c>
      <c r="B58" s="221"/>
      <c r="C58" s="215"/>
      <c r="D58" s="1"/>
      <c r="E58" s="216"/>
      <c r="F58" s="217"/>
      <c r="G58" s="108"/>
      <c r="H58" s="1"/>
      <c r="I58" s="5"/>
    </row>
    <row r="59" spans="1:9" ht="17.25" customHeight="1">
      <c r="A59" s="46" t="str">
        <f t="shared" si="0"/>
        <v/>
      </c>
      <c r="B59" s="221"/>
      <c r="C59" s="215"/>
      <c r="D59" s="1"/>
      <c r="E59" s="216"/>
      <c r="F59" s="217"/>
      <c r="G59" s="108"/>
      <c r="H59" s="1"/>
      <c r="I59" s="5"/>
    </row>
    <row r="60" spans="1:9" ht="17.25" customHeight="1">
      <c r="A60" s="46" t="str">
        <f t="shared" si="0"/>
        <v/>
      </c>
      <c r="B60" s="220"/>
      <c r="C60" s="216"/>
      <c r="D60" s="1"/>
      <c r="E60" s="229"/>
      <c r="F60" s="99"/>
      <c r="G60" s="230"/>
      <c r="H60" s="1"/>
      <c r="I60" s="5"/>
    </row>
    <row r="61" spans="1:9" ht="17.25" customHeight="1">
      <c r="A61" s="46" t="str">
        <f t="shared" si="0"/>
        <v/>
      </c>
      <c r="B61" s="221"/>
      <c r="C61" s="215"/>
      <c r="D61" s="1"/>
      <c r="E61" s="216"/>
      <c r="F61" s="217"/>
      <c r="G61" s="108"/>
      <c r="H61" s="1"/>
      <c r="I61" s="5"/>
    </row>
    <row r="62" spans="1:9" ht="17.25" customHeight="1">
      <c r="A62" s="46" t="str">
        <f t="shared" si="0"/>
        <v/>
      </c>
      <c r="B62" s="215"/>
      <c r="C62" s="215"/>
      <c r="D62" s="1"/>
      <c r="E62" s="216"/>
      <c r="F62" s="217"/>
      <c r="G62" s="108"/>
      <c r="H62" s="1"/>
      <c r="I62" s="5"/>
    </row>
    <row r="63" spans="1:9" ht="17.25" customHeight="1">
      <c r="A63" s="46" t="str">
        <f t="shared" si="0"/>
        <v/>
      </c>
      <c r="B63" s="215"/>
      <c r="C63" s="215"/>
      <c r="D63" s="1"/>
      <c r="E63" s="216"/>
      <c r="F63" s="217"/>
      <c r="G63" s="108"/>
      <c r="H63" s="1"/>
      <c r="I63" s="5"/>
    </row>
    <row r="64" spans="1:9" ht="17.25" customHeight="1">
      <c r="A64" s="46" t="str">
        <f t="shared" si="0"/>
        <v/>
      </c>
      <c r="B64" s="215"/>
      <c r="C64" s="215"/>
      <c r="D64" s="1"/>
      <c r="E64" s="216"/>
      <c r="F64" s="217"/>
      <c r="G64" s="108"/>
      <c r="H64" s="1"/>
      <c r="I64" s="5"/>
    </row>
    <row r="65" spans="1:9" ht="17.25" customHeight="1">
      <c r="A65" s="46" t="str">
        <f t="shared" si="0"/>
        <v/>
      </c>
      <c r="B65" s="215"/>
      <c r="C65" s="215"/>
      <c r="D65" s="1"/>
      <c r="E65" s="216"/>
      <c r="F65" s="217"/>
      <c r="G65" s="108"/>
      <c r="H65" s="1"/>
      <c r="I65" s="5"/>
    </row>
    <row r="66" spans="1:9" ht="17.25" customHeight="1">
      <c r="A66" s="46" t="str">
        <f t="shared" si="0"/>
        <v/>
      </c>
      <c r="B66" s="215"/>
      <c r="C66" s="215"/>
      <c r="D66" s="1"/>
      <c r="E66" s="216"/>
      <c r="F66" s="217"/>
      <c r="G66" s="108"/>
      <c r="H66" s="1"/>
      <c r="I66" s="5"/>
    </row>
    <row r="67" spans="1:9" ht="17.25" customHeight="1">
      <c r="A67" s="46" t="str">
        <f t="shared" si="0"/>
        <v/>
      </c>
      <c r="B67" s="221"/>
      <c r="C67" s="215"/>
      <c r="D67" s="1"/>
      <c r="E67" s="216"/>
      <c r="F67" s="217"/>
      <c r="G67" s="108"/>
      <c r="H67" s="1"/>
      <c r="I67" s="5"/>
    </row>
    <row r="68" spans="1:9" ht="17.25" customHeight="1">
      <c r="A68" s="46" t="str">
        <f t="shared" si="0"/>
        <v/>
      </c>
      <c r="B68" s="215"/>
      <c r="C68" s="215"/>
      <c r="D68" s="1"/>
      <c r="E68" s="216"/>
      <c r="F68" s="217"/>
      <c r="G68" s="108"/>
      <c r="H68" s="1"/>
      <c r="I68" s="5"/>
    </row>
    <row r="69" spans="1:9" ht="17.25" customHeight="1">
      <c r="A69" s="46" t="str">
        <f t="shared" si="0"/>
        <v/>
      </c>
      <c r="B69" s="215"/>
      <c r="C69" s="215"/>
      <c r="D69" s="1"/>
      <c r="E69" s="216"/>
      <c r="F69" s="217"/>
      <c r="G69" s="108"/>
      <c r="H69" s="1"/>
      <c r="I69" s="5"/>
    </row>
    <row r="70" spans="1:9" ht="17.25" customHeight="1">
      <c r="A70" s="46" t="str">
        <f t="shared" si="0"/>
        <v/>
      </c>
      <c r="B70" s="215"/>
      <c r="C70" s="215"/>
      <c r="D70" s="1"/>
      <c r="E70" s="216"/>
      <c r="F70" s="217"/>
      <c r="G70" s="108"/>
      <c r="H70" s="1"/>
      <c r="I70" s="5"/>
    </row>
    <row r="71" spans="1:9" ht="17.25" customHeight="1">
      <c r="A71" s="46" t="str">
        <f t="shared" si="0"/>
        <v/>
      </c>
      <c r="B71" s="215"/>
      <c r="C71" s="215"/>
      <c r="D71" s="1"/>
      <c r="E71" s="216"/>
      <c r="F71" s="217"/>
      <c r="G71" s="108"/>
      <c r="H71" s="1"/>
      <c r="I71" s="5"/>
    </row>
    <row r="72" spans="1:9" ht="17.25" customHeight="1">
      <c r="A72" s="46" t="str">
        <f t="shared" si="0"/>
        <v/>
      </c>
      <c r="B72" s="215"/>
      <c r="C72" s="215"/>
      <c r="D72" s="1"/>
      <c r="E72" s="216"/>
      <c r="F72" s="217"/>
      <c r="G72" s="108"/>
      <c r="H72" s="1"/>
      <c r="I72" s="5"/>
    </row>
    <row r="73" spans="1:9" ht="17.25" customHeight="1">
      <c r="A73" s="46" t="str">
        <f t="shared" si="0"/>
        <v/>
      </c>
      <c r="B73" s="221"/>
      <c r="C73" s="215"/>
      <c r="D73" s="1"/>
      <c r="E73" s="216"/>
      <c r="F73" s="217"/>
      <c r="G73" s="108"/>
      <c r="H73" s="1"/>
      <c r="I73" s="5"/>
    </row>
    <row r="74" spans="1:9" ht="17.25" customHeight="1">
      <c r="A74" s="46" t="str">
        <f t="shared" si="0"/>
        <v/>
      </c>
      <c r="B74" s="221"/>
      <c r="C74" s="215"/>
      <c r="D74" s="1"/>
      <c r="E74" s="216"/>
      <c r="F74" s="220"/>
      <c r="G74" s="108"/>
      <c r="H74" s="1"/>
      <c r="I74" s="5"/>
    </row>
    <row r="75" spans="1:9" ht="17.25" customHeight="1">
      <c r="A75" s="46" t="str">
        <f t="shared" si="0"/>
        <v/>
      </c>
      <c r="B75" s="221"/>
      <c r="C75" s="215"/>
      <c r="D75" s="1"/>
      <c r="E75" s="216"/>
      <c r="F75" s="217"/>
      <c r="G75" s="108"/>
      <c r="H75" s="1"/>
      <c r="I75" s="5"/>
    </row>
    <row r="76" spans="1:9" ht="17.25" customHeight="1">
      <c r="A76" s="46" t="str">
        <f t="shared" si="0"/>
        <v/>
      </c>
      <c r="B76" s="215"/>
      <c r="C76" s="215"/>
      <c r="D76" s="1"/>
      <c r="E76" s="216"/>
      <c r="F76" s="217"/>
      <c r="G76" s="108"/>
      <c r="H76" s="1"/>
      <c r="I76" s="5"/>
    </row>
    <row r="77" spans="1:9" ht="17.25" customHeight="1">
      <c r="A77" s="46" t="str">
        <f t="shared" si="0"/>
        <v/>
      </c>
      <c r="B77" s="215"/>
      <c r="C77" s="215"/>
      <c r="D77" s="1"/>
      <c r="E77" s="216"/>
      <c r="F77" s="217"/>
      <c r="G77" s="108"/>
      <c r="H77" s="1"/>
      <c r="I77" s="5"/>
    </row>
    <row r="78" spans="1:9" ht="17.25" customHeight="1">
      <c r="A78" s="46" t="str">
        <f t="shared" si="0"/>
        <v/>
      </c>
      <c r="B78" s="221"/>
      <c r="C78" s="215"/>
      <c r="D78" s="1"/>
      <c r="E78" s="216"/>
      <c r="F78" s="217"/>
      <c r="G78" s="108"/>
      <c r="H78" s="1"/>
      <c r="I78" s="5"/>
    </row>
    <row r="79" spans="1:9" ht="17.25" customHeight="1">
      <c r="A79" s="46" t="str">
        <f t="shared" si="0"/>
        <v/>
      </c>
      <c r="B79" s="221"/>
      <c r="C79" s="215"/>
      <c r="D79" s="1"/>
      <c r="E79" s="216"/>
      <c r="F79" s="217"/>
      <c r="G79" s="108"/>
      <c r="H79" s="1"/>
      <c r="I79" s="5"/>
    </row>
    <row r="80" spans="1:9" ht="17.25" customHeight="1">
      <c r="A80" s="46" t="str">
        <f t="shared" si="0"/>
        <v/>
      </c>
      <c r="B80" s="215"/>
      <c r="C80" s="215"/>
      <c r="D80" s="1"/>
      <c r="E80" s="216"/>
      <c r="F80" s="217"/>
      <c r="G80" s="108"/>
      <c r="H80" s="1"/>
      <c r="I80" s="5"/>
    </row>
    <row r="81" spans="1:9" ht="17.25" customHeight="1">
      <c r="A81" s="46" t="str">
        <f t="shared" si="0"/>
        <v/>
      </c>
      <c r="B81" s="221"/>
      <c r="C81" s="215"/>
      <c r="D81" s="1"/>
      <c r="E81" s="216"/>
      <c r="F81" s="217"/>
      <c r="G81" s="108"/>
      <c r="H81" s="1"/>
      <c r="I81" s="5"/>
    </row>
    <row r="82" spans="1:9" ht="17.25" customHeight="1">
      <c r="A82" s="46" t="str">
        <f t="shared" si="0"/>
        <v/>
      </c>
      <c r="B82" s="221"/>
      <c r="C82" s="215"/>
      <c r="D82" s="1"/>
      <c r="E82" s="216"/>
      <c r="F82" s="217"/>
      <c r="G82" s="108"/>
      <c r="H82" s="1"/>
      <c r="I82" s="5"/>
    </row>
    <row r="83" spans="1:9" ht="17.25" customHeight="1">
      <c r="A83" s="46" t="str">
        <f t="shared" si="0"/>
        <v/>
      </c>
      <c r="B83" s="221"/>
      <c r="C83" s="215"/>
      <c r="D83" s="1"/>
      <c r="E83" s="216"/>
      <c r="F83" s="217"/>
      <c r="G83" s="108"/>
      <c r="H83" s="1"/>
      <c r="I83" s="5"/>
    </row>
    <row r="84" spans="1:9" ht="17.25" customHeight="1">
      <c r="A84" s="46" t="str">
        <f t="shared" si="0"/>
        <v/>
      </c>
      <c r="B84" s="215"/>
      <c r="C84" s="215"/>
      <c r="D84" s="1"/>
      <c r="E84" s="216"/>
      <c r="F84" s="217"/>
      <c r="G84" s="108"/>
      <c r="H84" s="1"/>
      <c r="I84" s="5"/>
    </row>
    <row r="85" spans="1:9" ht="17.25" customHeight="1">
      <c r="A85" s="46" t="str">
        <f t="shared" si="0"/>
        <v/>
      </c>
      <c r="B85" s="221"/>
      <c r="C85" s="215"/>
      <c r="D85" s="1"/>
      <c r="E85" s="216"/>
      <c r="F85" s="217"/>
      <c r="G85" s="108"/>
      <c r="H85" s="1"/>
      <c r="I85" s="5"/>
    </row>
    <row r="86" spans="1:9" ht="17.25" customHeight="1">
      <c r="A86" s="46" t="str">
        <f t="shared" si="0"/>
        <v/>
      </c>
      <c r="B86" s="221"/>
      <c r="C86" s="215"/>
      <c r="D86" s="1"/>
      <c r="E86" s="216"/>
      <c r="F86" s="217"/>
      <c r="G86" s="108"/>
      <c r="H86" s="1"/>
      <c r="I86" s="5"/>
    </row>
    <row r="87" spans="1:9" ht="17.25" customHeight="1">
      <c r="A87" s="46" t="str">
        <f t="shared" si="0"/>
        <v/>
      </c>
      <c r="B87" s="215"/>
      <c r="C87" s="215"/>
      <c r="D87" s="1"/>
      <c r="E87" s="216"/>
      <c r="F87" s="217"/>
      <c r="G87" s="108"/>
      <c r="H87" s="1"/>
      <c r="I87" s="5"/>
    </row>
    <row r="88" spans="1:9" ht="17.25" customHeight="1">
      <c r="A88" s="46" t="str">
        <f t="shared" si="0"/>
        <v/>
      </c>
      <c r="B88" s="215"/>
      <c r="C88" s="215"/>
      <c r="D88" s="1"/>
      <c r="E88" s="216"/>
      <c r="F88" s="217"/>
      <c r="G88" s="108"/>
      <c r="H88" s="1"/>
      <c r="I88" s="5"/>
    </row>
    <row r="89" spans="1:9" ht="17.25" customHeight="1">
      <c r="A89" s="46" t="str">
        <f t="shared" si="0"/>
        <v/>
      </c>
      <c r="B89" s="221"/>
      <c r="C89" s="215"/>
      <c r="D89" s="1"/>
      <c r="E89" s="216"/>
      <c r="F89" s="217"/>
      <c r="G89" s="108"/>
      <c r="H89" s="1"/>
      <c r="I89" s="5"/>
    </row>
    <row r="90" spans="1:9" ht="17.25" customHeight="1">
      <c r="A90" s="46" t="str">
        <f t="shared" si="0"/>
        <v/>
      </c>
      <c r="B90" s="215"/>
      <c r="C90" s="215"/>
      <c r="D90" s="1"/>
      <c r="E90" s="216"/>
      <c r="F90" s="217"/>
      <c r="G90" s="108"/>
      <c r="H90" s="1"/>
      <c r="I90" s="5"/>
    </row>
    <row r="91" spans="1:9" ht="17.25" customHeight="1">
      <c r="A91" s="46" t="str">
        <f t="shared" si="0"/>
        <v/>
      </c>
      <c r="B91" s="221"/>
      <c r="C91" s="215"/>
      <c r="D91" s="1"/>
      <c r="E91" s="216"/>
      <c r="F91" s="220"/>
      <c r="G91" s="108"/>
      <c r="H91" s="1"/>
      <c r="I91" s="5"/>
    </row>
    <row r="92" spans="1:9" ht="17.25" customHeight="1">
      <c r="A92" s="46" t="str">
        <f t="shared" si="0"/>
        <v/>
      </c>
      <c r="B92" s="215"/>
      <c r="C92" s="215"/>
      <c r="D92" s="1"/>
      <c r="E92" s="216"/>
      <c r="F92" s="217"/>
      <c r="G92" s="108"/>
      <c r="H92" s="1"/>
      <c r="I92" s="5"/>
    </row>
    <row r="93" spans="1:9" ht="17.25" customHeight="1">
      <c r="A93" s="46" t="str">
        <f t="shared" si="0"/>
        <v/>
      </c>
      <c r="B93" s="215"/>
      <c r="C93" s="215"/>
      <c r="D93" s="1"/>
      <c r="E93" s="216"/>
      <c r="F93" s="217"/>
      <c r="G93" s="108"/>
      <c r="H93" s="1"/>
      <c r="I93" s="5"/>
    </row>
    <row r="94" spans="1:9" ht="17.25" customHeight="1">
      <c r="A94" s="46" t="str">
        <f t="shared" si="0"/>
        <v/>
      </c>
      <c r="B94" s="215"/>
      <c r="C94" s="215"/>
      <c r="D94" s="1"/>
      <c r="E94" s="216"/>
      <c r="F94" s="217"/>
      <c r="G94" s="108"/>
      <c r="H94" s="1"/>
      <c r="I94" s="5"/>
    </row>
    <row r="95" spans="1:9" ht="17.25" customHeight="1">
      <c r="A95" s="46" t="str">
        <f t="shared" si="0"/>
        <v/>
      </c>
      <c r="B95" s="221"/>
      <c r="C95" s="215"/>
      <c r="D95" s="1"/>
      <c r="E95" s="216"/>
      <c r="F95" s="217"/>
      <c r="G95" s="108"/>
      <c r="H95" s="1"/>
      <c r="I95" s="5"/>
    </row>
    <row r="96" spans="1:9" ht="17.25" customHeight="1">
      <c r="A96" s="46" t="str">
        <f t="shared" si="0"/>
        <v/>
      </c>
      <c r="B96" s="215"/>
      <c r="C96" s="215"/>
      <c r="D96" s="231"/>
      <c r="E96" s="216"/>
      <c r="F96" s="217"/>
      <c r="G96" s="108"/>
      <c r="H96" s="1"/>
      <c r="I96" s="5"/>
    </row>
    <row r="97" spans="1:9" ht="17.25" customHeight="1">
      <c r="A97" s="46" t="str">
        <f t="shared" si="0"/>
        <v/>
      </c>
      <c r="B97" s="215"/>
      <c r="C97" s="215"/>
      <c r="D97" s="1"/>
      <c r="E97" s="216"/>
      <c r="F97" s="217"/>
      <c r="G97" s="108"/>
      <c r="H97" s="1"/>
      <c r="I97" s="5"/>
    </row>
    <row r="98" spans="1:9" ht="17.25" customHeight="1">
      <c r="A98" s="46" t="str">
        <f t="shared" si="0"/>
        <v/>
      </c>
      <c r="B98" s="215"/>
      <c r="C98" s="215"/>
      <c r="D98" s="1"/>
      <c r="E98" s="216"/>
      <c r="F98" s="217"/>
      <c r="G98" s="108"/>
      <c r="H98" s="1"/>
      <c r="I98" s="5"/>
    </row>
    <row r="99" spans="1:9" ht="17.25" customHeight="1">
      <c r="A99" s="46" t="str">
        <f t="shared" si="0"/>
        <v/>
      </c>
      <c r="B99" s="221"/>
      <c r="C99" s="215"/>
      <c r="D99" s="1"/>
      <c r="E99" s="216"/>
      <c r="F99" s="220"/>
      <c r="G99" s="108"/>
      <c r="H99" s="1"/>
      <c r="I99" s="5"/>
    </row>
    <row r="100" spans="1:9" ht="17.25" customHeight="1">
      <c r="A100" s="46" t="str">
        <f t="shared" si="0"/>
        <v/>
      </c>
      <c r="B100" s="221"/>
      <c r="C100" s="215"/>
      <c r="D100" s="1"/>
      <c r="E100" s="216"/>
      <c r="F100" s="217"/>
      <c r="G100" s="108"/>
      <c r="H100" s="1"/>
      <c r="I100" s="5"/>
    </row>
    <row r="101" spans="1:9" ht="17.25" customHeight="1">
      <c r="A101" s="46" t="str">
        <f t="shared" si="0"/>
        <v/>
      </c>
      <c r="B101" s="221"/>
      <c r="C101" s="215"/>
      <c r="D101" s="1"/>
      <c r="E101" s="216"/>
      <c r="F101" s="217"/>
      <c r="G101" s="108"/>
      <c r="H101" s="1"/>
      <c r="I101" s="5"/>
    </row>
    <row r="102" spans="1:9" ht="17.25" customHeight="1">
      <c r="A102" s="46" t="str">
        <f t="shared" si="0"/>
        <v/>
      </c>
      <c r="B102" s="215"/>
      <c r="C102" s="215"/>
      <c r="D102" s="1"/>
      <c r="E102" s="216"/>
      <c r="F102" s="217"/>
      <c r="G102" s="108"/>
      <c r="H102" s="1"/>
      <c r="I102" s="5"/>
    </row>
    <row r="103" spans="1:9" ht="17.25" customHeight="1">
      <c r="A103" s="46" t="str">
        <f t="shared" si="0"/>
        <v/>
      </c>
      <c r="B103" s="215"/>
      <c r="C103" s="215"/>
      <c r="D103" s="1"/>
      <c r="E103" s="216"/>
      <c r="F103" s="217"/>
      <c r="G103" s="108"/>
      <c r="H103" s="1"/>
      <c r="I103" s="5"/>
    </row>
    <row r="104" spans="1:9" ht="17.25" customHeight="1">
      <c r="A104" s="46" t="str">
        <f t="shared" si="0"/>
        <v/>
      </c>
      <c r="B104" s="215"/>
      <c r="C104" s="215"/>
      <c r="D104" s="1"/>
      <c r="E104" s="216"/>
      <c r="F104" s="217"/>
      <c r="G104" s="108"/>
      <c r="H104" s="1"/>
      <c r="I104" s="5"/>
    </row>
    <row r="105" spans="1:9" ht="17.25" customHeight="1">
      <c r="A105" s="46" t="str">
        <f t="shared" si="0"/>
        <v/>
      </c>
      <c r="B105" s="215"/>
      <c r="C105" s="215"/>
      <c r="D105" s="1"/>
      <c r="E105" s="216"/>
      <c r="F105" s="217"/>
      <c r="G105" s="108"/>
      <c r="H105" s="1"/>
      <c r="I105" s="5"/>
    </row>
    <row r="106" spans="1:9" ht="17.25" customHeight="1">
      <c r="A106" s="46" t="str">
        <f t="shared" si="0"/>
        <v/>
      </c>
      <c r="B106" s="215"/>
      <c r="C106" s="215"/>
      <c r="D106" s="231"/>
      <c r="E106" s="216"/>
      <c r="F106" s="217"/>
      <c r="G106" s="108"/>
      <c r="H106" s="1"/>
      <c r="I106" s="5"/>
    </row>
    <row r="107" spans="1:9" ht="17.25" customHeight="1">
      <c r="A107" s="46" t="str">
        <f t="shared" si="0"/>
        <v/>
      </c>
      <c r="B107" s="221"/>
      <c r="C107" s="215"/>
      <c r="D107" s="1"/>
      <c r="E107" s="216"/>
      <c r="F107" s="217"/>
      <c r="G107" s="108"/>
      <c r="H107" s="1"/>
      <c r="I107" s="5"/>
    </row>
    <row r="108" spans="1:9" ht="17.25" customHeight="1">
      <c r="A108" s="46" t="str">
        <f t="shared" si="0"/>
        <v/>
      </c>
      <c r="B108" s="215"/>
      <c r="C108" s="215"/>
      <c r="D108" s="232"/>
      <c r="E108" s="216"/>
      <c r="F108" s="217"/>
      <c r="G108" s="108"/>
      <c r="H108" s="1"/>
      <c r="I108" s="5"/>
    </row>
    <row r="109" spans="1:9" ht="17.2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  <c r="I109" s="5"/>
    </row>
    <row r="110" spans="1:9" ht="17.2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  <c r="I110" s="5"/>
    </row>
    <row r="111" spans="1:9" ht="17.2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  <c r="I111" s="5"/>
    </row>
    <row r="112" spans="1:9" ht="17.2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  <c r="I112" s="5"/>
    </row>
    <row r="113" spans="1:9" ht="17.2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  <c r="I113" s="5"/>
    </row>
    <row r="114" spans="1:9" ht="17.2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  <c r="I114" s="5"/>
    </row>
    <row r="115" spans="1:9" ht="17.2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  <c r="I115" s="5"/>
    </row>
    <row r="116" spans="1:9" ht="17.2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  <c r="I116" s="5"/>
    </row>
    <row r="117" spans="1:9" ht="17.2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  <c r="I117" s="5"/>
    </row>
    <row r="118" spans="1:9" ht="17.2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  <c r="I118" s="5"/>
    </row>
    <row r="119" spans="1:9" ht="17.2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  <c r="I119" s="5"/>
    </row>
    <row r="120" spans="1:9" ht="17.2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  <c r="I120" s="5"/>
    </row>
    <row r="121" spans="1:9" ht="17.2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  <c r="I121" s="5"/>
    </row>
    <row r="122" spans="1:9" ht="17.2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  <c r="I122" s="5"/>
    </row>
    <row r="123" spans="1:9" ht="17.2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  <c r="I123" s="5"/>
    </row>
    <row r="124" spans="1:9" ht="17.2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  <c r="I124" s="5"/>
    </row>
    <row r="125" spans="1:9" ht="17.2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  <c r="I125" s="5"/>
    </row>
    <row r="126" spans="1:9" ht="17.2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  <c r="I126" s="5"/>
    </row>
    <row r="127" spans="1:9" ht="17.2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  <c r="I127" s="5"/>
    </row>
    <row r="128" spans="1:9" ht="17.2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  <c r="I128" s="5"/>
    </row>
    <row r="129" spans="1:9" ht="17.2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  <c r="I129" s="5"/>
    </row>
    <row r="130" spans="1:9" ht="17.2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  <c r="I130" s="5"/>
    </row>
    <row r="131" spans="1:9" ht="17.2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  <c r="I131" s="5"/>
    </row>
    <row r="132" spans="1:9" ht="17.2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  <c r="I132" s="5"/>
    </row>
    <row r="133" spans="1:9" ht="17.2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  <c r="I133" s="5"/>
    </row>
    <row r="134" spans="1:9" ht="17.2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  <c r="I134" s="5"/>
    </row>
    <row r="135" spans="1:9" ht="17.2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  <c r="I135" s="5"/>
    </row>
    <row r="136" spans="1:9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9" ht="16.5" customHeight="1">
      <c r="A138" s="46"/>
      <c r="F138" s="167"/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</hyperlinks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5036</v>
      </c>
      <c r="B1" s="290"/>
      <c r="C1" s="290"/>
      <c r="D1" s="290"/>
      <c r="E1" s="290"/>
      <c r="F1" s="290"/>
      <c r="G1" s="290"/>
      <c r="H1" s="290"/>
      <c r="J1" s="18" t="s">
        <v>233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33" t="s">
        <v>2</v>
      </c>
      <c r="B3" s="234" t="s">
        <v>4</v>
      </c>
      <c r="C3" s="234" t="s">
        <v>5</v>
      </c>
      <c r="D3" s="234" t="s">
        <v>6</v>
      </c>
      <c r="E3" s="234" t="s">
        <v>7</v>
      </c>
      <c r="F3" s="234" t="s">
        <v>8</v>
      </c>
      <c r="G3" s="234" t="s">
        <v>9</v>
      </c>
      <c r="H3" s="235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ca="1" si="0">IF(B4="","",ROW(B4)-3)</f>
        <v>1</v>
      </c>
      <c r="B4" s="31" t="str">
        <f ca="1">IFERROR(__xludf.DUMMYFUNCTION("filter('통합'!C4:I983,'통합'!B4:B983=""항공∙우주공학"")"),"Aerospace")</f>
        <v>Aerospace</v>
      </c>
      <c r="C4" s="19" t="str">
        <f ca="1">IFERROR(__xludf.DUMMYFUNCTION("""COMPUTED_VALUE"""),"Royal Aeronautical Society")</f>
        <v>Royal Aeronautical Society</v>
      </c>
      <c r="D4" s="20" t="str">
        <f ca="1">IFERROR(__xludf.DUMMYFUNCTION("""COMPUTED_VALUE"""),"2052-451X")</f>
        <v>2052-451X</v>
      </c>
      <c r="E4" s="39" t="str">
        <f ca="1">IFERROR(__xludf.DUMMYFUNCTION("""COMPUTED_VALUE"""),"2010-2021")</f>
        <v>2010-2021</v>
      </c>
      <c r="F4" s="206" t="str">
        <f ca="1">IFERROR(__xludf.DUMMYFUNCTION("""COMPUTED_VALUE"""),"-")</f>
        <v>-</v>
      </c>
      <c r="G4" s="116" t="str">
        <f ca="1">IFERROR(__xludf.DUMMYFUNCTION("""COMPUTED_VALUE"""),"http://www.riss.kr/link?id=S414099")</f>
        <v>http://www.riss.kr/link?id=S414099</v>
      </c>
      <c r="H4" s="24" t="str">
        <f ca="1">IFERROR(__xludf.DUMMYFUNCTION("""COMPUTED_VALUE"""),"O")</f>
        <v>O</v>
      </c>
    </row>
    <row r="5" spans="1:26" ht="26.25" customHeight="1">
      <c r="A5" s="154">
        <f t="shared" ca="1" si="0"/>
        <v>2</v>
      </c>
      <c r="B5" s="22" t="str">
        <f ca="1">IFERROR(__xludf.DUMMYFUNCTION("""COMPUTED_VALUE"""),"Aerospace America")</f>
        <v>Aerospace America</v>
      </c>
      <c r="C5" s="42" t="str">
        <f ca="1">IFERROR(__xludf.DUMMYFUNCTION("""COMPUTED_VALUE"""),"American Institute of Aeronautics and Astronautics")</f>
        <v>American Institute of Aeronautics and Astronautics</v>
      </c>
      <c r="D5" s="43" t="str">
        <f ca="1">IFERROR(__xludf.DUMMYFUNCTION("""COMPUTED_VALUE"""),"0740-722X")</f>
        <v>0740-722X</v>
      </c>
      <c r="E5" s="83" t="str">
        <f ca="1">IFERROR(__xludf.DUMMYFUNCTION("""COMPUTED_VALUE"""),"2010-2019")</f>
        <v>2010-2019</v>
      </c>
      <c r="F5" s="206" t="str">
        <f ca="1">IFERROR(__xludf.DUMMYFUNCTION("""COMPUTED_VALUE"""),"SCIE")</f>
        <v>SCIE</v>
      </c>
      <c r="G5" s="207" t="str">
        <f ca="1">IFERROR(__xludf.DUMMYFUNCTION("""COMPUTED_VALUE"""),"http://www.riss.kr/link?id=S16319")</f>
        <v>http://www.riss.kr/link?id=S16319</v>
      </c>
      <c r="H5" s="45" t="str">
        <f ca="1">IFERROR(__xludf.DUMMYFUNCTION("""COMPUTED_VALUE"""),"X")</f>
        <v>X</v>
      </c>
    </row>
    <row r="6" spans="1:26" ht="26.25" customHeight="1">
      <c r="A6" s="154">
        <f t="shared" ca="1" si="0"/>
        <v>3</v>
      </c>
      <c r="B6" s="31" t="str">
        <f ca="1">IFERROR(__xludf.DUMMYFUNCTION("""COMPUTED_VALUE"""),"AIAA Journal")</f>
        <v>AIAA Journal</v>
      </c>
      <c r="C6" s="19" t="str">
        <f ca="1">IFERROR(__xludf.DUMMYFUNCTION("""COMPUTED_VALUE"""),"American Institute of Aeronautics and Astronautics")</f>
        <v>American Institute of Aeronautics and Astronautics</v>
      </c>
      <c r="D6" s="20" t="str">
        <f ca="1">IFERROR(__xludf.DUMMYFUNCTION("""COMPUTED_VALUE"""),"0001-1452")</f>
        <v>0001-1452</v>
      </c>
      <c r="E6" s="39" t="str">
        <f ca="1">IFERROR(__xludf.DUMMYFUNCTION("""COMPUTED_VALUE"""),"1963, 1990-2004, 2010-2016")</f>
        <v>1963, 1990-2004, 2010-2016</v>
      </c>
      <c r="F6" s="206" t="str">
        <f ca="1">IFERROR(__xludf.DUMMYFUNCTION("""COMPUTED_VALUE"""),"SCIE, SCOPUS")</f>
        <v>SCIE, SCOPUS</v>
      </c>
      <c r="G6" s="116" t="str">
        <f ca="1">IFERROR(__xludf.DUMMYFUNCTION("""COMPUTED_VALUE"""),"http://www.riss.kr/link?id=S16316")</f>
        <v>http://www.riss.kr/link?id=S16316</v>
      </c>
      <c r="H6" s="24" t="str">
        <f ca="1">IFERROR(__xludf.DUMMYFUNCTION("""COMPUTED_VALUE"""),"X")</f>
        <v>X</v>
      </c>
    </row>
    <row r="7" spans="1:26" ht="26.25" customHeight="1">
      <c r="A7" s="154">
        <f t="shared" ca="1" si="0"/>
        <v>4</v>
      </c>
      <c r="B7" s="31" t="str">
        <f ca="1">IFERROR(__xludf.DUMMYFUNCTION("""COMPUTED_VALUE"""),"Aircraft Engineering and Aerospace Technology")</f>
        <v>Aircraft Engineering and Aerospace Technology</v>
      </c>
      <c r="C7" s="19" t="str">
        <f ca="1">IFERROR(__xludf.DUMMYFUNCTION("""COMPUTED_VALUE"""),"Emerald Publishing Limited")</f>
        <v>Emerald Publishing Limited</v>
      </c>
      <c r="D7" s="20" t="str">
        <f ca="1">IFERROR(__xludf.DUMMYFUNCTION("""COMPUTED_VALUE"""),"1748-8842")</f>
        <v>1748-8842</v>
      </c>
      <c r="E7" s="39" t="str">
        <f ca="1">IFERROR(__xludf.DUMMYFUNCTION("""COMPUTED_VALUE"""),"2010-2013")</f>
        <v>2010-2013</v>
      </c>
      <c r="F7" s="206" t="str">
        <f ca="1">IFERROR(__xludf.DUMMYFUNCTION("""COMPUTED_VALUE"""),"SCIE")</f>
        <v>SCIE</v>
      </c>
      <c r="G7" s="116" t="str">
        <f ca="1">IFERROR(__xludf.DUMMYFUNCTION("""COMPUTED_VALUE"""),"http://www.riss.kr/link?id=S31000236")</f>
        <v>http://www.riss.kr/link?id=S31000236</v>
      </c>
      <c r="H7" s="24" t="str">
        <f ca="1">IFERROR(__xludf.DUMMYFUNCTION("""COMPUTED_VALUE"""),"X")</f>
        <v>X</v>
      </c>
    </row>
    <row r="8" spans="1:26" ht="26.25" customHeight="1">
      <c r="A8" s="154">
        <f t="shared" ca="1" si="0"/>
        <v>5</v>
      </c>
      <c r="B8" s="31" t="str">
        <f ca="1">IFERROR(__xludf.DUMMYFUNCTION("""COMPUTED_VALUE"""),"British Interplanetary Society Journal")</f>
        <v>British Interplanetary Society Journal</v>
      </c>
      <c r="C8" s="19" t="str">
        <f ca="1">IFERROR(__xludf.DUMMYFUNCTION("""COMPUTED_VALUE"""),"British Interplanetary Society")</f>
        <v>British Interplanetary Society</v>
      </c>
      <c r="D8" s="20" t="str">
        <f ca="1">IFERROR(__xludf.DUMMYFUNCTION("""COMPUTED_VALUE"""),"0007-084X")</f>
        <v>0007-084X</v>
      </c>
      <c r="E8" s="39" t="str">
        <f ca="1">IFERROR(__xludf.DUMMYFUNCTION("""COMPUTED_VALUE"""),"2010-2020")</f>
        <v>2010-2020</v>
      </c>
      <c r="F8" s="206" t="str">
        <f ca="1">IFERROR(__xludf.DUMMYFUNCTION("""COMPUTED_VALUE"""),"-")</f>
        <v>-</v>
      </c>
      <c r="G8" s="116" t="str">
        <f ca="1">IFERROR(__xludf.DUMMYFUNCTION("""COMPUTED_VALUE"""),"http://www.riss.kr/link?id=S400716")</f>
        <v>http://www.riss.kr/link?id=S400716</v>
      </c>
      <c r="H8" s="95" t="str">
        <f ca="1">IFERROR(__xludf.DUMMYFUNCTION("""COMPUTED_VALUE"""),"X")</f>
        <v>X</v>
      </c>
    </row>
    <row r="9" spans="1:26" ht="26.25" customHeight="1">
      <c r="A9" s="154">
        <f t="shared" ca="1" si="0"/>
        <v>6</v>
      </c>
      <c r="B9" s="19" t="str">
        <f ca="1">IFERROR(__xludf.DUMMYFUNCTION("""COMPUTED_VALUE"""),"International Journal of Turbo and Jet Engines")</f>
        <v>International Journal of Turbo and Jet Engines</v>
      </c>
      <c r="C9" s="19" t="str">
        <f ca="1">IFERROR(__xludf.DUMMYFUNCTION("""COMPUTED_VALUE"""),"Walter de Gruyter GmbH")</f>
        <v>Walter de Gruyter GmbH</v>
      </c>
      <c r="D9" s="20" t="str">
        <f ca="1">IFERROR(__xludf.DUMMYFUNCTION("""COMPUTED_VALUE"""),"0334-0082")</f>
        <v>0334-0082</v>
      </c>
      <c r="E9" s="39" t="str">
        <f ca="1">IFERROR(__xludf.DUMMYFUNCTION("""COMPUTED_VALUE"""),"2010-2021")</f>
        <v>2010-2021</v>
      </c>
      <c r="F9" s="206" t="str">
        <f ca="1">IFERROR(__xludf.DUMMYFUNCTION("""COMPUTED_VALUE"""),"SCIE, SCOPUS")</f>
        <v>SCIE, SCOPUS</v>
      </c>
      <c r="G9" s="116" t="str">
        <f ca="1">IFERROR(__xludf.DUMMYFUNCTION("""COMPUTED_VALUE"""),"http://www.riss.kr/link?id=S401473")</f>
        <v>http://www.riss.kr/link?id=S401473</v>
      </c>
      <c r="H9" s="24" t="str">
        <f ca="1">IFERROR(__xludf.DUMMYFUNCTION("""COMPUTED_VALUE"""),"O")</f>
        <v>O</v>
      </c>
    </row>
    <row r="10" spans="1:26" ht="26.25" customHeight="1">
      <c r="A10" s="154">
        <f t="shared" ca="1" si="0"/>
        <v>7</v>
      </c>
      <c r="B10" s="89" t="str">
        <f ca="1">IFERROR(__xludf.DUMMYFUNCTION("""COMPUTED_VALUE"""),"Journal of Aerospace Engineering")</f>
        <v>Journal of Aerospace Engineering</v>
      </c>
      <c r="C10" s="89" t="str">
        <f ca="1">IFERROR(__xludf.DUMMYFUNCTION("""COMPUTED_VALUE"""),"American Society of Civil Engineers")</f>
        <v>American Society of Civil Engineers</v>
      </c>
      <c r="D10" s="90" t="str">
        <f ca="1">IFERROR(__xludf.DUMMYFUNCTION("""COMPUTED_VALUE"""),"0893-1321")</f>
        <v>0893-1321</v>
      </c>
      <c r="E10" s="236" t="str">
        <f ca="1">IFERROR(__xludf.DUMMYFUNCTION("""COMPUTED_VALUE"""),"2010-2013, 2019-2020")</f>
        <v>2010-2013, 2019-2020</v>
      </c>
      <c r="F10" s="206" t="str">
        <f ca="1">IFERROR(__xludf.DUMMYFUNCTION("""COMPUTED_VALUE"""),"SCIE, SCOPUS")</f>
        <v>SCIE, SCOPUS</v>
      </c>
      <c r="G10" s="116" t="str">
        <f ca="1">IFERROR(__xludf.DUMMYFUNCTION("""COMPUTED_VALUE"""),"http://www.riss.kr/link?id=S21689")</f>
        <v>http://www.riss.kr/link?id=S21689</v>
      </c>
      <c r="H10" s="24" t="str">
        <f ca="1">IFERROR(__xludf.DUMMYFUNCTION("""COMPUTED_VALUE"""),"X")</f>
        <v>X</v>
      </c>
    </row>
    <row r="11" spans="1:26" ht="26.25" customHeight="1">
      <c r="A11" s="154">
        <f t="shared" ca="1" si="0"/>
        <v>8</v>
      </c>
      <c r="B11" s="31" t="str">
        <f ca="1">IFERROR(__xludf.DUMMYFUNCTION("""COMPUTED_VALUE"""),"Journal of Aircraft")</f>
        <v>Journal of Aircraft</v>
      </c>
      <c r="C11" s="19" t="str">
        <f ca="1">IFERROR(__xludf.DUMMYFUNCTION("""COMPUTED_VALUE"""),"American Institute of Aeronautics and Astronautics")</f>
        <v>American Institute of Aeronautics and Astronautics</v>
      </c>
      <c r="D11" s="20" t="str">
        <f ca="1">IFERROR(__xludf.DUMMYFUNCTION("""COMPUTED_VALUE"""),"0021-8669")</f>
        <v>0021-8669</v>
      </c>
      <c r="E11" s="39" t="str">
        <f ca="1">IFERROR(__xludf.DUMMYFUNCTION("""COMPUTED_VALUE"""),"1990-1993, 1995-2004, 2010-2013")</f>
        <v>1990-1993, 1995-2004, 2010-2013</v>
      </c>
      <c r="F11" s="206" t="str">
        <f ca="1">IFERROR(__xludf.DUMMYFUNCTION("""COMPUTED_VALUE"""),"SCIE, SCOPUS")</f>
        <v>SCIE, SCOPUS</v>
      </c>
      <c r="G11" s="116" t="str">
        <f ca="1">IFERROR(__xludf.DUMMYFUNCTION("""COMPUTED_VALUE"""),"http://www.riss.kr/link?id=S16084")</f>
        <v>http://www.riss.kr/link?id=S16084</v>
      </c>
      <c r="H11" s="24" t="str">
        <f ca="1">IFERROR(__xludf.DUMMYFUNCTION("""COMPUTED_VALUE"""),"X")</f>
        <v>X</v>
      </c>
    </row>
    <row r="12" spans="1:26" ht="26.25" customHeight="1">
      <c r="A12" s="154">
        <f t="shared" ca="1" si="0"/>
        <v>9</v>
      </c>
      <c r="B12" s="31" t="str">
        <f ca="1">IFERROR(__xludf.DUMMYFUNCTION("""COMPUTED_VALUE"""),"Journal of Guidance, Control, and Dynamics")</f>
        <v>Journal of Guidance, Control, and Dynamics</v>
      </c>
      <c r="C12" s="19" t="str">
        <f ca="1">IFERROR(__xludf.DUMMYFUNCTION("""COMPUTED_VALUE"""),"American Institute of Aeronautics and Astronautics, Inc.")</f>
        <v>American Institute of Aeronautics and Astronautics, Inc.</v>
      </c>
      <c r="D12" s="20" t="str">
        <f ca="1">IFERROR(__xludf.DUMMYFUNCTION("""COMPUTED_VALUE"""),"0731-5090")</f>
        <v>0731-5090</v>
      </c>
      <c r="E12" s="39" t="str">
        <f ca="1">IFERROR(__xludf.DUMMYFUNCTION("""COMPUTED_VALUE"""),"1990-1993, 1995-2018")</f>
        <v>1990-1993, 1995-2018</v>
      </c>
      <c r="F12" s="206" t="str">
        <f ca="1">IFERROR(__xludf.DUMMYFUNCTION("""COMPUTED_VALUE"""),"SCIE, SCOPUS")</f>
        <v>SCIE, SCOPUS</v>
      </c>
      <c r="G12" s="116" t="str">
        <f ca="1">IFERROR(__xludf.DUMMYFUNCTION("""COMPUTED_VALUE"""),"http://www.riss.kr/link?id=S16068")</f>
        <v>http://www.riss.kr/link?id=S16068</v>
      </c>
      <c r="H12" s="24" t="str">
        <f ca="1">IFERROR(__xludf.DUMMYFUNCTION("""COMPUTED_VALUE"""),"X")</f>
        <v>X</v>
      </c>
    </row>
    <row r="13" spans="1:26" ht="26.25" customHeight="1">
      <c r="A13" s="154">
        <f t="shared" ca="1" si="0"/>
        <v>10</v>
      </c>
      <c r="B13" s="31" t="str">
        <f ca="1">IFERROR(__xludf.DUMMYFUNCTION("""COMPUTED_VALUE"""),"Journal of Propulsion and Power")</f>
        <v>Journal of Propulsion and Power</v>
      </c>
      <c r="C13" s="19" t="str">
        <f ca="1">IFERROR(__xludf.DUMMYFUNCTION("""COMPUTED_VALUE"""),"American Institute of Aeronautics and Astronautics")</f>
        <v>American Institute of Aeronautics and Astronautics</v>
      </c>
      <c r="D13" s="20" t="str">
        <f ca="1">IFERROR(__xludf.DUMMYFUNCTION("""COMPUTED_VALUE"""),"0748-4658")</f>
        <v>0748-4658</v>
      </c>
      <c r="E13" s="39" t="str">
        <f ca="1">IFERROR(__xludf.DUMMYFUNCTION("""COMPUTED_VALUE"""),"2010-2018")</f>
        <v>2010-2018</v>
      </c>
      <c r="F13" s="206" t="str">
        <f ca="1">IFERROR(__xludf.DUMMYFUNCTION("""COMPUTED_VALUE"""),"SCIE, SCOPUS")</f>
        <v>SCIE, SCOPUS</v>
      </c>
      <c r="G13" s="116" t="str">
        <f ca="1">IFERROR(__xludf.DUMMYFUNCTION("""COMPUTED_VALUE"""),"http://www.riss.kr/link?id=S12915")</f>
        <v>http://www.riss.kr/link?id=S12915</v>
      </c>
      <c r="H13" s="24" t="str">
        <f ca="1">IFERROR(__xludf.DUMMYFUNCTION("""COMPUTED_VALUE"""),"X")</f>
        <v>X</v>
      </c>
    </row>
    <row r="14" spans="1:26" ht="26.25" customHeight="1">
      <c r="A14" s="154">
        <f t="shared" ca="1" si="0"/>
        <v>11</v>
      </c>
      <c r="B14" s="31" t="str">
        <f ca="1">IFERROR(__xludf.DUMMYFUNCTION("""COMPUTED_VALUE"""),"Journal of Spacecraft and Rockets")</f>
        <v>Journal of Spacecraft and Rockets</v>
      </c>
      <c r="C14" s="19" t="str">
        <f ca="1">IFERROR(__xludf.DUMMYFUNCTION("""COMPUTED_VALUE"""),"American Institute of Aeronautics and Astronautics")</f>
        <v>American Institute of Aeronautics and Astronautics</v>
      </c>
      <c r="D14" s="20" t="str">
        <f ca="1">IFERROR(__xludf.DUMMYFUNCTION("""COMPUTED_VALUE"""),"0022-4650")</f>
        <v>0022-4650</v>
      </c>
      <c r="E14" s="39" t="str">
        <f ca="1">IFERROR(__xludf.DUMMYFUNCTION("""COMPUTED_VALUE"""),"1990-2004, 2010-2018")</f>
        <v>1990-2004, 2010-2018</v>
      </c>
      <c r="F14" s="206" t="str">
        <f ca="1">IFERROR(__xludf.DUMMYFUNCTION("""COMPUTED_VALUE"""),"SCIE, SCOPUS")</f>
        <v>SCIE, SCOPUS</v>
      </c>
      <c r="G14" s="116" t="str">
        <f ca="1">IFERROR(__xludf.DUMMYFUNCTION("""COMPUTED_VALUE"""),"http://www.riss.kr/link?id=S16058")</f>
        <v>http://www.riss.kr/link?id=S16058</v>
      </c>
      <c r="H14" s="24" t="str">
        <f ca="1">IFERROR(__xludf.DUMMYFUNCTION("""COMPUTED_VALUE"""),"X")</f>
        <v>X</v>
      </c>
    </row>
    <row r="15" spans="1:26" ht="26.25" customHeight="1">
      <c r="A15" s="154">
        <f t="shared" ca="1" si="0"/>
        <v>12</v>
      </c>
      <c r="B15" s="31" t="str">
        <f ca="1">IFERROR(__xludf.DUMMYFUNCTION("""COMPUTED_VALUE"""),"Journal of the American Helicopter Society")</f>
        <v>Journal of the American Helicopter Society</v>
      </c>
      <c r="C15" s="19" t="str">
        <f ca="1">IFERROR(__xludf.DUMMYFUNCTION("""COMPUTED_VALUE"""),"American Helicopter Society, Inc")</f>
        <v>American Helicopter Society, Inc</v>
      </c>
      <c r="D15" s="20" t="str">
        <f ca="1">IFERROR(__xludf.DUMMYFUNCTION("""COMPUTED_VALUE"""),"0002-8711")</f>
        <v>0002-8711</v>
      </c>
      <c r="E15" s="39" t="str">
        <f ca="1">IFERROR(__xludf.DUMMYFUNCTION("""COMPUTED_VALUE"""),"2010-2013")</f>
        <v>2010-2013</v>
      </c>
      <c r="F15" s="206" t="str">
        <f ca="1">IFERROR(__xludf.DUMMYFUNCTION("""COMPUTED_VALUE"""),"SCIE")</f>
        <v>SCIE</v>
      </c>
      <c r="G15" s="116" t="str">
        <f ca="1">IFERROR(__xludf.DUMMYFUNCTION("""COMPUTED_VALUE"""),"http://www.riss.kr/link?id=S16049")</f>
        <v>http://www.riss.kr/link?id=S16049</v>
      </c>
      <c r="H15" s="24" t="str">
        <f ca="1">IFERROR(__xludf.DUMMYFUNCTION("""COMPUTED_VALUE"""),"X")</f>
        <v>X</v>
      </c>
    </row>
    <row r="16" spans="1:26" ht="26.25" customHeight="1">
      <c r="A16" s="154">
        <f t="shared" ca="1" si="0"/>
        <v>13</v>
      </c>
      <c r="B16" s="19" t="str">
        <f ca="1">IFERROR(__xludf.DUMMYFUNCTION("""COMPUTED_VALUE"""),"Proceedings of the Institution of Mechanical Engineers Part G")</f>
        <v>Proceedings of the Institution of Mechanical Engineers Part G</v>
      </c>
      <c r="C16" s="19" t="str">
        <f ca="1">IFERROR(__xludf.DUMMYFUNCTION("""COMPUTED_VALUE"""),"Sage Publications Ltd.")</f>
        <v>Sage Publications Ltd.</v>
      </c>
      <c r="D16" s="20" t="str">
        <f ca="1">IFERROR(__xludf.DUMMYFUNCTION("""COMPUTED_VALUE"""),"0954-4100")</f>
        <v>0954-4100</v>
      </c>
      <c r="E16" s="39" t="str">
        <f ca="1">IFERROR(__xludf.DUMMYFUNCTION("""COMPUTED_VALUE"""),"1996-2004, 2010-2021")</f>
        <v>1996-2004, 2010-2021</v>
      </c>
      <c r="F16" s="206" t="str">
        <f ca="1">IFERROR(__xludf.DUMMYFUNCTION("""COMPUTED_VALUE"""),"SCIE, SCOPUS")</f>
        <v>SCIE, SCOPUS</v>
      </c>
      <c r="G16" s="116" t="str">
        <f ca="1">IFERROR(__xludf.DUMMYFUNCTION("""COMPUTED_VALUE"""),"http://www.riss.kr/link?id=S31000857")</f>
        <v>http://www.riss.kr/link?id=S31000857</v>
      </c>
      <c r="H16" s="24" t="str">
        <f ca="1">IFERROR(__xludf.DUMMYFUNCTION("""COMPUTED_VALUE"""),"O")</f>
        <v>O</v>
      </c>
    </row>
    <row r="17" spans="1:9" ht="26.25" customHeight="1">
      <c r="A17" s="154">
        <f t="shared" ca="1" si="0"/>
        <v>14</v>
      </c>
      <c r="B17" s="19" t="str">
        <f ca="1">IFERROR(__xludf.DUMMYFUNCTION("""COMPUTED_VALUE"""),"Rotor &amp; Wing")</f>
        <v>Rotor &amp; Wing</v>
      </c>
      <c r="C17" s="19" t="str">
        <f ca="1">IFERROR(__xludf.DUMMYFUNCTION("""COMPUTED_VALUE"""),"Access Intelligence, LLC ")</f>
        <v xml:space="preserve">Access Intelligence, LLC </v>
      </c>
      <c r="D17" s="20" t="str">
        <f ca="1">IFERROR(__xludf.DUMMYFUNCTION("""COMPUTED_VALUE"""),"1066-8098")</f>
        <v>1066-8098</v>
      </c>
      <c r="E17" s="39" t="str">
        <f ca="1">IFERROR(__xludf.DUMMYFUNCTION("""COMPUTED_VALUE"""),"2010-2020")</f>
        <v>2010-2020</v>
      </c>
      <c r="F17" s="206" t="str">
        <f ca="1">IFERROR(__xludf.DUMMYFUNCTION("""COMPUTED_VALUE"""),"-")</f>
        <v>-</v>
      </c>
      <c r="G17" s="116" t="str">
        <f ca="1">IFERROR(__xludf.DUMMYFUNCTION("""COMPUTED_VALUE"""),"http://www.riss.kr/link?id=S402427")</f>
        <v>http://www.riss.kr/link?id=S402427</v>
      </c>
      <c r="H17" s="24" t="str">
        <f ca="1">IFERROR(__xludf.DUMMYFUNCTION("""COMPUTED_VALUE"""),"X")</f>
        <v>X</v>
      </c>
    </row>
    <row r="18" spans="1:9" ht="26.25" customHeight="1">
      <c r="A18" s="154">
        <f t="shared" ca="1" si="0"/>
        <v>15</v>
      </c>
      <c r="B18" s="31" t="str">
        <f ca="1">IFERROR(__xludf.DUMMYFUNCTION("""COMPUTED_VALUE"""),"SAE Transactions")</f>
        <v>SAE Transactions</v>
      </c>
      <c r="C18" s="19" t="str">
        <f ca="1">IFERROR(__xludf.DUMMYFUNCTION("""COMPUTED_VALUE"""),"Society of Automotive Engineers")</f>
        <v>Society of Automotive Engineers</v>
      </c>
      <c r="D18" s="20" t="str">
        <f ca="1">IFERROR(__xludf.DUMMYFUNCTION("""COMPUTED_VALUE"""),"0096-736X")</f>
        <v>0096-736X</v>
      </c>
      <c r="E18" s="39">
        <f ca="1">IFERROR(__xludf.DUMMYFUNCTION("""COMPUTED_VALUE"""),1962)</f>
        <v>1962</v>
      </c>
      <c r="F18" s="206" t="str">
        <f ca="1">IFERROR(__xludf.DUMMYFUNCTION("""COMPUTED_VALUE"""),"-")</f>
        <v>-</v>
      </c>
      <c r="G18" s="116" t="str">
        <f ca="1">IFERROR(__xludf.DUMMYFUNCTION("""COMPUTED_VALUE"""),"http://www.riss.kr/link?id=S15933")</f>
        <v>http://www.riss.kr/link?id=S15933</v>
      </c>
      <c r="H18" s="24" t="str">
        <f ca="1">IFERROR(__xludf.DUMMYFUNCTION("""COMPUTED_VALUE"""),"X")</f>
        <v>X</v>
      </c>
    </row>
    <row r="19" spans="1:9" ht="26.25" customHeight="1">
      <c r="A19" s="154">
        <f t="shared" ca="1" si="0"/>
        <v>16</v>
      </c>
      <c r="B19" s="31" t="str">
        <f ca="1">IFERROR(__xludf.DUMMYFUNCTION("""COMPUTED_VALUE"""),"Space Communications")</f>
        <v>Space Communications</v>
      </c>
      <c r="C19" s="19" t="str">
        <f ca="1">IFERROR(__xludf.DUMMYFUNCTION("""COMPUTED_VALUE"""),"IOS Press")</f>
        <v>IOS Press</v>
      </c>
      <c r="D19" s="20" t="str">
        <f ca="1">IFERROR(__xludf.DUMMYFUNCTION("""COMPUTED_VALUE"""),"0924-8625")</f>
        <v>0924-8625</v>
      </c>
      <c r="E19" s="39" t="str">
        <f ca="1">IFERROR(__xludf.DUMMYFUNCTION("""COMPUTED_VALUE"""),"1996, 2010, 2013")</f>
        <v>1996, 2010, 2013</v>
      </c>
      <c r="F19" s="206" t="str">
        <f ca="1">IFERROR(__xludf.DUMMYFUNCTION("""COMPUTED_VALUE"""),"-")</f>
        <v>-</v>
      </c>
      <c r="G19" s="116" t="str">
        <f ca="1">IFERROR(__xludf.DUMMYFUNCTION("""COMPUTED_VALUE"""),"http://www.riss.kr/link?id=S13525")</f>
        <v>http://www.riss.kr/link?id=S13525</v>
      </c>
      <c r="H19" s="24" t="str">
        <f ca="1">IFERROR(__xludf.DUMMYFUNCTION("""COMPUTED_VALUE"""),"X")</f>
        <v>X</v>
      </c>
    </row>
    <row r="20" spans="1:9" ht="26.25" customHeight="1">
      <c r="A20" s="154">
        <f t="shared" ca="1" si="0"/>
        <v>17</v>
      </c>
      <c r="B20" s="31" t="str">
        <f ca="1">IFERROR(__xludf.DUMMYFUNCTION("""COMPUTED_VALUE"""),"The Aeronautical Journal")</f>
        <v>The Aeronautical Journal</v>
      </c>
      <c r="C20" s="19" t="str">
        <f ca="1">IFERROR(__xludf.DUMMYFUNCTION("""COMPUTED_VALUE"""),"Cambridge University Press")</f>
        <v>Cambridge University Press</v>
      </c>
      <c r="D20" s="20" t="str">
        <f ca="1">IFERROR(__xludf.DUMMYFUNCTION("""COMPUTED_VALUE"""),"0001-9240")</f>
        <v>0001-9240</v>
      </c>
      <c r="E20" s="39" t="str">
        <f ca="1">IFERROR(__xludf.DUMMYFUNCTION("""COMPUTED_VALUE"""),"2010-2013")</f>
        <v>2010-2013</v>
      </c>
      <c r="F20" s="206" t="str">
        <f ca="1">IFERROR(__xludf.DUMMYFUNCTION("""COMPUTED_VALUE"""),"SCIE, SCOPUS")</f>
        <v>SCIE, SCOPUS</v>
      </c>
      <c r="G20" s="116" t="str">
        <f ca="1">IFERROR(__xludf.DUMMYFUNCTION("""COMPUTED_VALUE"""),"http://www.riss.kr/link?id=S16322")</f>
        <v>http://www.riss.kr/link?id=S16322</v>
      </c>
      <c r="H20" s="24" t="str">
        <f ca="1">IFERROR(__xludf.DUMMYFUNCTION("""COMPUTED_VALUE"""),"X")</f>
        <v>X</v>
      </c>
    </row>
    <row r="21" spans="1:9" ht="26.25" customHeight="1">
      <c r="A21" s="154">
        <f t="shared" ca="1" si="0"/>
        <v>18</v>
      </c>
      <c r="B21" s="19" t="str">
        <f ca="1">IFERROR(__xludf.DUMMYFUNCTION("""COMPUTED_VALUE"""),"The International Journal of Aeroacoustics")</f>
        <v>The International Journal of Aeroacoustics</v>
      </c>
      <c r="C21" s="19" t="str">
        <f ca="1">IFERROR(__xludf.DUMMYFUNCTION("""COMPUTED_VALUE"""),"Sage Publications Ltd.")</f>
        <v>Sage Publications Ltd.</v>
      </c>
      <c r="D21" s="20" t="str">
        <f ca="1">IFERROR(__xludf.DUMMYFUNCTION("""COMPUTED_VALUE"""),"1475-472X")</f>
        <v>1475-472X</v>
      </c>
      <c r="E21" s="39" t="str">
        <f ca="1">IFERROR(__xludf.DUMMYFUNCTION("""COMPUTED_VALUE"""),"2012-2021")</f>
        <v>2012-2021</v>
      </c>
      <c r="F21" s="206" t="str">
        <f ca="1">IFERROR(__xludf.DUMMYFUNCTION("""COMPUTED_VALUE"""),"SCIE, SCOPUS")</f>
        <v>SCIE, SCOPUS</v>
      </c>
      <c r="G21" s="116" t="str">
        <f ca="1">IFERROR(__xludf.DUMMYFUNCTION("""COMPUTED_VALUE"""),"http://www.riss.kr/link?id=S20011409")</f>
        <v>http://www.riss.kr/link?id=S20011409</v>
      </c>
      <c r="H21" s="24" t="str">
        <f ca="1">IFERROR(__xludf.DUMMYFUNCTION("""COMPUTED_VALUE"""),"O")</f>
        <v>O</v>
      </c>
    </row>
    <row r="22" spans="1:9" ht="26.25" customHeight="1">
      <c r="A22" s="154">
        <f t="shared" ca="1" si="0"/>
        <v>19</v>
      </c>
      <c r="B22" s="31" t="str">
        <f ca="1">IFERROR(__xludf.DUMMYFUNCTION("""COMPUTED_VALUE"""),"The Journal of the Astronautical sciences")</f>
        <v>The Journal of the Astronautical sciences</v>
      </c>
      <c r="C22" s="19" t="str">
        <f ca="1">IFERROR(__xludf.DUMMYFUNCTION("""COMPUTED_VALUE"""),"American Astronautical Society")</f>
        <v>American Astronautical Society</v>
      </c>
      <c r="D22" s="20" t="str">
        <f ca="1">IFERROR(__xludf.DUMMYFUNCTION("""COMPUTED_VALUE"""),"0021-9142")</f>
        <v>0021-9142</v>
      </c>
      <c r="E22" s="39" t="str">
        <f ca="1">IFERROR(__xludf.DUMMYFUNCTION("""COMPUTED_VALUE"""),"2009-2013, 2015")</f>
        <v>2009-2013, 2015</v>
      </c>
      <c r="F22" s="206" t="str">
        <f ca="1">IFERROR(__xludf.DUMMYFUNCTION("""COMPUTED_VALUE"""),"SCIE, SCOPUS")</f>
        <v>SCIE, SCOPUS</v>
      </c>
      <c r="G22" s="116" t="str">
        <f ca="1">IFERROR(__xludf.DUMMYFUNCTION("""COMPUTED_VALUE"""),"http://www.riss.kr/link?id=S12402")</f>
        <v>http://www.riss.kr/link?id=S12402</v>
      </c>
      <c r="H22" s="24" t="str">
        <f ca="1">IFERROR(__xludf.DUMMYFUNCTION("""COMPUTED_VALUE"""),"X")</f>
        <v>X</v>
      </c>
    </row>
    <row r="23" spans="1:9" ht="26.25" customHeight="1">
      <c r="A23" s="154">
        <f t="shared" ca="1" si="0"/>
        <v>20</v>
      </c>
      <c r="B23" s="31" t="str">
        <f ca="1">IFERROR(__xludf.DUMMYFUNCTION("""COMPUTED_VALUE"""),"Transactions of the Japan Society for Aeronautical and Space sciences")</f>
        <v>Transactions of the Japan Society for Aeronautical and Space sciences</v>
      </c>
      <c r="C23" s="19" t="str">
        <f ca="1">IFERROR(__xludf.DUMMYFUNCTION("""COMPUTED_VALUE"""),"日本航空宇宙学会")</f>
        <v>日本航空宇宙学会</v>
      </c>
      <c r="D23" s="20" t="str">
        <f ca="1">IFERROR(__xludf.DUMMYFUNCTION("""COMPUTED_VALUE"""),"0549-3811")</f>
        <v>0549-3811</v>
      </c>
      <c r="E23" s="39" t="str">
        <f ca="1">IFERROR(__xludf.DUMMYFUNCTION("""COMPUTED_VALUE"""),"1991-2002, 2005-2015")</f>
        <v>1991-2002, 2005-2015</v>
      </c>
      <c r="F23" s="206" t="str">
        <f ca="1">IFERROR(__xludf.DUMMYFUNCTION("""COMPUTED_VALUE"""),"SCIE, SCOPUS")</f>
        <v>SCIE, SCOPUS</v>
      </c>
      <c r="G23" s="116" t="str">
        <f ca="1">IFERROR(__xludf.DUMMYFUNCTION("""COMPUTED_VALUE"""),"http://www.riss.kr/link?id=S30006830")</f>
        <v>http://www.riss.kr/link?id=S30006830</v>
      </c>
      <c r="H23" s="24" t="str">
        <f ca="1">IFERROR(__xludf.DUMMYFUNCTION("""COMPUTED_VALUE"""),"X")</f>
        <v>X</v>
      </c>
    </row>
    <row r="24" spans="1:9" ht="26.25" customHeight="1">
      <c r="A24" s="154">
        <f t="shared" ca="1" si="0"/>
        <v>21</v>
      </c>
      <c r="B24" s="19" t="str">
        <f ca="1">IFERROR(__xludf.DUMMYFUNCTION("""COMPUTED_VALUE"""),"Tuijin Jishu")</f>
        <v>Tuijin Jishu</v>
      </c>
      <c r="C24" s="19" t="str">
        <f ca="1">IFERROR(__xludf.DUMMYFUNCTION("""COMPUTED_VALUE"""),"Zhongguo Hangtian Gongye Zonggongsi * Di 3 Yanjiuyuan 31 Yanjiushuo")</f>
        <v>Zhongguo Hangtian Gongye Zonggongsi * Di 3 Yanjiuyuan 31 Yanjiushuo</v>
      </c>
      <c r="D24" s="20" t="str">
        <f ca="1">IFERROR(__xludf.DUMMYFUNCTION("""COMPUTED_VALUE"""),"1001-4055")</f>
        <v>1001-4055</v>
      </c>
      <c r="E24" s="39" t="str">
        <f ca="1">IFERROR(__xludf.DUMMYFUNCTION("""COMPUTED_VALUE"""),"2010-2021")</f>
        <v>2010-2021</v>
      </c>
      <c r="F24" s="206" t="str">
        <f ca="1">IFERROR(__xludf.DUMMYFUNCTION("""COMPUTED_VALUE"""),"SCOPUS")</f>
        <v>SCOPUS</v>
      </c>
      <c r="G24" s="116" t="str">
        <f ca="1">IFERROR(__xludf.DUMMYFUNCTION("""COMPUTED_VALUE"""),"http://www.riss.kr/link?id=S11574764")</f>
        <v>http://www.riss.kr/link?id=S11574764</v>
      </c>
      <c r="H24" s="24" t="str">
        <f ca="1">IFERROR(__xludf.DUMMYFUNCTION("""COMPUTED_VALUE"""),"O")</f>
        <v>O</v>
      </c>
    </row>
    <row r="25" spans="1:9" ht="26.25" customHeight="1">
      <c r="A25" s="154">
        <f t="shared" ca="1" si="0"/>
        <v>22</v>
      </c>
      <c r="B25" s="19" t="str">
        <f ca="1">IFERROR(__xludf.DUMMYFUNCTION("""COMPUTED_VALUE"""),"日本 航空宇宙學會 論文集")</f>
        <v>日本 航空宇宙學會 論文集</v>
      </c>
      <c r="C25" s="19" t="str">
        <f ca="1">IFERROR(__xludf.DUMMYFUNCTION("""COMPUTED_VALUE"""),"Japan Society for Aeronautical and Space Sciences")</f>
        <v>Japan Society for Aeronautical and Space Sciences</v>
      </c>
      <c r="D25" s="20" t="str">
        <f ca="1">IFERROR(__xludf.DUMMYFUNCTION("""COMPUTED_VALUE"""),"1344-6460")</f>
        <v>1344-6460</v>
      </c>
      <c r="E25" s="39" t="str">
        <f ca="1">IFERROR(__xludf.DUMMYFUNCTION("""COMPUTED_VALUE"""),"1999-2021")</f>
        <v>1999-2021</v>
      </c>
      <c r="F25" s="206" t="str">
        <f ca="1">IFERROR(__xludf.DUMMYFUNCTION("""COMPUTED_VALUE"""),"-")</f>
        <v>-</v>
      </c>
      <c r="G25" s="116" t="str">
        <f ca="1">IFERROR(__xludf.DUMMYFUNCTION("""COMPUTED_VALUE"""),"http://www.riss.kr/link?id=S11625015")</f>
        <v>http://www.riss.kr/link?id=S11625015</v>
      </c>
      <c r="H25" s="24" t="str">
        <f ca="1">IFERROR(__xludf.DUMMYFUNCTION("""COMPUTED_VALUE"""),"O")</f>
        <v>O</v>
      </c>
    </row>
    <row r="26" spans="1:9" ht="26.25" customHeight="1">
      <c r="A26" s="154">
        <f t="shared" ca="1" si="0"/>
        <v>23</v>
      </c>
      <c r="B26" s="19" t="str">
        <f ca="1">IFERROR(__xludf.DUMMYFUNCTION("""COMPUTED_VALUE"""),"日本航空宇宙學會誌")</f>
        <v>日本航空宇宙學會誌</v>
      </c>
      <c r="C26" s="19" t="str">
        <f ca="1">IFERROR(__xludf.DUMMYFUNCTION("""COMPUTED_VALUE"""),"日本航空宇宙學會")</f>
        <v>日本航空宇宙學會</v>
      </c>
      <c r="D26" s="20" t="str">
        <f ca="1">IFERROR(__xludf.DUMMYFUNCTION("""COMPUTED_VALUE"""),"0021-4663")</f>
        <v>0021-4663</v>
      </c>
      <c r="E26" s="39" t="str">
        <f ca="1">IFERROR(__xludf.DUMMYFUNCTION("""COMPUTED_VALUE"""),"1991-1999, 2001-2004, 2007-2015, 2021")</f>
        <v>1991-1999, 2001-2004, 2007-2015, 2021</v>
      </c>
      <c r="F26" s="206" t="str">
        <f ca="1">IFERROR(__xludf.DUMMYFUNCTION("""COMPUTED_VALUE"""),"-")</f>
        <v>-</v>
      </c>
      <c r="G26" s="116" t="str">
        <f ca="1">IFERROR(__xludf.DUMMYFUNCTION("""COMPUTED_VALUE"""),"http://www.riss.kr/link?id=S19712")</f>
        <v>http://www.riss.kr/link?id=S19712</v>
      </c>
      <c r="H26" s="24" t="str">
        <f ca="1">IFERROR(__xludf.DUMMYFUNCTION("""COMPUTED_VALUE"""),"O")</f>
        <v>O</v>
      </c>
    </row>
    <row r="27" spans="1:9" ht="26.25" customHeight="1">
      <c r="A27" s="154">
        <f t="shared" ca="1" si="0"/>
        <v>24</v>
      </c>
      <c r="B27" s="42" t="str">
        <f ca="1">IFERROR(__xludf.DUMMYFUNCTION("""COMPUTED_VALUE"""),"航空技術(Avigagtion Engineering)")</f>
        <v>航空技術(Avigagtion Engineering)</v>
      </c>
      <c r="C27" s="42" t="str">
        <f ca="1">IFERROR(__xludf.DUMMYFUNCTION("""COMPUTED_VALUE"""),"Japan Aeronautical Engineers Association")</f>
        <v>Japan Aeronautical Engineers Association</v>
      </c>
      <c r="D27" s="43" t="str">
        <f ca="1">IFERROR(__xludf.DUMMYFUNCTION("""COMPUTED_VALUE"""),"0023-284X")</f>
        <v>0023-284X</v>
      </c>
      <c r="E27" s="83" t="str">
        <f ca="1">IFERROR(__xludf.DUMMYFUNCTION("""COMPUTED_VALUE"""),"2011-2020")</f>
        <v>2011-2020</v>
      </c>
      <c r="F27" s="206" t="str">
        <f ca="1">IFERROR(__xludf.DUMMYFUNCTION("""COMPUTED_VALUE"""),"-")</f>
        <v>-</v>
      </c>
      <c r="G27" s="207" t="str">
        <f ca="1">IFERROR(__xludf.DUMMYFUNCTION("""COMPUTED_VALUE"""),"http://www.riss.kr/link?id=S11643948")</f>
        <v>http://www.riss.kr/link?id=S11643948</v>
      </c>
      <c r="H27" s="45" t="str">
        <f ca="1">IFERROR(__xludf.DUMMYFUNCTION("""COMPUTED_VALUE"""),"X")</f>
        <v>X</v>
      </c>
    </row>
    <row r="28" spans="1:9" ht="26.25" customHeight="1">
      <c r="A28" s="211">
        <f t="shared" ca="1" si="0"/>
        <v>25</v>
      </c>
      <c r="B28" s="118" t="str">
        <f ca="1">IFERROR(__xludf.DUMMYFUNCTION("""COMPUTED_VALUE"""),"航空情報")</f>
        <v>航空情報</v>
      </c>
      <c r="C28" s="118" t="str">
        <f ca="1">IFERROR(__xludf.DUMMYFUNCTION("""COMPUTED_VALUE"""),"Kantosha Co. Ltd.")</f>
        <v>Kantosha Co. Ltd.</v>
      </c>
      <c r="D28" s="119" t="str">
        <f ca="1">IFERROR(__xludf.DUMMYFUNCTION("""COMPUTED_VALUE"""),"0450-6669")</f>
        <v>0450-6669</v>
      </c>
      <c r="E28" s="212" t="str">
        <f ca="1">IFERROR(__xludf.DUMMYFUNCTION("""COMPUTED_VALUE"""),"2011-2020")</f>
        <v>2011-2020</v>
      </c>
      <c r="F28" s="213" t="str">
        <f ca="1">IFERROR(__xludf.DUMMYFUNCTION("""COMPUTED_VALUE"""),"-")</f>
        <v>-</v>
      </c>
      <c r="G28" s="214" t="str">
        <f ca="1">IFERROR(__xludf.DUMMYFUNCTION("""COMPUTED_VALUE"""),"http://www.riss.kr/link?id=S20085282")</f>
        <v>http://www.riss.kr/link?id=S20085282</v>
      </c>
      <c r="H28" s="165" t="str">
        <f ca="1">IFERROR(__xludf.DUMMYFUNCTION("""COMPUTED_VALUE"""),"X")</f>
        <v>X</v>
      </c>
    </row>
    <row r="29" spans="1:9" ht="17.25" customHeight="1">
      <c r="A29" s="46" t="str">
        <f t="shared" si="0"/>
        <v/>
      </c>
      <c r="B29" s="215"/>
      <c r="C29" s="215"/>
      <c r="D29" s="1"/>
      <c r="E29" s="216"/>
      <c r="F29" s="217"/>
      <c r="G29" s="108"/>
      <c r="H29" s="1"/>
      <c r="I29" s="5"/>
    </row>
    <row r="30" spans="1:9" ht="17.25" customHeight="1">
      <c r="A30" s="46" t="str">
        <f t="shared" si="0"/>
        <v/>
      </c>
      <c r="B30" s="221"/>
      <c r="C30" s="215"/>
      <c r="D30" s="1"/>
      <c r="E30" s="216"/>
      <c r="F30" s="217"/>
      <c r="G30" s="108"/>
      <c r="H30" s="1"/>
      <c r="I30" s="5"/>
    </row>
    <row r="31" spans="1:9" ht="17.25" customHeight="1">
      <c r="A31" s="46" t="str">
        <f t="shared" si="0"/>
        <v/>
      </c>
      <c r="B31" s="215"/>
      <c r="C31" s="215"/>
      <c r="D31" s="1"/>
      <c r="E31" s="216"/>
      <c r="F31" s="217"/>
      <c r="G31" s="108"/>
      <c r="H31" s="1"/>
      <c r="I31" s="5"/>
    </row>
    <row r="32" spans="1:9" ht="17.25" customHeight="1">
      <c r="A32" s="46" t="str">
        <f t="shared" si="0"/>
        <v/>
      </c>
      <c r="B32" s="221"/>
      <c r="C32" s="215"/>
      <c r="D32" s="1"/>
      <c r="E32" s="216"/>
      <c r="F32" s="217"/>
      <c r="G32" s="108"/>
      <c r="H32" s="1"/>
      <c r="I32" s="5"/>
    </row>
    <row r="33" spans="1:9" ht="17.25" customHeight="1">
      <c r="A33" s="46" t="str">
        <f t="shared" si="0"/>
        <v/>
      </c>
      <c r="B33" s="215"/>
      <c r="C33" s="215"/>
      <c r="D33" s="1"/>
      <c r="E33" s="216"/>
      <c r="F33" s="217"/>
      <c r="G33" s="108"/>
      <c r="H33" s="1"/>
      <c r="I33" s="5"/>
    </row>
    <row r="34" spans="1:9" ht="17.25" customHeight="1">
      <c r="A34" s="46" t="str">
        <f t="shared" si="0"/>
        <v/>
      </c>
      <c r="B34" s="221"/>
      <c r="C34" s="215"/>
      <c r="D34" s="1"/>
      <c r="E34" s="216"/>
      <c r="F34" s="217"/>
      <c r="G34" s="108"/>
      <c r="H34" s="1"/>
      <c r="I34" s="5"/>
    </row>
    <row r="35" spans="1:9" ht="17.25" customHeight="1">
      <c r="A35" s="46" t="str">
        <f t="shared" si="0"/>
        <v/>
      </c>
      <c r="B35" s="221"/>
      <c r="C35" s="215"/>
      <c r="D35" s="1"/>
      <c r="E35" s="216"/>
      <c r="F35" s="217"/>
      <c r="G35" s="108"/>
      <c r="H35" s="1"/>
      <c r="I35" s="5"/>
    </row>
    <row r="36" spans="1:9" ht="17.25" customHeight="1">
      <c r="A36" s="46" t="str">
        <f t="shared" si="0"/>
        <v/>
      </c>
      <c r="B36" s="215"/>
      <c r="C36" s="215"/>
      <c r="D36" s="1"/>
      <c r="E36" s="216"/>
      <c r="F36" s="217"/>
      <c r="G36" s="108"/>
      <c r="H36" s="1"/>
      <c r="I36" s="5"/>
    </row>
    <row r="37" spans="1:9" ht="17.25" customHeight="1">
      <c r="A37" s="46" t="str">
        <f t="shared" si="0"/>
        <v/>
      </c>
      <c r="B37" s="221"/>
      <c r="C37" s="215"/>
      <c r="D37" s="1"/>
      <c r="E37" s="216"/>
      <c r="F37" s="217"/>
      <c r="G37" s="108"/>
      <c r="H37" s="1"/>
      <c r="I37" s="5"/>
    </row>
    <row r="38" spans="1:9" ht="17.25" customHeight="1">
      <c r="A38" s="46" t="str">
        <f t="shared" si="0"/>
        <v/>
      </c>
      <c r="B38" s="221"/>
      <c r="C38" s="215"/>
      <c r="D38" s="1"/>
      <c r="E38" s="216"/>
      <c r="F38" s="217"/>
      <c r="G38" s="108"/>
      <c r="H38" s="1"/>
      <c r="I38" s="5"/>
    </row>
    <row r="39" spans="1:9" ht="17.25" customHeight="1">
      <c r="A39" s="46" t="str">
        <f t="shared" si="0"/>
        <v/>
      </c>
      <c r="B39" s="215"/>
      <c r="C39" s="215"/>
      <c r="D39" s="1"/>
      <c r="E39" s="216"/>
      <c r="F39" s="217"/>
      <c r="G39" s="108"/>
      <c r="H39" s="1"/>
      <c r="I39" s="5"/>
    </row>
    <row r="40" spans="1:9" ht="17.25" customHeight="1">
      <c r="A40" s="46" t="str">
        <f t="shared" si="0"/>
        <v/>
      </c>
      <c r="B40" s="221"/>
      <c r="C40" s="215"/>
      <c r="D40" s="1"/>
      <c r="E40" s="216"/>
      <c r="F40" s="217"/>
      <c r="G40" s="108"/>
      <c r="H40" s="1"/>
      <c r="I40" s="5"/>
    </row>
    <row r="41" spans="1:9" ht="17.25" customHeight="1">
      <c r="A41" s="46" t="str">
        <f t="shared" si="0"/>
        <v/>
      </c>
      <c r="B41" s="215"/>
      <c r="C41" s="215"/>
      <c r="D41" s="1"/>
      <c r="E41" s="216"/>
      <c r="F41" s="217"/>
      <c r="G41" s="108"/>
      <c r="H41" s="1"/>
      <c r="I41" s="5"/>
    </row>
    <row r="42" spans="1:9" ht="17.25" customHeight="1">
      <c r="A42" s="46" t="str">
        <f t="shared" si="0"/>
        <v/>
      </c>
      <c r="B42" s="215"/>
      <c r="C42" s="215"/>
      <c r="D42" s="1"/>
      <c r="E42" s="216"/>
      <c r="F42" s="217"/>
      <c r="G42" s="108"/>
      <c r="H42" s="1"/>
      <c r="I42" s="5"/>
    </row>
    <row r="43" spans="1:9" ht="17.25" customHeight="1">
      <c r="A43" s="46" t="str">
        <f t="shared" si="0"/>
        <v/>
      </c>
      <c r="B43" s="215"/>
      <c r="C43" s="215"/>
      <c r="D43" s="1"/>
      <c r="E43" s="216"/>
      <c r="F43" s="217"/>
      <c r="G43" s="108"/>
      <c r="H43" s="1"/>
      <c r="I43" s="5"/>
    </row>
    <row r="44" spans="1:9" ht="17.25" customHeight="1">
      <c r="A44" s="46" t="str">
        <f t="shared" si="0"/>
        <v/>
      </c>
      <c r="B44" s="221"/>
      <c r="C44" s="215"/>
      <c r="D44" s="1"/>
      <c r="E44" s="216"/>
      <c r="F44" s="217"/>
      <c r="G44" s="108"/>
      <c r="H44" s="1"/>
      <c r="I44" s="5"/>
    </row>
    <row r="45" spans="1:9" ht="17.25" customHeight="1">
      <c r="A45" s="46" t="str">
        <f t="shared" si="0"/>
        <v/>
      </c>
      <c r="B45" s="215"/>
      <c r="C45" s="215"/>
      <c r="D45" s="1"/>
      <c r="E45" s="216"/>
      <c r="F45" s="217"/>
      <c r="G45" s="108"/>
      <c r="H45" s="1"/>
      <c r="I45" s="5"/>
    </row>
    <row r="46" spans="1:9" ht="17.25" customHeight="1">
      <c r="A46" s="46" t="str">
        <f t="shared" si="0"/>
        <v/>
      </c>
      <c r="B46" s="215"/>
      <c r="C46" s="215"/>
      <c r="D46" s="1"/>
      <c r="E46" s="216"/>
      <c r="F46" s="217"/>
      <c r="G46" s="108"/>
      <c r="H46" s="1"/>
      <c r="I46" s="5"/>
    </row>
    <row r="47" spans="1:9" ht="17.25" customHeight="1">
      <c r="A47" s="46" t="str">
        <f t="shared" si="0"/>
        <v/>
      </c>
      <c r="B47" s="221"/>
      <c r="C47" s="215"/>
      <c r="D47" s="1"/>
      <c r="E47" s="216"/>
      <c r="F47" s="217"/>
      <c r="G47" s="108"/>
      <c r="H47" s="1"/>
      <c r="I47" s="5"/>
    </row>
    <row r="48" spans="1:9" ht="17.25" customHeight="1">
      <c r="A48" s="46" t="str">
        <f t="shared" si="0"/>
        <v/>
      </c>
      <c r="B48" s="215"/>
      <c r="C48" s="215"/>
      <c r="D48" s="1"/>
      <c r="E48" s="216"/>
      <c r="F48" s="217"/>
      <c r="G48" s="108"/>
      <c r="H48" s="1"/>
      <c r="I48" s="5"/>
    </row>
    <row r="49" spans="1:9" ht="17.25" customHeight="1">
      <c r="A49" s="46" t="str">
        <f t="shared" si="0"/>
        <v/>
      </c>
      <c r="B49" s="221"/>
      <c r="C49" s="215"/>
      <c r="D49" s="1"/>
      <c r="E49" s="216"/>
      <c r="F49" s="217"/>
      <c r="G49" s="108"/>
      <c r="H49" s="1"/>
      <c r="I49" s="5"/>
    </row>
    <row r="50" spans="1:9" ht="17.25" customHeight="1">
      <c r="A50" s="46" t="str">
        <f t="shared" si="0"/>
        <v/>
      </c>
      <c r="B50" s="215"/>
      <c r="C50" s="215"/>
      <c r="D50" s="1"/>
      <c r="E50" s="216"/>
      <c r="F50" s="217"/>
      <c r="G50" s="108"/>
      <c r="H50" s="1"/>
      <c r="I50" s="5"/>
    </row>
    <row r="51" spans="1:9" ht="17.25" customHeight="1">
      <c r="A51" s="46" t="str">
        <f t="shared" si="0"/>
        <v/>
      </c>
      <c r="B51" s="215"/>
      <c r="C51" s="215"/>
      <c r="D51" s="1"/>
      <c r="E51" s="216"/>
      <c r="F51" s="217"/>
      <c r="G51" s="108"/>
      <c r="H51" s="1"/>
      <c r="I51" s="5"/>
    </row>
    <row r="52" spans="1:9" ht="17.25" customHeight="1">
      <c r="A52" s="46" t="str">
        <f t="shared" si="0"/>
        <v/>
      </c>
      <c r="B52" s="215"/>
      <c r="C52" s="215"/>
      <c r="D52" s="1"/>
      <c r="E52" s="216"/>
      <c r="F52" s="217"/>
      <c r="G52" s="108"/>
      <c r="H52" s="1"/>
      <c r="I52" s="5"/>
    </row>
    <row r="53" spans="1:9" ht="17.25" customHeight="1">
      <c r="A53" s="46" t="str">
        <f t="shared" si="0"/>
        <v/>
      </c>
      <c r="B53" s="215"/>
      <c r="C53" s="215"/>
      <c r="D53" s="1"/>
      <c r="E53" s="216"/>
      <c r="F53" s="217"/>
      <c r="G53" s="108"/>
      <c r="H53" s="1"/>
      <c r="I53" s="5"/>
    </row>
    <row r="54" spans="1:9" ht="17.25" customHeight="1">
      <c r="A54" s="46" t="str">
        <f t="shared" si="0"/>
        <v/>
      </c>
      <c r="B54" s="215"/>
      <c r="C54" s="215"/>
      <c r="D54" s="1"/>
      <c r="E54" s="216"/>
      <c r="F54" s="217"/>
      <c r="G54" s="108"/>
      <c r="H54" s="1"/>
      <c r="I54" s="5"/>
    </row>
    <row r="55" spans="1:9" ht="17.25" customHeight="1">
      <c r="A55" s="46" t="str">
        <f t="shared" si="0"/>
        <v/>
      </c>
      <c r="B55" s="221"/>
      <c r="C55" s="215"/>
      <c r="D55" s="1"/>
      <c r="E55" s="216"/>
      <c r="F55" s="217"/>
      <c r="G55" s="108"/>
      <c r="H55" s="1"/>
      <c r="I55" s="5"/>
    </row>
    <row r="56" spans="1:9" ht="17.25" customHeight="1">
      <c r="A56" s="46" t="str">
        <f t="shared" si="0"/>
        <v/>
      </c>
      <c r="B56" s="215"/>
      <c r="C56" s="215"/>
      <c r="D56" s="1"/>
      <c r="E56" s="216"/>
      <c r="F56" s="217"/>
      <c r="G56" s="108"/>
      <c r="H56" s="1"/>
      <c r="I56" s="5"/>
    </row>
    <row r="57" spans="1:9" ht="17.25" customHeight="1">
      <c r="A57" s="46" t="str">
        <f t="shared" si="0"/>
        <v/>
      </c>
      <c r="B57" s="221"/>
      <c r="C57" s="215"/>
      <c r="D57" s="1"/>
      <c r="E57" s="216"/>
      <c r="F57" s="217"/>
      <c r="G57" s="108"/>
      <c r="H57" s="1"/>
      <c r="I57" s="5"/>
    </row>
    <row r="58" spans="1:9" ht="17.25" customHeight="1">
      <c r="A58" s="46" t="str">
        <f t="shared" si="0"/>
        <v/>
      </c>
      <c r="B58" s="221"/>
      <c r="C58" s="215"/>
      <c r="D58" s="1"/>
      <c r="E58" s="216"/>
      <c r="F58" s="217"/>
      <c r="G58" s="108"/>
      <c r="H58" s="1"/>
      <c r="I58" s="5"/>
    </row>
    <row r="59" spans="1:9" ht="17.25" customHeight="1">
      <c r="A59" s="46" t="str">
        <f t="shared" si="0"/>
        <v/>
      </c>
      <c r="B59" s="221"/>
      <c r="C59" s="215"/>
      <c r="D59" s="1"/>
      <c r="E59" s="216"/>
      <c r="F59" s="217"/>
      <c r="G59" s="108"/>
      <c r="H59" s="1"/>
      <c r="I59" s="5"/>
    </row>
    <row r="60" spans="1:9" ht="17.25" customHeight="1">
      <c r="A60" s="46" t="str">
        <f t="shared" si="0"/>
        <v/>
      </c>
      <c r="B60" s="220"/>
      <c r="C60" s="216"/>
      <c r="D60" s="1"/>
      <c r="E60" s="229"/>
      <c r="F60" s="99"/>
      <c r="G60" s="230"/>
      <c r="H60" s="1"/>
      <c r="I60" s="5"/>
    </row>
    <row r="61" spans="1:9" ht="17.25" customHeight="1">
      <c r="A61" s="46" t="str">
        <f t="shared" si="0"/>
        <v/>
      </c>
      <c r="B61" s="221"/>
      <c r="C61" s="215"/>
      <c r="D61" s="1"/>
      <c r="E61" s="216"/>
      <c r="F61" s="217"/>
      <c r="G61" s="108"/>
      <c r="H61" s="1"/>
      <c r="I61" s="5"/>
    </row>
    <row r="62" spans="1:9" ht="17.25" customHeight="1">
      <c r="A62" s="46" t="str">
        <f t="shared" si="0"/>
        <v/>
      </c>
      <c r="B62" s="215"/>
      <c r="C62" s="215"/>
      <c r="D62" s="1"/>
      <c r="E62" s="216"/>
      <c r="F62" s="217"/>
      <c r="G62" s="108"/>
      <c r="H62" s="1"/>
      <c r="I62" s="5"/>
    </row>
    <row r="63" spans="1:9" ht="17.25" customHeight="1">
      <c r="A63" s="46" t="str">
        <f t="shared" si="0"/>
        <v/>
      </c>
      <c r="B63" s="215"/>
      <c r="C63" s="215"/>
      <c r="D63" s="1"/>
      <c r="E63" s="216"/>
      <c r="F63" s="217"/>
      <c r="G63" s="108"/>
      <c r="H63" s="1"/>
      <c r="I63" s="5"/>
    </row>
    <row r="64" spans="1:9" ht="17.25" customHeight="1">
      <c r="A64" s="46" t="str">
        <f t="shared" si="0"/>
        <v/>
      </c>
      <c r="B64" s="215"/>
      <c r="C64" s="215"/>
      <c r="D64" s="1"/>
      <c r="E64" s="216"/>
      <c r="F64" s="217"/>
      <c r="G64" s="108"/>
      <c r="H64" s="1"/>
      <c r="I64" s="5"/>
    </row>
    <row r="65" spans="1:9" ht="17.25" customHeight="1">
      <c r="A65" s="46" t="str">
        <f t="shared" si="0"/>
        <v/>
      </c>
      <c r="B65" s="215"/>
      <c r="C65" s="215"/>
      <c r="D65" s="1"/>
      <c r="E65" s="216"/>
      <c r="F65" s="217"/>
      <c r="G65" s="108"/>
      <c r="H65" s="1"/>
      <c r="I65" s="5"/>
    </row>
    <row r="66" spans="1:9" ht="17.25" customHeight="1">
      <c r="A66" s="46" t="str">
        <f t="shared" si="0"/>
        <v/>
      </c>
      <c r="B66" s="215"/>
      <c r="C66" s="215"/>
      <c r="D66" s="1"/>
      <c r="E66" s="216"/>
      <c r="F66" s="217"/>
      <c r="G66" s="108"/>
      <c r="H66" s="1"/>
      <c r="I66" s="5"/>
    </row>
    <row r="67" spans="1:9" ht="17.25" customHeight="1">
      <c r="A67" s="46" t="str">
        <f t="shared" si="0"/>
        <v/>
      </c>
      <c r="B67" s="221"/>
      <c r="C67" s="215"/>
      <c r="D67" s="1"/>
      <c r="E67" s="216"/>
      <c r="F67" s="217"/>
      <c r="G67" s="108"/>
      <c r="H67" s="1"/>
      <c r="I67" s="5"/>
    </row>
    <row r="68" spans="1:9" ht="17.25" customHeight="1">
      <c r="A68" s="46" t="str">
        <f t="shared" si="0"/>
        <v/>
      </c>
      <c r="B68" s="215"/>
      <c r="C68" s="215"/>
      <c r="D68" s="1"/>
      <c r="E68" s="216"/>
      <c r="F68" s="217"/>
      <c r="G68" s="108"/>
      <c r="H68" s="1"/>
      <c r="I68" s="5"/>
    </row>
    <row r="69" spans="1:9" ht="17.25" customHeight="1">
      <c r="A69" s="46" t="str">
        <f t="shared" si="0"/>
        <v/>
      </c>
      <c r="B69" s="215"/>
      <c r="C69" s="215"/>
      <c r="D69" s="1"/>
      <c r="E69" s="216"/>
      <c r="F69" s="217"/>
      <c r="G69" s="108"/>
      <c r="H69" s="1"/>
      <c r="I69" s="5"/>
    </row>
    <row r="70" spans="1:9" ht="17.25" customHeight="1">
      <c r="A70" s="46" t="str">
        <f t="shared" si="0"/>
        <v/>
      </c>
      <c r="B70" s="215"/>
      <c r="C70" s="215"/>
      <c r="D70" s="1"/>
      <c r="E70" s="216"/>
      <c r="F70" s="217"/>
      <c r="G70" s="108"/>
      <c r="H70" s="1"/>
      <c r="I70" s="5"/>
    </row>
    <row r="71" spans="1:9" ht="17.25" customHeight="1">
      <c r="A71" s="46" t="str">
        <f t="shared" si="0"/>
        <v/>
      </c>
      <c r="B71" s="215"/>
      <c r="C71" s="215"/>
      <c r="D71" s="1"/>
      <c r="E71" s="216"/>
      <c r="F71" s="217"/>
      <c r="G71" s="108"/>
      <c r="H71" s="1"/>
      <c r="I71" s="5"/>
    </row>
    <row r="72" spans="1:9" ht="17.25" customHeight="1">
      <c r="A72" s="46" t="str">
        <f t="shared" si="0"/>
        <v/>
      </c>
      <c r="B72" s="215"/>
      <c r="C72" s="215"/>
      <c r="D72" s="1"/>
      <c r="E72" s="216"/>
      <c r="F72" s="217"/>
      <c r="G72" s="108"/>
      <c r="H72" s="1"/>
      <c r="I72" s="5"/>
    </row>
    <row r="73" spans="1:9" ht="17.25" customHeight="1">
      <c r="A73" s="46" t="str">
        <f t="shared" si="0"/>
        <v/>
      </c>
      <c r="B73" s="221"/>
      <c r="C73" s="215"/>
      <c r="D73" s="1"/>
      <c r="E73" s="216"/>
      <c r="F73" s="217"/>
      <c r="G73" s="108"/>
      <c r="H73" s="1"/>
      <c r="I73" s="5"/>
    </row>
    <row r="74" spans="1:9" ht="17.25" customHeight="1">
      <c r="A74" s="46" t="str">
        <f t="shared" si="0"/>
        <v/>
      </c>
      <c r="B74" s="221"/>
      <c r="C74" s="215"/>
      <c r="D74" s="1"/>
      <c r="E74" s="216"/>
      <c r="F74" s="220"/>
      <c r="G74" s="108"/>
      <c r="H74" s="1"/>
      <c r="I74" s="5"/>
    </row>
    <row r="75" spans="1:9" ht="17.25" customHeight="1">
      <c r="A75" s="46" t="str">
        <f t="shared" si="0"/>
        <v/>
      </c>
      <c r="B75" s="221"/>
      <c r="C75" s="215"/>
      <c r="D75" s="1"/>
      <c r="E75" s="216"/>
      <c r="F75" s="217"/>
      <c r="G75" s="108"/>
      <c r="H75" s="1"/>
      <c r="I75" s="5"/>
    </row>
    <row r="76" spans="1:9" ht="17.25" customHeight="1">
      <c r="A76" s="46" t="str">
        <f t="shared" si="0"/>
        <v/>
      </c>
      <c r="B76" s="215"/>
      <c r="C76" s="215"/>
      <c r="D76" s="1"/>
      <c r="E76" s="216"/>
      <c r="F76" s="217"/>
      <c r="G76" s="108"/>
      <c r="H76" s="1"/>
      <c r="I76" s="5"/>
    </row>
    <row r="77" spans="1:9" ht="17.25" customHeight="1">
      <c r="A77" s="46" t="str">
        <f t="shared" si="0"/>
        <v/>
      </c>
      <c r="B77" s="215"/>
      <c r="C77" s="215"/>
      <c r="D77" s="1"/>
      <c r="E77" s="216"/>
      <c r="F77" s="217"/>
      <c r="G77" s="108"/>
      <c r="H77" s="1"/>
      <c r="I77" s="5"/>
    </row>
    <row r="78" spans="1:9" ht="17.25" customHeight="1">
      <c r="A78" s="46" t="str">
        <f t="shared" si="0"/>
        <v/>
      </c>
      <c r="B78" s="221"/>
      <c r="C78" s="215"/>
      <c r="D78" s="1"/>
      <c r="E78" s="216"/>
      <c r="F78" s="217"/>
      <c r="G78" s="108"/>
      <c r="H78" s="1"/>
      <c r="I78" s="5"/>
    </row>
    <row r="79" spans="1:9" ht="17.25" customHeight="1">
      <c r="A79" s="46" t="str">
        <f t="shared" si="0"/>
        <v/>
      </c>
      <c r="B79" s="221"/>
      <c r="C79" s="215"/>
      <c r="D79" s="1"/>
      <c r="E79" s="216"/>
      <c r="F79" s="217"/>
      <c r="G79" s="108"/>
      <c r="H79" s="1"/>
      <c r="I79" s="5"/>
    </row>
    <row r="80" spans="1:9" ht="17.25" customHeight="1">
      <c r="A80" s="46" t="str">
        <f t="shared" si="0"/>
        <v/>
      </c>
      <c r="B80" s="215"/>
      <c r="C80" s="215"/>
      <c r="D80" s="1"/>
      <c r="E80" s="216"/>
      <c r="F80" s="217"/>
      <c r="G80" s="108"/>
      <c r="H80" s="1"/>
      <c r="I80" s="5"/>
    </row>
    <row r="81" spans="1:9" ht="17.25" customHeight="1">
      <c r="A81" s="46" t="str">
        <f t="shared" si="0"/>
        <v/>
      </c>
      <c r="B81" s="221"/>
      <c r="C81" s="215"/>
      <c r="D81" s="1"/>
      <c r="E81" s="216"/>
      <c r="F81" s="217"/>
      <c r="G81" s="108"/>
      <c r="H81" s="1"/>
      <c r="I81" s="5"/>
    </row>
    <row r="82" spans="1:9" ht="17.25" customHeight="1">
      <c r="A82" s="46" t="str">
        <f t="shared" si="0"/>
        <v/>
      </c>
      <c r="B82" s="221"/>
      <c r="C82" s="215"/>
      <c r="D82" s="1"/>
      <c r="E82" s="216"/>
      <c r="F82" s="217"/>
      <c r="G82" s="108"/>
      <c r="H82" s="1"/>
      <c r="I82" s="5"/>
    </row>
    <row r="83" spans="1:9" ht="17.25" customHeight="1">
      <c r="A83" s="46" t="str">
        <f t="shared" si="0"/>
        <v/>
      </c>
      <c r="B83" s="221"/>
      <c r="C83" s="215"/>
      <c r="D83" s="1"/>
      <c r="E83" s="216"/>
      <c r="F83" s="217"/>
      <c r="G83" s="108"/>
      <c r="H83" s="1"/>
      <c r="I83" s="5"/>
    </row>
    <row r="84" spans="1:9" ht="17.25" customHeight="1">
      <c r="A84" s="46" t="str">
        <f t="shared" si="0"/>
        <v/>
      </c>
      <c r="B84" s="215"/>
      <c r="C84" s="215"/>
      <c r="D84" s="1"/>
      <c r="E84" s="216"/>
      <c r="F84" s="217"/>
      <c r="G84" s="108"/>
      <c r="H84" s="1"/>
      <c r="I84" s="5"/>
    </row>
    <row r="85" spans="1:9" ht="17.25" customHeight="1">
      <c r="A85" s="46" t="str">
        <f t="shared" si="0"/>
        <v/>
      </c>
      <c r="B85" s="221"/>
      <c r="C85" s="215"/>
      <c r="D85" s="1"/>
      <c r="E85" s="216"/>
      <c r="F85" s="217"/>
      <c r="G85" s="108"/>
      <c r="H85" s="1"/>
      <c r="I85" s="5"/>
    </row>
    <row r="86" spans="1:9" ht="17.25" customHeight="1">
      <c r="A86" s="46" t="str">
        <f t="shared" si="0"/>
        <v/>
      </c>
      <c r="B86" s="221"/>
      <c r="C86" s="215"/>
      <c r="D86" s="1"/>
      <c r="E86" s="216"/>
      <c r="F86" s="217"/>
      <c r="G86" s="108"/>
      <c r="H86" s="1"/>
      <c r="I86" s="5"/>
    </row>
    <row r="87" spans="1:9" ht="17.25" customHeight="1">
      <c r="A87" s="46" t="str">
        <f t="shared" si="0"/>
        <v/>
      </c>
      <c r="B87" s="215"/>
      <c r="C87" s="215"/>
      <c r="D87" s="1"/>
      <c r="E87" s="216"/>
      <c r="F87" s="217"/>
      <c r="G87" s="108"/>
      <c r="H87" s="1"/>
      <c r="I87" s="5"/>
    </row>
    <row r="88" spans="1:9" ht="17.25" customHeight="1">
      <c r="A88" s="46" t="str">
        <f t="shared" si="0"/>
        <v/>
      </c>
      <c r="B88" s="215"/>
      <c r="C88" s="215"/>
      <c r="D88" s="1"/>
      <c r="E88" s="216"/>
      <c r="F88" s="217"/>
      <c r="G88" s="108"/>
      <c r="H88" s="1"/>
      <c r="I88" s="5"/>
    </row>
    <row r="89" spans="1:9" ht="17.25" customHeight="1">
      <c r="A89" s="46" t="str">
        <f t="shared" si="0"/>
        <v/>
      </c>
      <c r="B89" s="221"/>
      <c r="C89" s="215"/>
      <c r="D89" s="1"/>
      <c r="E89" s="216"/>
      <c r="F89" s="217"/>
      <c r="G89" s="108"/>
      <c r="H89" s="1"/>
      <c r="I89" s="5"/>
    </row>
    <row r="90" spans="1:9" ht="17.25" customHeight="1">
      <c r="A90" s="46" t="str">
        <f t="shared" si="0"/>
        <v/>
      </c>
      <c r="B90" s="215"/>
      <c r="C90" s="215"/>
      <c r="D90" s="1"/>
      <c r="E90" s="216"/>
      <c r="F90" s="217"/>
      <c r="G90" s="108"/>
      <c r="H90" s="1"/>
      <c r="I90" s="5"/>
    </row>
    <row r="91" spans="1:9" ht="17.25" customHeight="1">
      <c r="A91" s="46" t="str">
        <f t="shared" si="0"/>
        <v/>
      </c>
      <c r="B91" s="221"/>
      <c r="C91" s="215"/>
      <c r="D91" s="1"/>
      <c r="E91" s="216"/>
      <c r="F91" s="220"/>
      <c r="G91" s="108"/>
      <c r="H91" s="1"/>
      <c r="I91" s="5"/>
    </row>
    <row r="92" spans="1:9" ht="17.25" customHeight="1">
      <c r="A92" s="46" t="str">
        <f t="shared" si="0"/>
        <v/>
      </c>
      <c r="B92" s="215"/>
      <c r="C92" s="215"/>
      <c r="D92" s="1"/>
      <c r="E92" s="216"/>
      <c r="F92" s="217"/>
      <c r="G92" s="108"/>
      <c r="H92" s="1"/>
      <c r="I92" s="5"/>
    </row>
    <row r="93" spans="1:9" ht="17.25" customHeight="1">
      <c r="A93" s="46" t="str">
        <f t="shared" si="0"/>
        <v/>
      </c>
      <c r="B93" s="215"/>
      <c r="C93" s="215"/>
      <c r="D93" s="1"/>
      <c r="E93" s="216"/>
      <c r="F93" s="217"/>
      <c r="G93" s="108"/>
      <c r="H93" s="1"/>
      <c r="I93" s="5"/>
    </row>
    <row r="94" spans="1:9" ht="17.25" customHeight="1">
      <c r="A94" s="46" t="str">
        <f t="shared" si="0"/>
        <v/>
      </c>
      <c r="B94" s="215"/>
      <c r="C94" s="215"/>
      <c r="D94" s="1"/>
      <c r="E94" s="216"/>
      <c r="F94" s="217"/>
      <c r="G94" s="108"/>
      <c r="H94" s="1"/>
      <c r="I94" s="5"/>
    </row>
    <row r="95" spans="1:9" ht="17.25" customHeight="1">
      <c r="A95" s="46" t="str">
        <f t="shared" si="0"/>
        <v/>
      </c>
      <c r="B95" s="221"/>
      <c r="C95" s="215"/>
      <c r="D95" s="1"/>
      <c r="E95" s="216"/>
      <c r="F95" s="217"/>
      <c r="G95" s="108"/>
      <c r="H95" s="1"/>
      <c r="I95" s="5"/>
    </row>
    <row r="96" spans="1:9" ht="17.25" customHeight="1">
      <c r="A96" s="46" t="str">
        <f t="shared" si="0"/>
        <v/>
      </c>
      <c r="B96" s="215"/>
      <c r="C96" s="215"/>
      <c r="D96" s="231"/>
      <c r="E96" s="216"/>
      <c r="F96" s="217"/>
      <c r="G96" s="108"/>
      <c r="H96" s="1"/>
      <c r="I96" s="5"/>
    </row>
    <row r="97" spans="1:9" ht="17.25" customHeight="1">
      <c r="A97" s="46" t="str">
        <f t="shared" si="0"/>
        <v/>
      </c>
      <c r="B97" s="215"/>
      <c r="C97" s="215"/>
      <c r="D97" s="1"/>
      <c r="E97" s="216"/>
      <c r="F97" s="217"/>
      <c r="G97" s="108"/>
      <c r="H97" s="1"/>
      <c r="I97" s="5"/>
    </row>
    <row r="98" spans="1:9" ht="17.25" customHeight="1">
      <c r="A98" s="46" t="str">
        <f t="shared" si="0"/>
        <v/>
      </c>
      <c r="B98" s="215"/>
      <c r="C98" s="215"/>
      <c r="D98" s="1"/>
      <c r="E98" s="216"/>
      <c r="F98" s="217"/>
      <c r="G98" s="108"/>
      <c r="H98" s="1"/>
      <c r="I98" s="5"/>
    </row>
    <row r="99" spans="1:9" ht="17.25" customHeight="1">
      <c r="A99" s="46" t="str">
        <f t="shared" si="0"/>
        <v/>
      </c>
      <c r="B99" s="221"/>
      <c r="C99" s="215"/>
      <c r="D99" s="1"/>
      <c r="E99" s="216"/>
      <c r="F99" s="220"/>
      <c r="G99" s="108"/>
      <c r="H99" s="1"/>
      <c r="I99" s="5"/>
    </row>
    <row r="100" spans="1:9" ht="17.25" customHeight="1">
      <c r="A100" s="46" t="str">
        <f t="shared" si="0"/>
        <v/>
      </c>
      <c r="B100" s="221"/>
      <c r="C100" s="215"/>
      <c r="D100" s="1"/>
      <c r="E100" s="216"/>
      <c r="F100" s="217"/>
      <c r="G100" s="108"/>
      <c r="H100" s="1"/>
      <c r="I100" s="5"/>
    </row>
    <row r="101" spans="1:9" ht="17.25" customHeight="1">
      <c r="A101" s="46" t="str">
        <f t="shared" si="0"/>
        <v/>
      </c>
      <c r="B101" s="221"/>
      <c r="C101" s="215"/>
      <c r="D101" s="1"/>
      <c r="E101" s="216"/>
      <c r="F101" s="217"/>
      <c r="G101" s="108"/>
      <c r="H101" s="1"/>
      <c r="I101" s="5"/>
    </row>
    <row r="102" spans="1:9" ht="17.25" customHeight="1">
      <c r="A102" s="46" t="str">
        <f t="shared" si="0"/>
        <v/>
      </c>
      <c r="B102" s="215"/>
      <c r="C102" s="215"/>
      <c r="D102" s="1"/>
      <c r="E102" s="216"/>
      <c r="F102" s="217"/>
      <c r="G102" s="108"/>
      <c r="H102" s="1"/>
      <c r="I102" s="5"/>
    </row>
    <row r="103" spans="1:9" ht="17.25" customHeight="1">
      <c r="A103" s="46" t="str">
        <f t="shared" si="0"/>
        <v/>
      </c>
      <c r="B103" s="215"/>
      <c r="C103" s="215"/>
      <c r="D103" s="1"/>
      <c r="E103" s="216"/>
      <c r="F103" s="217"/>
      <c r="G103" s="108"/>
      <c r="H103" s="1"/>
      <c r="I103" s="5"/>
    </row>
    <row r="104" spans="1:9" ht="17.25" customHeight="1">
      <c r="A104" s="46" t="str">
        <f t="shared" si="0"/>
        <v/>
      </c>
      <c r="B104" s="215"/>
      <c r="C104" s="215"/>
      <c r="D104" s="1"/>
      <c r="E104" s="216"/>
      <c r="F104" s="217"/>
      <c r="G104" s="108"/>
      <c r="H104" s="1"/>
      <c r="I104" s="5"/>
    </row>
    <row r="105" spans="1:9" ht="17.25" customHeight="1">
      <c r="A105" s="46" t="str">
        <f t="shared" si="0"/>
        <v/>
      </c>
      <c r="B105" s="215"/>
      <c r="C105" s="215"/>
      <c r="D105" s="1"/>
      <c r="E105" s="216"/>
      <c r="F105" s="217"/>
      <c r="G105" s="108"/>
      <c r="H105" s="1"/>
      <c r="I105" s="5"/>
    </row>
    <row r="106" spans="1:9" ht="17.25" customHeight="1">
      <c r="A106" s="46" t="str">
        <f t="shared" si="0"/>
        <v/>
      </c>
      <c r="B106" s="215"/>
      <c r="C106" s="215"/>
      <c r="D106" s="231"/>
      <c r="E106" s="216"/>
      <c r="F106" s="217"/>
      <c r="G106" s="108"/>
      <c r="H106" s="1"/>
      <c r="I106" s="5"/>
    </row>
    <row r="107" spans="1:9" ht="17.25" customHeight="1">
      <c r="A107" s="46" t="str">
        <f t="shared" si="0"/>
        <v/>
      </c>
      <c r="B107" s="221"/>
      <c r="C107" s="215"/>
      <c r="D107" s="1"/>
      <c r="E107" s="216"/>
      <c r="F107" s="217"/>
      <c r="G107" s="108"/>
      <c r="H107" s="1"/>
      <c r="I107" s="5"/>
    </row>
    <row r="108" spans="1:9" ht="17.25" customHeight="1">
      <c r="A108" s="46" t="str">
        <f t="shared" si="0"/>
        <v/>
      </c>
      <c r="B108" s="215"/>
      <c r="C108" s="215"/>
      <c r="D108" s="232"/>
      <c r="E108" s="216"/>
      <c r="F108" s="217"/>
      <c r="G108" s="108"/>
      <c r="H108" s="1"/>
      <c r="I108" s="5"/>
    </row>
    <row r="109" spans="1:9" ht="17.2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  <c r="I109" s="5"/>
    </row>
    <row r="110" spans="1:9" ht="17.2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  <c r="I110" s="5"/>
    </row>
    <row r="111" spans="1:9" ht="17.2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  <c r="I111" s="5"/>
    </row>
    <row r="112" spans="1:9" ht="17.2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  <c r="I112" s="5"/>
    </row>
    <row r="113" spans="1:9" ht="17.2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  <c r="I113" s="5"/>
    </row>
    <row r="114" spans="1:9" ht="17.2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  <c r="I114" s="5"/>
    </row>
    <row r="115" spans="1:9" ht="17.2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  <c r="I115" s="5"/>
    </row>
    <row r="116" spans="1:9" ht="17.2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  <c r="I116" s="5"/>
    </row>
    <row r="117" spans="1:9" ht="17.2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  <c r="I117" s="5"/>
    </row>
    <row r="118" spans="1:9" ht="17.2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  <c r="I118" s="5"/>
    </row>
    <row r="119" spans="1:9" ht="17.2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  <c r="I119" s="5"/>
    </row>
    <row r="120" spans="1:9" ht="17.2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  <c r="I120" s="5"/>
    </row>
    <row r="121" spans="1:9" ht="17.2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  <c r="I121" s="5"/>
    </row>
    <row r="122" spans="1:9" ht="17.2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  <c r="I122" s="5"/>
    </row>
    <row r="123" spans="1:9" ht="17.2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  <c r="I123" s="5"/>
    </row>
    <row r="124" spans="1:9" ht="17.2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  <c r="I124" s="5"/>
    </row>
    <row r="125" spans="1:9" ht="17.2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  <c r="I125" s="5"/>
    </row>
    <row r="126" spans="1:9" ht="17.2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  <c r="I126" s="5"/>
    </row>
    <row r="127" spans="1:9" ht="17.2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  <c r="I127" s="5"/>
    </row>
    <row r="128" spans="1:9" ht="17.2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  <c r="I128" s="5"/>
    </row>
    <row r="129" spans="1:9" ht="17.2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  <c r="I129" s="5"/>
    </row>
    <row r="130" spans="1:9" ht="17.2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  <c r="I130" s="5"/>
    </row>
    <row r="131" spans="1:9" ht="17.2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  <c r="I131" s="5"/>
    </row>
    <row r="132" spans="1:9" ht="17.2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  <c r="I132" s="5"/>
    </row>
    <row r="133" spans="1:9" ht="17.2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  <c r="I133" s="5"/>
    </row>
    <row r="134" spans="1:9" ht="17.2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  <c r="I134" s="5"/>
    </row>
    <row r="135" spans="1:9" ht="17.2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  <c r="I135" s="5"/>
    </row>
    <row r="136" spans="1:9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9" ht="16.5" customHeight="1">
      <c r="A138" s="46"/>
      <c r="F138" s="167"/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 display="http://www.riss.kr/link?id=S414099"/>
    <hyperlink ref="G5" r:id="rId2" display="http://www.riss.kr/link?id=S16319"/>
    <hyperlink ref="G6" r:id="rId3" display="http://www.riss.kr/link?id=S16316"/>
    <hyperlink ref="G7" r:id="rId4" display="http://www.riss.kr/link?id=S31000236"/>
    <hyperlink ref="G8" r:id="rId5" display="http://www.riss.kr/link?id=S400716"/>
    <hyperlink ref="G9" r:id="rId6" display="http://www.riss.kr/link?id=S401473"/>
    <hyperlink ref="G10" r:id="rId7" display="http://www.riss.kr/link?id=S21689"/>
    <hyperlink ref="G11" r:id="rId8" display="http://www.riss.kr/link?id=S16084"/>
    <hyperlink ref="G12" r:id="rId9" display="http://www.riss.kr/link?id=S16068"/>
    <hyperlink ref="G13" r:id="rId10" display="http://www.riss.kr/link?id=S12915"/>
    <hyperlink ref="G14" r:id="rId11" display="http://www.riss.kr/link?id=S16058"/>
    <hyperlink ref="G15" r:id="rId12" display="http://www.riss.kr/link?id=S16049"/>
    <hyperlink ref="G16" r:id="rId13" display="http://www.riss.kr/link?id=S31000857"/>
    <hyperlink ref="G17" r:id="rId14" display="http://www.riss.kr/link?id=S402427"/>
    <hyperlink ref="G18" r:id="rId15" display="http://www.riss.kr/link?id=S15933"/>
    <hyperlink ref="G19" r:id="rId16" display="http://www.riss.kr/link?id=S13525"/>
    <hyperlink ref="G20" r:id="rId17" display="http://www.riss.kr/link?id=S16322"/>
    <hyperlink ref="G21" r:id="rId18" display="http://www.riss.kr/link?id=S20011409"/>
    <hyperlink ref="G22" r:id="rId19" display="http://www.riss.kr/link?id=S12402"/>
    <hyperlink ref="G23" r:id="rId20" display="http://www.riss.kr/link?id=S30006830"/>
    <hyperlink ref="G24" r:id="rId21" display="http://www.riss.kr/link?id=S11574764"/>
    <hyperlink ref="G25" r:id="rId22" display="http://www.riss.kr/link?id=S11625015"/>
    <hyperlink ref="G26" r:id="rId23" display="http://www.riss.kr/link?id=S19712"/>
    <hyperlink ref="G27" r:id="rId24" display="http://www.riss.kr/link?id=S11643948"/>
    <hyperlink ref="G28" r:id="rId25" display="http://www.riss.kr/link?id=S20085282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5037</v>
      </c>
      <c r="B1" s="290"/>
      <c r="C1" s="290"/>
      <c r="D1" s="290"/>
      <c r="E1" s="290"/>
      <c r="F1" s="290"/>
      <c r="G1" s="290"/>
      <c r="H1" s="290"/>
      <c r="J1" s="18" t="s">
        <v>27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37" t="s">
        <v>2</v>
      </c>
      <c r="B3" s="238" t="s">
        <v>4</v>
      </c>
      <c r="C3" s="238" t="s">
        <v>5</v>
      </c>
      <c r="D3" s="238" t="s">
        <v>6</v>
      </c>
      <c r="E3" s="238" t="s">
        <v>7</v>
      </c>
      <c r="F3" s="238" t="s">
        <v>8</v>
      </c>
      <c r="G3" s="238" t="s">
        <v>9</v>
      </c>
      <c r="H3" s="239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si="0">IF(B4="","",ROW(B4)-3)</f>
        <v>1</v>
      </c>
      <c r="B4" s="19" t="s">
        <v>28</v>
      </c>
      <c r="C4" s="19" t="s">
        <v>29</v>
      </c>
      <c r="D4" s="20" t="s">
        <v>30</v>
      </c>
      <c r="E4" s="39" t="s">
        <v>3736</v>
      </c>
      <c r="F4" s="206" t="s">
        <v>31</v>
      </c>
      <c r="G4" s="116" t="s">
        <v>32</v>
      </c>
      <c r="H4" s="24" t="s">
        <v>20</v>
      </c>
    </row>
    <row r="5" spans="1:26" ht="26.25" customHeight="1">
      <c r="A5" s="154">
        <f t="shared" si="0"/>
        <v>2</v>
      </c>
      <c r="B5" s="31" t="s">
        <v>22</v>
      </c>
      <c r="C5" s="19" t="s">
        <v>141</v>
      </c>
      <c r="D5" s="20" t="s">
        <v>24</v>
      </c>
      <c r="E5" s="39" t="s">
        <v>142</v>
      </c>
      <c r="F5" s="206" t="s">
        <v>42</v>
      </c>
      <c r="G5" s="116" t="s">
        <v>143</v>
      </c>
      <c r="H5" s="24" t="s">
        <v>55</v>
      </c>
    </row>
    <row r="6" spans="1:26" ht="26.25" customHeight="1">
      <c r="A6" s="154">
        <f t="shared" si="0"/>
        <v>3</v>
      </c>
      <c r="B6" s="22" t="s">
        <v>226</v>
      </c>
      <c r="C6" s="19" t="s">
        <v>227</v>
      </c>
      <c r="D6" s="43" t="s">
        <v>228</v>
      </c>
      <c r="E6" s="83" t="s">
        <v>4956</v>
      </c>
      <c r="F6" s="206" t="s">
        <v>42</v>
      </c>
      <c r="G6" s="207" t="s">
        <v>230</v>
      </c>
      <c r="H6" s="240" t="s">
        <v>20</v>
      </c>
    </row>
    <row r="7" spans="1:26" ht="26.25" customHeight="1">
      <c r="A7" s="154">
        <f t="shared" si="0"/>
        <v>4</v>
      </c>
      <c r="B7" s="31" t="s">
        <v>363</v>
      </c>
      <c r="C7" s="19" t="s">
        <v>364</v>
      </c>
      <c r="D7" s="20" t="s">
        <v>365</v>
      </c>
      <c r="E7" s="39" t="s">
        <v>170</v>
      </c>
      <c r="F7" s="206" t="s">
        <v>31</v>
      </c>
      <c r="G7" s="116" t="s">
        <v>366</v>
      </c>
      <c r="H7" s="24" t="s">
        <v>55</v>
      </c>
    </row>
    <row r="8" spans="1:26" ht="26.25" customHeight="1">
      <c r="A8" s="154">
        <f t="shared" si="0"/>
        <v>5</v>
      </c>
      <c r="B8" s="31" t="s">
        <v>433</v>
      </c>
      <c r="C8" s="19" t="s">
        <v>271</v>
      </c>
      <c r="D8" s="20" t="s">
        <v>434</v>
      </c>
      <c r="E8" s="39" t="s">
        <v>222</v>
      </c>
      <c r="F8" s="206" t="s">
        <v>42</v>
      </c>
      <c r="G8" s="116" t="s">
        <v>435</v>
      </c>
      <c r="H8" s="24" t="s">
        <v>55</v>
      </c>
    </row>
    <row r="9" spans="1:26" ht="26.25" customHeight="1">
      <c r="A9" s="154">
        <f t="shared" si="0"/>
        <v>6</v>
      </c>
      <c r="B9" s="31" t="s">
        <v>581</v>
      </c>
      <c r="C9" s="19" t="s">
        <v>582</v>
      </c>
      <c r="D9" s="20" t="s">
        <v>583</v>
      </c>
      <c r="E9" s="39" t="s">
        <v>416</v>
      </c>
      <c r="F9" s="206" t="s">
        <v>42</v>
      </c>
      <c r="G9" s="116" t="s">
        <v>584</v>
      </c>
      <c r="H9" s="24" t="s">
        <v>55</v>
      </c>
    </row>
    <row r="10" spans="1:26" ht="26.25" customHeight="1">
      <c r="A10" s="154">
        <f t="shared" si="0"/>
        <v>7</v>
      </c>
      <c r="B10" s="31" t="s">
        <v>587</v>
      </c>
      <c r="C10" s="19" t="s">
        <v>588</v>
      </c>
      <c r="D10" s="20" t="s">
        <v>589</v>
      </c>
      <c r="E10" s="39" t="s">
        <v>416</v>
      </c>
      <c r="F10" s="206" t="s">
        <v>31</v>
      </c>
      <c r="G10" s="116" t="s">
        <v>590</v>
      </c>
      <c r="H10" s="24" t="s">
        <v>55</v>
      </c>
    </row>
    <row r="11" spans="1:26" ht="26.25" customHeight="1">
      <c r="A11" s="154">
        <f t="shared" si="0"/>
        <v>8</v>
      </c>
      <c r="B11" s="31" t="s">
        <v>656</v>
      </c>
      <c r="C11" s="19" t="s">
        <v>657</v>
      </c>
      <c r="D11" s="20" t="s">
        <v>658</v>
      </c>
      <c r="E11" s="39" t="s">
        <v>659</v>
      </c>
      <c r="F11" s="206" t="s">
        <v>42</v>
      </c>
      <c r="G11" s="116" t="s">
        <v>660</v>
      </c>
      <c r="H11" s="24" t="s">
        <v>55</v>
      </c>
    </row>
    <row r="12" spans="1:26" ht="26.25" customHeight="1">
      <c r="A12" s="154">
        <f t="shared" si="0"/>
        <v>9</v>
      </c>
      <c r="B12" s="31" t="s">
        <v>664</v>
      </c>
      <c r="C12" s="19" t="s">
        <v>665</v>
      </c>
      <c r="D12" s="20" t="s">
        <v>666</v>
      </c>
      <c r="E12" s="39" t="s">
        <v>667</v>
      </c>
      <c r="F12" s="206" t="s">
        <v>42</v>
      </c>
      <c r="G12" s="116" t="s">
        <v>668</v>
      </c>
      <c r="H12" s="24" t="s">
        <v>55</v>
      </c>
    </row>
    <row r="13" spans="1:26" ht="26.25" customHeight="1">
      <c r="A13" s="154">
        <f t="shared" si="0"/>
        <v>10</v>
      </c>
      <c r="B13" s="31" t="s">
        <v>672</v>
      </c>
      <c r="C13" s="19" t="s">
        <v>673</v>
      </c>
      <c r="D13" s="20" t="s">
        <v>674</v>
      </c>
      <c r="E13" s="39" t="s">
        <v>5038</v>
      </c>
      <c r="F13" s="206" t="s">
        <v>42</v>
      </c>
      <c r="G13" s="116" t="s">
        <v>676</v>
      </c>
      <c r="H13" s="24" t="s">
        <v>55</v>
      </c>
    </row>
    <row r="14" spans="1:26" ht="26.25" customHeight="1">
      <c r="A14" s="154">
        <f t="shared" si="0"/>
        <v>11</v>
      </c>
      <c r="B14" s="31" t="s">
        <v>550</v>
      </c>
      <c r="C14" s="19" t="s">
        <v>768</v>
      </c>
      <c r="D14" s="20" t="s">
        <v>551</v>
      </c>
      <c r="E14" s="39" t="s">
        <v>769</v>
      </c>
      <c r="F14" s="206" t="s">
        <v>42</v>
      </c>
      <c r="G14" s="116" t="s">
        <v>770</v>
      </c>
      <c r="H14" s="24" t="s">
        <v>55</v>
      </c>
    </row>
    <row r="15" spans="1:26" ht="26.25" customHeight="1">
      <c r="A15" s="154">
        <f t="shared" si="0"/>
        <v>12</v>
      </c>
      <c r="B15" s="19" t="s">
        <v>781</v>
      </c>
      <c r="C15" s="19" t="s">
        <v>782</v>
      </c>
      <c r="D15" s="20" t="s">
        <v>783</v>
      </c>
      <c r="E15" s="39" t="s">
        <v>5039</v>
      </c>
      <c r="F15" s="206" t="s">
        <v>42</v>
      </c>
      <c r="G15" s="116" t="s">
        <v>785</v>
      </c>
      <c r="H15" s="24" t="s">
        <v>20</v>
      </c>
    </row>
    <row r="16" spans="1:26" ht="26.25" customHeight="1">
      <c r="A16" s="154">
        <f t="shared" si="0"/>
        <v>13</v>
      </c>
      <c r="B16" s="31" t="s">
        <v>804</v>
      </c>
      <c r="C16" s="19" t="s">
        <v>797</v>
      </c>
      <c r="D16" s="20" t="s">
        <v>805</v>
      </c>
      <c r="E16" s="39" t="s">
        <v>681</v>
      </c>
      <c r="F16" s="206" t="s">
        <v>42</v>
      </c>
      <c r="G16" s="116" t="s">
        <v>806</v>
      </c>
      <c r="H16" s="24" t="s">
        <v>55</v>
      </c>
    </row>
    <row r="17" spans="1:8" ht="26.25" customHeight="1">
      <c r="A17" s="154">
        <f t="shared" si="0"/>
        <v>14</v>
      </c>
      <c r="B17" s="19" t="s">
        <v>841</v>
      </c>
      <c r="C17" s="19" t="s">
        <v>141</v>
      </c>
      <c r="D17" s="20" t="s">
        <v>842</v>
      </c>
      <c r="E17" s="39" t="s">
        <v>52</v>
      </c>
      <c r="F17" s="206" t="s">
        <v>42</v>
      </c>
      <c r="G17" s="116" t="s">
        <v>843</v>
      </c>
      <c r="H17" s="24" t="s">
        <v>20</v>
      </c>
    </row>
    <row r="18" spans="1:8" ht="26.25" customHeight="1">
      <c r="A18" s="154">
        <f t="shared" si="0"/>
        <v>15</v>
      </c>
      <c r="B18" s="31" t="s">
        <v>846</v>
      </c>
      <c r="C18" s="19" t="s">
        <v>847</v>
      </c>
      <c r="D18" s="20" t="s">
        <v>848</v>
      </c>
      <c r="E18" s="39" t="s">
        <v>170</v>
      </c>
      <c r="F18" s="206" t="s">
        <v>42</v>
      </c>
      <c r="G18" s="116" t="s">
        <v>849</v>
      </c>
      <c r="H18" s="24" t="s">
        <v>55</v>
      </c>
    </row>
    <row r="19" spans="1:8" ht="26.25" customHeight="1">
      <c r="A19" s="154">
        <f t="shared" si="0"/>
        <v>16</v>
      </c>
      <c r="B19" s="31" t="s">
        <v>874</v>
      </c>
      <c r="C19" s="19" t="s">
        <v>673</v>
      </c>
      <c r="D19" s="20" t="s">
        <v>875</v>
      </c>
      <c r="E19" s="39" t="s">
        <v>5040</v>
      </c>
      <c r="F19" s="206" t="s">
        <v>42</v>
      </c>
      <c r="G19" s="116" t="s">
        <v>877</v>
      </c>
      <c r="H19" s="24" t="s">
        <v>55</v>
      </c>
    </row>
    <row r="20" spans="1:8" ht="26.25" customHeight="1">
      <c r="A20" s="154">
        <f t="shared" si="0"/>
        <v>17</v>
      </c>
      <c r="B20" s="19" t="s">
        <v>880</v>
      </c>
      <c r="C20" s="19" t="s">
        <v>665</v>
      </c>
      <c r="D20" s="20" t="s">
        <v>881</v>
      </c>
      <c r="E20" s="39" t="s">
        <v>5041</v>
      </c>
      <c r="F20" s="206" t="s">
        <v>31</v>
      </c>
      <c r="G20" s="116" t="s">
        <v>883</v>
      </c>
      <c r="H20" s="24" t="s">
        <v>20</v>
      </c>
    </row>
    <row r="21" spans="1:8" ht="26.25" customHeight="1">
      <c r="A21" s="154">
        <f t="shared" si="0"/>
        <v>18</v>
      </c>
      <c r="B21" s="31" t="s">
        <v>886</v>
      </c>
      <c r="C21" s="19" t="s">
        <v>808</v>
      </c>
      <c r="D21" s="20" t="s">
        <v>887</v>
      </c>
      <c r="E21" s="39" t="s">
        <v>252</v>
      </c>
      <c r="F21" s="206" t="s">
        <v>42</v>
      </c>
      <c r="G21" s="116" t="s">
        <v>888</v>
      </c>
      <c r="H21" s="24" t="s">
        <v>55</v>
      </c>
    </row>
    <row r="22" spans="1:8" ht="26.25" customHeight="1">
      <c r="A22" s="154">
        <f t="shared" si="0"/>
        <v>19</v>
      </c>
      <c r="B22" s="19" t="s">
        <v>890</v>
      </c>
      <c r="C22" s="19" t="s">
        <v>891</v>
      </c>
      <c r="D22" s="20" t="s">
        <v>892</v>
      </c>
      <c r="E22" s="39" t="s">
        <v>5042</v>
      </c>
      <c r="F22" s="206" t="s">
        <v>31</v>
      </c>
      <c r="G22" s="116" t="s">
        <v>894</v>
      </c>
      <c r="H22" s="24" t="s">
        <v>20</v>
      </c>
    </row>
    <row r="23" spans="1:8" ht="26.25" customHeight="1">
      <c r="A23" s="154">
        <f t="shared" si="0"/>
        <v>20</v>
      </c>
      <c r="B23" s="19" t="s">
        <v>898</v>
      </c>
      <c r="C23" s="19" t="s">
        <v>227</v>
      </c>
      <c r="D23" s="20" t="s">
        <v>899</v>
      </c>
      <c r="E23" s="39" t="s">
        <v>5043</v>
      </c>
      <c r="F23" s="206" t="s">
        <v>42</v>
      </c>
      <c r="G23" s="116" t="s">
        <v>901</v>
      </c>
      <c r="H23" s="24" t="s">
        <v>20</v>
      </c>
    </row>
    <row r="24" spans="1:8" ht="26.25" customHeight="1">
      <c r="A24" s="154">
        <f t="shared" si="0"/>
        <v>21</v>
      </c>
      <c r="B24" s="19" t="s">
        <v>902</v>
      </c>
      <c r="C24" s="19" t="s">
        <v>903</v>
      </c>
      <c r="D24" s="20" t="s">
        <v>904</v>
      </c>
      <c r="E24" s="39" t="s">
        <v>178</v>
      </c>
      <c r="F24" s="206" t="s">
        <v>53</v>
      </c>
      <c r="G24" s="116" t="s">
        <v>906</v>
      </c>
      <c r="H24" s="24" t="s">
        <v>20</v>
      </c>
    </row>
    <row r="25" spans="1:8" ht="26.25" customHeight="1">
      <c r="A25" s="154">
        <f t="shared" si="0"/>
        <v>22</v>
      </c>
      <c r="B25" s="19" t="s">
        <v>908</v>
      </c>
      <c r="C25" s="19" t="s">
        <v>909</v>
      </c>
      <c r="D25" s="20" t="s">
        <v>910</v>
      </c>
      <c r="E25" s="39" t="s">
        <v>3736</v>
      </c>
      <c r="F25" s="206" t="s">
        <v>53</v>
      </c>
      <c r="G25" s="116" t="s">
        <v>911</v>
      </c>
      <c r="H25" s="24" t="s">
        <v>20</v>
      </c>
    </row>
    <row r="26" spans="1:8" ht="26.25" customHeight="1">
      <c r="A26" s="154">
        <f t="shared" si="0"/>
        <v>23</v>
      </c>
      <c r="B26" s="31" t="s">
        <v>912</v>
      </c>
      <c r="C26" s="19" t="s">
        <v>913</v>
      </c>
      <c r="D26" s="20" t="s">
        <v>914</v>
      </c>
      <c r="E26" s="39" t="s">
        <v>915</v>
      </c>
      <c r="F26" s="206" t="s">
        <v>53</v>
      </c>
      <c r="G26" s="116" t="s">
        <v>916</v>
      </c>
      <c r="H26" s="24" t="s">
        <v>55</v>
      </c>
    </row>
    <row r="27" spans="1:8" ht="26.25" customHeight="1">
      <c r="A27" s="154">
        <f t="shared" si="0"/>
        <v>24</v>
      </c>
      <c r="B27" s="31" t="s">
        <v>544</v>
      </c>
      <c r="C27" s="19" t="s">
        <v>768</v>
      </c>
      <c r="D27" s="20" t="s">
        <v>546</v>
      </c>
      <c r="E27" s="39" t="s">
        <v>918</v>
      </c>
      <c r="F27" s="206" t="s">
        <v>42</v>
      </c>
      <c r="G27" s="116" t="s">
        <v>919</v>
      </c>
      <c r="H27" s="24" t="s">
        <v>55</v>
      </c>
    </row>
    <row r="28" spans="1:8" ht="26.25" customHeight="1">
      <c r="A28" s="154">
        <f t="shared" si="0"/>
        <v>25</v>
      </c>
      <c r="B28" s="31" t="s">
        <v>979</v>
      </c>
      <c r="C28" s="19" t="s">
        <v>196</v>
      </c>
      <c r="D28" s="20" t="s">
        <v>980</v>
      </c>
      <c r="E28" s="39" t="s">
        <v>981</v>
      </c>
      <c r="F28" s="206" t="s">
        <v>42</v>
      </c>
      <c r="G28" s="116" t="s">
        <v>982</v>
      </c>
      <c r="H28" s="24" t="s">
        <v>55</v>
      </c>
    </row>
    <row r="29" spans="1:8" ht="26.25" customHeight="1">
      <c r="A29" s="154">
        <f t="shared" si="0"/>
        <v>26</v>
      </c>
      <c r="B29" s="31" t="s">
        <v>986</v>
      </c>
      <c r="C29" s="19" t="s">
        <v>124</v>
      </c>
      <c r="D29" s="20" t="s">
        <v>987</v>
      </c>
      <c r="E29" s="39">
        <v>2010</v>
      </c>
      <c r="F29" s="206" t="s">
        <v>42</v>
      </c>
      <c r="G29" s="116" t="s">
        <v>988</v>
      </c>
      <c r="H29" s="24" t="s">
        <v>55</v>
      </c>
    </row>
    <row r="30" spans="1:8" ht="26.25" customHeight="1">
      <c r="A30" s="154">
        <f t="shared" si="0"/>
        <v>27</v>
      </c>
      <c r="B30" s="31" t="s">
        <v>1135</v>
      </c>
      <c r="C30" s="19" t="s">
        <v>808</v>
      </c>
      <c r="D30" s="20" t="s">
        <v>1136</v>
      </c>
      <c r="E30" s="39" t="s">
        <v>1137</v>
      </c>
      <c r="F30" s="206" t="s">
        <v>42</v>
      </c>
      <c r="G30" s="116" t="s">
        <v>1138</v>
      </c>
      <c r="H30" s="24" t="s">
        <v>55</v>
      </c>
    </row>
    <row r="31" spans="1:8" ht="26.25" customHeight="1">
      <c r="A31" s="154">
        <f t="shared" si="0"/>
        <v>28</v>
      </c>
      <c r="B31" s="31" t="s">
        <v>1219</v>
      </c>
      <c r="C31" s="19" t="s">
        <v>246</v>
      </c>
      <c r="D31" s="20" t="s">
        <v>1220</v>
      </c>
      <c r="E31" s="39" t="s">
        <v>693</v>
      </c>
      <c r="F31" s="206" t="s">
        <v>53</v>
      </c>
      <c r="G31" s="116" t="s">
        <v>1221</v>
      </c>
      <c r="H31" s="24" t="s">
        <v>55</v>
      </c>
    </row>
    <row r="32" spans="1:8" ht="26.25" customHeight="1">
      <c r="A32" s="154">
        <f t="shared" si="0"/>
        <v>29</v>
      </c>
      <c r="B32" s="31" t="s">
        <v>1243</v>
      </c>
      <c r="C32" s="19" t="s">
        <v>1244</v>
      </c>
      <c r="D32" s="20" t="s">
        <v>1245</v>
      </c>
      <c r="E32" s="39" t="s">
        <v>1246</v>
      </c>
      <c r="F32" s="206" t="s">
        <v>31</v>
      </c>
      <c r="G32" s="116" t="s">
        <v>1247</v>
      </c>
      <c r="H32" s="24" t="s">
        <v>55</v>
      </c>
    </row>
    <row r="33" spans="1:8" ht="26.25" customHeight="1">
      <c r="A33" s="154">
        <f t="shared" si="0"/>
        <v>30</v>
      </c>
      <c r="B33" s="19" t="s">
        <v>1331</v>
      </c>
      <c r="C33" s="19" t="s">
        <v>141</v>
      </c>
      <c r="D33" s="20" t="s">
        <v>1332</v>
      </c>
      <c r="E33" s="39" t="s">
        <v>52</v>
      </c>
      <c r="F33" s="206" t="s">
        <v>42</v>
      </c>
      <c r="G33" s="116" t="s">
        <v>1333</v>
      </c>
      <c r="H33" s="24" t="s">
        <v>20</v>
      </c>
    </row>
    <row r="34" spans="1:8" ht="26.25" customHeight="1">
      <c r="A34" s="154">
        <f t="shared" si="0"/>
        <v>31</v>
      </c>
      <c r="B34" s="31" t="s">
        <v>1420</v>
      </c>
      <c r="C34" s="19" t="s">
        <v>124</v>
      </c>
      <c r="D34" s="20" t="s">
        <v>386</v>
      </c>
      <c r="E34" s="39" t="s">
        <v>1421</v>
      </c>
      <c r="F34" s="206" t="s">
        <v>42</v>
      </c>
      <c r="G34" s="116" t="s">
        <v>1422</v>
      </c>
      <c r="H34" s="24" t="s">
        <v>55</v>
      </c>
    </row>
    <row r="35" spans="1:8" ht="26.25" customHeight="1">
      <c r="A35" s="154">
        <f t="shared" si="0"/>
        <v>32</v>
      </c>
      <c r="B35" s="19" t="s">
        <v>1518</v>
      </c>
      <c r="C35" s="19" t="s">
        <v>124</v>
      </c>
      <c r="D35" s="20" t="s">
        <v>1519</v>
      </c>
      <c r="E35" s="39" t="s">
        <v>52</v>
      </c>
      <c r="F35" s="206" t="s">
        <v>42</v>
      </c>
      <c r="G35" s="116" t="s">
        <v>1520</v>
      </c>
      <c r="H35" s="24" t="s">
        <v>20</v>
      </c>
    </row>
    <row r="36" spans="1:8" ht="26.25" customHeight="1">
      <c r="A36" s="154">
        <f t="shared" si="0"/>
        <v>33</v>
      </c>
      <c r="B36" s="19" t="s">
        <v>1527</v>
      </c>
      <c r="C36" s="19" t="s">
        <v>141</v>
      </c>
      <c r="D36" s="20" t="s">
        <v>1528</v>
      </c>
      <c r="E36" s="39" t="s">
        <v>178</v>
      </c>
      <c r="F36" s="206" t="s">
        <v>42</v>
      </c>
      <c r="G36" s="116" t="s">
        <v>1529</v>
      </c>
      <c r="H36" s="24" t="s">
        <v>20</v>
      </c>
    </row>
    <row r="37" spans="1:8" ht="26.25" customHeight="1">
      <c r="A37" s="154">
        <f t="shared" si="0"/>
        <v>34</v>
      </c>
      <c r="B37" s="31" t="s">
        <v>71</v>
      </c>
      <c r="C37" s="19" t="s">
        <v>588</v>
      </c>
      <c r="D37" s="20" t="s">
        <v>73</v>
      </c>
      <c r="E37" s="39" t="s">
        <v>962</v>
      </c>
      <c r="F37" s="206" t="s">
        <v>1086</v>
      </c>
      <c r="G37" s="116" t="s">
        <v>1533</v>
      </c>
      <c r="H37" s="24" t="s">
        <v>55</v>
      </c>
    </row>
    <row r="38" spans="1:8" ht="26.25" customHeight="1">
      <c r="A38" s="154">
        <f t="shared" si="0"/>
        <v>35</v>
      </c>
      <c r="B38" s="31" t="s">
        <v>78</v>
      </c>
      <c r="C38" s="19" t="s">
        <v>1566</v>
      </c>
      <c r="D38" s="20" t="s">
        <v>80</v>
      </c>
      <c r="E38" s="39" t="s">
        <v>142</v>
      </c>
      <c r="F38" s="206" t="s">
        <v>53</v>
      </c>
      <c r="G38" s="116" t="s">
        <v>1567</v>
      </c>
      <c r="H38" s="24" t="s">
        <v>55</v>
      </c>
    </row>
    <row r="39" spans="1:8" ht="26.25" customHeight="1">
      <c r="A39" s="154">
        <f t="shared" si="0"/>
        <v>36</v>
      </c>
      <c r="B39" s="19" t="s">
        <v>1640</v>
      </c>
      <c r="C39" s="19" t="s">
        <v>665</v>
      </c>
      <c r="D39" s="20" t="s">
        <v>1641</v>
      </c>
      <c r="E39" s="39" t="s">
        <v>5044</v>
      </c>
      <c r="F39" s="206" t="s">
        <v>42</v>
      </c>
      <c r="G39" s="116" t="s">
        <v>1643</v>
      </c>
      <c r="H39" s="24" t="s">
        <v>20</v>
      </c>
    </row>
    <row r="40" spans="1:8" ht="26.25" customHeight="1">
      <c r="A40" s="154">
        <f t="shared" si="0"/>
        <v>37</v>
      </c>
      <c r="B40" s="19" t="s">
        <v>1682</v>
      </c>
      <c r="C40" s="19" t="s">
        <v>1683</v>
      </c>
      <c r="D40" s="20" t="s">
        <v>1684</v>
      </c>
      <c r="E40" s="39" t="s">
        <v>52</v>
      </c>
      <c r="F40" s="206" t="s">
        <v>42</v>
      </c>
      <c r="G40" s="116" t="s">
        <v>1685</v>
      </c>
      <c r="H40" s="24" t="s">
        <v>20</v>
      </c>
    </row>
    <row r="41" spans="1:8" ht="26.25" customHeight="1">
      <c r="A41" s="154">
        <f t="shared" si="0"/>
        <v>38</v>
      </c>
      <c r="B41" s="31" t="s">
        <v>1699</v>
      </c>
      <c r="C41" s="19" t="s">
        <v>1700</v>
      </c>
      <c r="D41" s="20" t="s">
        <v>1701</v>
      </c>
      <c r="E41" s="39" t="s">
        <v>1702</v>
      </c>
      <c r="F41" s="206" t="s">
        <v>42</v>
      </c>
      <c r="G41" s="116" t="s">
        <v>1703</v>
      </c>
      <c r="H41" s="24" t="s">
        <v>55</v>
      </c>
    </row>
    <row r="42" spans="1:8" ht="26.25" customHeight="1">
      <c r="A42" s="154">
        <f t="shared" si="0"/>
        <v>39</v>
      </c>
      <c r="B42" s="19" t="s">
        <v>1831</v>
      </c>
      <c r="C42" s="19" t="s">
        <v>124</v>
      </c>
      <c r="D42" s="20" t="s">
        <v>1832</v>
      </c>
      <c r="E42" s="39" t="s">
        <v>178</v>
      </c>
      <c r="F42" s="206" t="s">
        <v>42</v>
      </c>
      <c r="G42" s="116" t="s">
        <v>1833</v>
      </c>
      <c r="H42" s="24" t="s">
        <v>20</v>
      </c>
    </row>
    <row r="43" spans="1:8" ht="26.25" customHeight="1">
      <c r="A43" s="154">
        <f t="shared" si="0"/>
        <v>40</v>
      </c>
      <c r="B43" s="31" t="s">
        <v>1934</v>
      </c>
      <c r="C43" s="66" t="s">
        <v>1935</v>
      </c>
      <c r="D43" s="20" t="s">
        <v>530</v>
      </c>
      <c r="E43" s="39" t="s">
        <v>918</v>
      </c>
      <c r="F43" s="206" t="s">
        <v>53</v>
      </c>
      <c r="G43" s="116" t="s">
        <v>1936</v>
      </c>
      <c r="H43" s="24" t="s">
        <v>55</v>
      </c>
    </row>
    <row r="44" spans="1:8" ht="26.25" customHeight="1">
      <c r="A44" s="154">
        <f t="shared" si="0"/>
        <v>41</v>
      </c>
      <c r="B44" s="31" t="s">
        <v>2000</v>
      </c>
      <c r="C44" s="19" t="s">
        <v>207</v>
      </c>
      <c r="D44" s="20" t="s">
        <v>2001</v>
      </c>
      <c r="E44" s="39" t="s">
        <v>693</v>
      </c>
      <c r="F44" s="206" t="s">
        <v>42</v>
      </c>
      <c r="G44" s="116" t="s">
        <v>2002</v>
      </c>
      <c r="H44" s="24" t="s">
        <v>55</v>
      </c>
    </row>
    <row r="45" spans="1:8" ht="26.25" customHeight="1">
      <c r="A45" s="154">
        <f t="shared" si="0"/>
        <v>42</v>
      </c>
      <c r="B45" s="19" t="s">
        <v>2020</v>
      </c>
      <c r="C45" s="19" t="s">
        <v>2021</v>
      </c>
      <c r="D45" s="20" t="s">
        <v>2022</v>
      </c>
      <c r="E45" s="39" t="s">
        <v>4997</v>
      </c>
      <c r="F45" s="206" t="s">
        <v>42</v>
      </c>
      <c r="G45" s="116" t="s">
        <v>2024</v>
      </c>
      <c r="H45" s="24" t="s">
        <v>20</v>
      </c>
    </row>
    <row r="46" spans="1:8" ht="26.25" customHeight="1">
      <c r="A46" s="154">
        <f t="shared" si="0"/>
        <v>43</v>
      </c>
      <c r="B46" s="31" t="s">
        <v>95</v>
      </c>
      <c r="C46" s="19" t="s">
        <v>96</v>
      </c>
      <c r="D46" s="20" t="s">
        <v>97</v>
      </c>
      <c r="E46" s="39" t="s">
        <v>142</v>
      </c>
      <c r="F46" s="206" t="s">
        <v>53</v>
      </c>
      <c r="G46" s="116" t="s">
        <v>2044</v>
      </c>
      <c r="H46" s="24" t="s">
        <v>55</v>
      </c>
    </row>
    <row r="47" spans="1:8" ht="26.25" customHeight="1">
      <c r="A47" s="154">
        <f t="shared" si="0"/>
        <v>44</v>
      </c>
      <c r="B47" s="19" t="s">
        <v>2049</v>
      </c>
      <c r="C47" s="19" t="s">
        <v>2050</v>
      </c>
      <c r="D47" s="20" t="s">
        <v>2051</v>
      </c>
      <c r="E47" s="39" t="s">
        <v>4966</v>
      </c>
      <c r="F47" s="206" t="s">
        <v>31</v>
      </c>
      <c r="G47" s="116" t="s">
        <v>2053</v>
      </c>
      <c r="H47" s="24" t="s">
        <v>20</v>
      </c>
    </row>
    <row r="48" spans="1:8" ht="26.25" customHeight="1">
      <c r="A48" s="154">
        <f t="shared" si="0"/>
        <v>45</v>
      </c>
      <c r="B48" s="31" t="s">
        <v>2139</v>
      </c>
      <c r="C48" s="19" t="s">
        <v>124</v>
      </c>
      <c r="D48" s="20" t="s">
        <v>2140</v>
      </c>
      <c r="E48" s="39" t="s">
        <v>542</v>
      </c>
      <c r="F48" s="206" t="s">
        <v>42</v>
      </c>
      <c r="G48" s="116" t="s">
        <v>2141</v>
      </c>
      <c r="H48" s="24" t="s">
        <v>55</v>
      </c>
    </row>
    <row r="49" spans="1:8" ht="26.25" customHeight="1">
      <c r="A49" s="154">
        <f t="shared" si="0"/>
        <v>46</v>
      </c>
      <c r="B49" s="31" t="s">
        <v>2198</v>
      </c>
      <c r="C49" s="19" t="s">
        <v>124</v>
      </c>
      <c r="D49" s="20" t="s">
        <v>2199</v>
      </c>
      <c r="E49" s="39" t="s">
        <v>5045</v>
      </c>
      <c r="F49" s="206" t="s">
        <v>42</v>
      </c>
      <c r="G49" s="116" t="s">
        <v>2201</v>
      </c>
      <c r="H49" s="24" t="s">
        <v>55</v>
      </c>
    </row>
    <row r="50" spans="1:8" ht="26.25" customHeight="1">
      <c r="A50" s="154">
        <f t="shared" si="0"/>
        <v>47</v>
      </c>
      <c r="B50" s="31" t="s">
        <v>2221</v>
      </c>
      <c r="C50" s="19" t="s">
        <v>808</v>
      </c>
      <c r="D50" s="20" t="s">
        <v>2222</v>
      </c>
      <c r="E50" s="39" t="s">
        <v>428</v>
      </c>
      <c r="F50" s="206" t="s">
        <v>53</v>
      </c>
      <c r="G50" s="116" t="s">
        <v>2223</v>
      </c>
      <c r="H50" s="24" t="s">
        <v>55</v>
      </c>
    </row>
    <row r="51" spans="1:8" ht="26.25" customHeight="1">
      <c r="A51" s="154">
        <f t="shared" si="0"/>
        <v>48</v>
      </c>
      <c r="B51" s="31" t="s">
        <v>2224</v>
      </c>
      <c r="C51" s="19" t="s">
        <v>808</v>
      </c>
      <c r="D51" s="20" t="s">
        <v>809</v>
      </c>
      <c r="E51" s="39" t="s">
        <v>2225</v>
      </c>
      <c r="F51" s="206" t="s">
        <v>42</v>
      </c>
      <c r="G51" s="116" t="s">
        <v>2226</v>
      </c>
      <c r="H51" s="24" t="s">
        <v>55</v>
      </c>
    </row>
    <row r="52" spans="1:8" ht="26.25" customHeight="1">
      <c r="A52" s="154">
        <f t="shared" si="0"/>
        <v>49</v>
      </c>
      <c r="B52" s="31" t="s">
        <v>2227</v>
      </c>
      <c r="C52" s="19" t="s">
        <v>808</v>
      </c>
      <c r="D52" s="20" t="s">
        <v>814</v>
      </c>
      <c r="E52" s="39" t="s">
        <v>2225</v>
      </c>
      <c r="F52" s="206" t="s">
        <v>42</v>
      </c>
      <c r="G52" s="116" t="s">
        <v>2228</v>
      </c>
      <c r="H52" s="24" t="s">
        <v>55</v>
      </c>
    </row>
    <row r="53" spans="1:8" ht="26.25" customHeight="1">
      <c r="A53" s="154">
        <f t="shared" si="0"/>
        <v>50</v>
      </c>
      <c r="B53" s="31" t="s">
        <v>2229</v>
      </c>
      <c r="C53" s="19" t="s">
        <v>808</v>
      </c>
      <c r="D53" s="20" t="s">
        <v>820</v>
      </c>
      <c r="E53" s="39" t="s">
        <v>2225</v>
      </c>
      <c r="F53" s="206" t="s">
        <v>42</v>
      </c>
      <c r="G53" s="116" t="s">
        <v>2230</v>
      </c>
      <c r="H53" s="24" t="s">
        <v>55</v>
      </c>
    </row>
    <row r="54" spans="1:8" ht="26.25" customHeight="1">
      <c r="A54" s="154">
        <f t="shared" si="0"/>
        <v>51</v>
      </c>
      <c r="B54" s="19" t="s">
        <v>2299</v>
      </c>
      <c r="C54" s="19" t="s">
        <v>2300</v>
      </c>
      <c r="D54" s="20" t="s">
        <v>2301</v>
      </c>
      <c r="E54" s="39" t="s">
        <v>5000</v>
      </c>
      <c r="F54" s="206" t="s">
        <v>42</v>
      </c>
      <c r="G54" s="116" t="s">
        <v>2302</v>
      </c>
      <c r="H54" s="24" t="s">
        <v>20</v>
      </c>
    </row>
    <row r="55" spans="1:8" ht="26.25" customHeight="1">
      <c r="A55" s="154">
        <f t="shared" si="0"/>
        <v>52</v>
      </c>
      <c r="B55" s="19" t="s">
        <v>2344</v>
      </c>
      <c r="C55" s="19" t="s">
        <v>112</v>
      </c>
      <c r="D55" s="20" t="s">
        <v>2345</v>
      </c>
      <c r="E55" s="39" t="s">
        <v>178</v>
      </c>
      <c r="F55" s="206" t="s">
        <v>42</v>
      </c>
      <c r="G55" s="116" t="s">
        <v>2346</v>
      </c>
      <c r="H55" s="24" t="s">
        <v>20</v>
      </c>
    </row>
    <row r="56" spans="1:8" ht="26.25" customHeight="1">
      <c r="A56" s="154">
        <f t="shared" si="0"/>
        <v>53</v>
      </c>
      <c r="B56" s="19" t="s">
        <v>2410</v>
      </c>
      <c r="C56" s="19" t="s">
        <v>2411</v>
      </c>
      <c r="D56" s="20" t="s">
        <v>2412</v>
      </c>
      <c r="E56" s="39" t="s">
        <v>178</v>
      </c>
      <c r="F56" s="206" t="s">
        <v>42</v>
      </c>
      <c r="G56" s="116" t="s">
        <v>2413</v>
      </c>
      <c r="H56" s="24" t="s">
        <v>20</v>
      </c>
    </row>
    <row r="57" spans="1:8" ht="26.25" customHeight="1">
      <c r="A57" s="154">
        <f t="shared" si="0"/>
        <v>54</v>
      </c>
      <c r="B57" s="31" t="s">
        <v>2414</v>
      </c>
      <c r="C57" s="19" t="s">
        <v>277</v>
      </c>
      <c r="D57" s="20" t="s">
        <v>2415</v>
      </c>
      <c r="E57" s="39" t="s">
        <v>2416</v>
      </c>
      <c r="F57" s="206" t="s">
        <v>42</v>
      </c>
      <c r="G57" s="116" t="s">
        <v>2417</v>
      </c>
      <c r="H57" s="24" t="s">
        <v>55</v>
      </c>
    </row>
    <row r="58" spans="1:8" ht="26.25" customHeight="1">
      <c r="A58" s="154">
        <f t="shared" si="0"/>
        <v>55</v>
      </c>
      <c r="B58" s="31" t="s">
        <v>2440</v>
      </c>
      <c r="C58" s="19" t="s">
        <v>246</v>
      </c>
      <c r="D58" s="20" t="s">
        <v>2441</v>
      </c>
      <c r="E58" s="39" t="s">
        <v>2442</v>
      </c>
      <c r="F58" s="206" t="s">
        <v>42</v>
      </c>
      <c r="G58" s="116" t="s">
        <v>2443</v>
      </c>
      <c r="H58" s="24" t="s">
        <v>55</v>
      </c>
    </row>
    <row r="59" spans="1:8" ht="26.25" customHeight="1">
      <c r="A59" s="154">
        <f t="shared" si="0"/>
        <v>56</v>
      </c>
      <c r="B59" s="31" t="s">
        <v>1096</v>
      </c>
      <c r="C59" s="19" t="s">
        <v>1097</v>
      </c>
      <c r="D59" s="20" t="s">
        <v>1098</v>
      </c>
      <c r="E59" s="39" t="s">
        <v>1033</v>
      </c>
      <c r="F59" s="206" t="s">
        <v>31</v>
      </c>
      <c r="G59" s="116" t="s">
        <v>2476</v>
      </c>
      <c r="H59" s="24" t="s">
        <v>55</v>
      </c>
    </row>
    <row r="60" spans="1:8" ht="26.25" customHeight="1">
      <c r="A60" s="154">
        <f t="shared" si="0"/>
        <v>57</v>
      </c>
      <c r="B60" s="19" t="s">
        <v>2525</v>
      </c>
      <c r="C60" s="19" t="s">
        <v>124</v>
      </c>
      <c r="D60" s="20" t="s">
        <v>2526</v>
      </c>
      <c r="E60" s="39" t="s">
        <v>178</v>
      </c>
      <c r="F60" s="206" t="s">
        <v>42</v>
      </c>
      <c r="G60" s="116" t="s">
        <v>2527</v>
      </c>
      <c r="H60" s="24" t="s">
        <v>20</v>
      </c>
    </row>
    <row r="61" spans="1:8" ht="26.25" customHeight="1">
      <c r="A61" s="154">
        <f t="shared" si="0"/>
        <v>58</v>
      </c>
      <c r="B61" s="19" t="s">
        <v>2540</v>
      </c>
      <c r="C61" s="19" t="s">
        <v>277</v>
      </c>
      <c r="D61" s="20" t="s">
        <v>2541</v>
      </c>
      <c r="E61" s="39" t="s">
        <v>2705</v>
      </c>
      <c r="F61" s="206" t="s">
        <v>42</v>
      </c>
      <c r="G61" s="116" t="s">
        <v>2542</v>
      </c>
      <c r="H61" s="24" t="s">
        <v>20</v>
      </c>
    </row>
    <row r="62" spans="1:8" ht="26.25" customHeight="1">
      <c r="A62" s="154">
        <f t="shared" si="0"/>
        <v>59</v>
      </c>
      <c r="B62" s="19" t="s">
        <v>2624</v>
      </c>
      <c r="C62" s="99" t="s">
        <v>440</v>
      </c>
      <c r="D62" s="20" t="s">
        <v>2625</v>
      </c>
      <c r="E62" s="39" t="s">
        <v>52</v>
      </c>
      <c r="F62" s="206" t="s">
        <v>63</v>
      </c>
      <c r="G62" s="116" t="s">
        <v>2626</v>
      </c>
      <c r="H62" s="24" t="s">
        <v>20</v>
      </c>
    </row>
    <row r="63" spans="1:8" ht="26.25" customHeight="1">
      <c r="A63" s="154">
        <f t="shared" si="0"/>
        <v>60</v>
      </c>
      <c r="B63" s="31" t="s">
        <v>2685</v>
      </c>
      <c r="C63" s="19" t="s">
        <v>808</v>
      </c>
      <c r="D63" s="20" t="s">
        <v>2686</v>
      </c>
      <c r="E63" s="39" t="s">
        <v>1947</v>
      </c>
      <c r="F63" s="206" t="s">
        <v>53</v>
      </c>
      <c r="G63" s="116" t="s">
        <v>2687</v>
      </c>
      <c r="H63" s="24" t="s">
        <v>55</v>
      </c>
    </row>
    <row r="64" spans="1:8" ht="26.25" customHeight="1">
      <c r="A64" s="154">
        <f t="shared" si="0"/>
        <v>61</v>
      </c>
      <c r="B64" s="31" t="s">
        <v>2744</v>
      </c>
      <c r="C64" s="19" t="s">
        <v>808</v>
      </c>
      <c r="D64" s="20" t="s">
        <v>2745</v>
      </c>
      <c r="E64" s="39" t="s">
        <v>2746</v>
      </c>
      <c r="F64" s="206" t="s">
        <v>42</v>
      </c>
      <c r="G64" s="116" t="s">
        <v>2747</v>
      </c>
      <c r="H64" s="24" t="s">
        <v>55</v>
      </c>
    </row>
    <row r="65" spans="1:8" ht="26.25" customHeight="1">
      <c r="A65" s="154">
        <f t="shared" si="0"/>
        <v>62</v>
      </c>
      <c r="B65" s="31" t="s">
        <v>1188</v>
      </c>
      <c r="C65" s="19" t="s">
        <v>2790</v>
      </c>
      <c r="D65" s="20" t="s">
        <v>1190</v>
      </c>
      <c r="E65" s="39" t="s">
        <v>170</v>
      </c>
      <c r="F65" s="206" t="s">
        <v>31</v>
      </c>
      <c r="G65" s="116" t="s">
        <v>2791</v>
      </c>
      <c r="H65" s="24" t="s">
        <v>55</v>
      </c>
    </row>
    <row r="66" spans="1:8" ht="26.25" customHeight="1">
      <c r="A66" s="154">
        <f t="shared" si="0"/>
        <v>63</v>
      </c>
      <c r="B66" s="31" t="s">
        <v>2813</v>
      </c>
      <c r="C66" s="19" t="s">
        <v>124</v>
      </c>
      <c r="D66" s="20" t="s">
        <v>2814</v>
      </c>
      <c r="E66" s="39" t="s">
        <v>5046</v>
      </c>
      <c r="F66" s="206" t="s">
        <v>42</v>
      </c>
      <c r="G66" s="116" t="s">
        <v>2816</v>
      </c>
      <c r="H66" s="24" t="s">
        <v>55</v>
      </c>
    </row>
    <row r="67" spans="1:8" ht="26.25" customHeight="1">
      <c r="A67" s="154">
        <f t="shared" si="0"/>
        <v>64</v>
      </c>
      <c r="B67" s="31" t="s">
        <v>2825</v>
      </c>
      <c r="C67" s="19" t="s">
        <v>124</v>
      </c>
      <c r="D67" s="20" t="s">
        <v>2826</v>
      </c>
      <c r="E67" s="39">
        <v>2010</v>
      </c>
      <c r="F67" s="206" t="s">
        <v>42</v>
      </c>
      <c r="G67" s="116" t="s">
        <v>2827</v>
      </c>
      <c r="H67" s="24" t="s">
        <v>55</v>
      </c>
    </row>
    <row r="68" spans="1:8" ht="26.25" customHeight="1">
      <c r="A68" s="154">
        <f t="shared" si="0"/>
        <v>65</v>
      </c>
      <c r="B68" s="31" t="s">
        <v>2836</v>
      </c>
      <c r="C68" s="19" t="s">
        <v>808</v>
      </c>
      <c r="D68" s="20" t="s">
        <v>2837</v>
      </c>
      <c r="E68" s="39" t="s">
        <v>2838</v>
      </c>
      <c r="F68" s="206" t="s">
        <v>42</v>
      </c>
      <c r="G68" s="116" t="s">
        <v>2839</v>
      </c>
      <c r="H68" s="24" t="s">
        <v>55</v>
      </c>
    </row>
    <row r="69" spans="1:8" ht="26.25" customHeight="1">
      <c r="A69" s="154">
        <f t="shared" si="0"/>
        <v>66</v>
      </c>
      <c r="B69" s="31" t="s">
        <v>2840</v>
      </c>
      <c r="C69" s="19" t="s">
        <v>808</v>
      </c>
      <c r="D69" s="20" t="s">
        <v>2841</v>
      </c>
      <c r="E69" s="39" t="s">
        <v>2842</v>
      </c>
      <c r="F69" s="206" t="s">
        <v>42</v>
      </c>
      <c r="G69" s="116" t="s">
        <v>2843</v>
      </c>
      <c r="H69" s="24" t="s">
        <v>55</v>
      </c>
    </row>
    <row r="70" spans="1:8" ht="26.25" customHeight="1">
      <c r="A70" s="154">
        <f t="shared" si="0"/>
        <v>67</v>
      </c>
      <c r="B70" s="31" t="s">
        <v>2847</v>
      </c>
      <c r="C70" s="19" t="s">
        <v>1320</v>
      </c>
      <c r="D70" s="20" t="s">
        <v>2848</v>
      </c>
      <c r="E70" s="39" t="s">
        <v>2849</v>
      </c>
      <c r="F70" s="206" t="s">
        <v>53</v>
      </c>
      <c r="G70" s="116" t="s">
        <v>2850</v>
      </c>
      <c r="H70" s="24" t="s">
        <v>55</v>
      </c>
    </row>
    <row r="71" spans="1:8" ht="26.25" customHeight="1">
      <c r="A71" s="154">
        <f t="shared" si="0"/>
        <v>68</v>
      </c>
      <c r="B71" s="19" t="s">
        <v>2876</v>
      </c>
      <c r="C71" s="19" t="s">
        <v>196</v>
      </c>
      <c r="D71" s="20" t="s">
        <v>2877</v>
      </c>
      <c r="E71" s="39" t="s">
        <v>4977</v>
      </c>
      <c r="F71" s="206" t="s">
        <v>42</v>
      </c>
      <c r="G71" s="116" t="s">
        <v>2878</v>
      </c>
      <c r="H71" s="24" t="s">
        <v>20</v>
      </c>
    </row>
    <row r="72" spans="1:8" ht="26.25" customHeight="1">
      <c r="A72" s="154">
        <f t="shared" si="0"/>
        <v>69</v>
      </c>
      <c r="B72" s="31" t="s">
        <v>2879</v>
      </c>
      <c r="C72" s="19" t="s">
        <v>808</v>
      </c>
      <c r="D72" s="20" t="s">
        <v>2880</v>
      </c>
      <c r="E72" s="39" t="s">
        <v>209</v>
      </c>
      <c r="F72" s="206" t="s">
        <v>42</v>
      </c>
      <c r="G72" s="116" t="s">
        <v>2881</v>
      </c>
      <c r="H72" s="24" t="s">
        <v>55</v>
      </c>
    </row>
    <row r="73" spans="1:8" ht="26.25" customHeight="1">
      <c r="A73" s="154">
        <f t="shared" si="0"/>
        <v>70</v>
      </c>
      <c r="B73" s="31" t="s">
        <v>2882</v>
      </c>
      <c r="C73" s="19" t="s">
        <v>2883</v>
      </c>
      <c r="D73" s="20" t="s">
        <v>2884</v>
      </c>
      <c r="E73" s="39" t="s">
        <v>2885</v>
      </c>
      <c r="F73" s="206" t="s">
        <v>42</v>
      </c>
      <c r="G73" s="116" t="s">
        <v>2886</v>
      </c>
      <c r="H73" s="24" t="s">
        <v>55</v>
      </c>
    </row>
    <row r="74" spans="1:8" ht="26.25" customHeight="1">
      <c r="A74" s="154">
        <f t="shared" si="0"/>
        <v>71</v>
      </c>
      <c r="B74" s="31" t="s">
        <v>2887</v>
      </c>
      <c r="C74" s="19" t="s">
        <v>124</v>
      </c>
      <c r="D74" s="100" t="s">
        <v>5047</v>
      </c>
      <c r="E74" s="39" t="s">
        <v>1033</v>
      </c>
      <c r="F74" s="206" t="s">
        <v>42</v>
      </c>
      <c r="G74" s="116" t="s">
        <v>2889</v>
      </c>
      <c r="H74" s="24" t="s">
        <v>55</v>
      </c>
    </row>
    <row r="75" spans="1:8" ht="26.25" customHeight="1">
      <c r="A75" s="154">
        <f t="shared" si="0"/>
        <v>72</v>
      </c>
      <c r="B75" s="31" t="s">
        <v>1463</v>
      </c>
      <c r="C75" s="19" t="s">
        <v>124</v>
      </c>
      <c r="D75" s="20" t="s">
        <v>1464</v>
      </c>
      <c r="E75" s="39" t="s">
        <v>700</v>
      </c>
      <c r="F75" s="206" t="s">
        <v>42</v>
      </c>
      <c r="G75" s="116" t="s">
        <v>2891</v>
      </c>
      <c r="H75" s="24" t="s">
        <v>55</v>
      </c>
    </row>
    <row r="76" spans="1:8" ht="26.25" customHeight="1">
      <c r="A76" s="154">
        <f t="shared" si="0"/>
        <v>73</v>
      </c>
      <c r="B76" s="19" t="s">
        <v>2892</v>
      </c>
      <c r="C76" s="19" t="s">
        <v>141</v>
      </c>
      <c r="D76" s="20" t="s">
        <v>2893</v>
      </c>
      <c r="E76" s="39" t="s">
        <v>52</v>
      </c>
      <c r="F76" s="206" t="s">
        <v>42</v>
      </c>
      <c r="G76" s="116" t="s">
        <v>2894</v>
      </c>
      <c r="H76" s="24" t="s">
        <v>20</v>
      </c>
    </row>
    <row r="77" spans="1:8" ht="26.25" customHeight="1">
      <c r="A77" s="154">
        <f t="shared" si="0"/>
        <v>74</v>
      </c>
      <c r="B77" s="31" t="s">
        <v>2984</v>
      </c>
      <c r="C77" s="19" t="s">
        <v>196</v>
      </c>
      <c r="D77" s="20" t="s">
        <v>151</v>
      </c>
      <c r="E77" s="39" t="s">
        <v>2985</v>
      </c>
      <c r="F77" s="206" t="s">
        <v>53</v>
      </c>
      <c r="G77" s="116" t="s">
        <v>2986</v>
      </c>
      <c r="H77" s="24" t="s">
        <v>55</v>
      </c>
    </row>
    <row r="78" spans="1:8" ht="26.25" customHeight="1">
      <c r="A78" s="154">
        <f t="shared" si="0"/>
        <v>75</v>
      </c>
      <c r="B78" s="31" t="s">
        <v>3004</v>
      </c>
      <c r="C78" s="19" t="s">
        <v>3005</v>
      </c>
      <c r="D78" s="20" t="s">
        <v>3006</v>
      </c>
      <c r="E78" s="39" t="s">
        <v>3007</v>
      </c>
      <c r="F78" s="206" t="s">
        <v>42</v>
      </c>
      <c r="G78" s="116" t="s">
        <v>3008</v>
      </c>
      <c r="H78" s="24" t="s">
        <v>55</v>
      </c>
    </row>
    <row r="79" spans="1:8" ht="26.25" customHeight="1">
      <c r="A79" s="154">
        <f t="shared" si="0"/>
        <v>76</v>
      </c>
      <c r="B79" s="31" t="s">
        <v>3017</v>
      </c>
      <c r="C79" s="19" t="s">
        <v>268</v>
      </c>
      <c r="D79" s="20" t="s">
        <v>269</v>
      </c>
      <c r="E79" s="39" t="s">
        <v>142</v>
      </c>
      <c r="F79" s="206" t="s">
        <v>53</v>
      </c>
      <c r="G79" s="116" t="s">
        <v>3018</v>
      </c>
      <c r="H79" s="24" t="s">
        <v>55</v>
      </c>
    </row>
    <row r="80" spans="1:8" ht="26.25" customHeight="1">
      <c r="A80" s="154">
        <f t="shared" si="0"/>
        <v>77</v>
      </c>
      <c r="B80" s="31" t="s">
        <v>3096</v>
      </c>
      <c r="C80" s="19" t="s">
        <v>112</v>
      </c>
      <c r="D80" s="20" t="s">
        <v>3097</v>
      </c>
      <c r="E80" s="39" t="s">
        <v>416</v>
      </c>
      <c r="F80" s="206" t="s">
        <v>31</v>
      </c>
      <c r="G80" s="116" t="s">
        <v>3098</v>
      </c>
      <c r="H80" s="24" t="s">
        <v>55</v>
      </c>
    </row>
    <row r="81" spans="1:8" ht="26.25" customHeight="1">
      <c r="A81" s="154">
        <f t="shared" si="0"/>
        <v>78</v>
      </c>
      <c r="B81" s="39" t="s">
        <v>1867</v>
      </c>
      <c r="C81" s="39" t="s">
        <v>1868</v>
      </c>
      <c r="D81" s="20" t="s">
        <v>1869</v>
      </c>
      <c r="E81" s="83" t="s">
        <v>5048</v>
      </c>
      <c r="F81" s="206" t="s">
        <v>31</v>
      </c>
      <c r="G81" s="207" t="s">
        <v>3100</v>
      </c>
      <c r="H81" s="24" t="s">
        <v>20</v>
      </c>
    </row>
    <row r="82" spans="1:8" ht="26.25" customHeight="1">
      <c r="A82" s="154">
        <f t="shared" si="0"/>
        <v>79</v>
      </c>
      <c r="B82" s="19" t="s">
        <v>3124</v>
      </c>
      <c r="C82" s="19" t="s">
        <v>124</v>
      </c>
      <c r="D82" s="20" t="s">
        <v>3125</v>
      </c>
      <c r="E82" s="39" t="s">
        <v>5049</v>
      </c>
      <c r="F82" s="206" t="s">
        <v>42</v>
      </c>
      <c r="G82" s="116" t="s">
        <v>3126</v>
      </c>
      <c r="H82" s="24" t="s">
        <v>20</v>
      </c>
    </row>
    <row r="83" spans="1:8" ht="26.25" customHeight="1">
      <c r="A83" s="154">
        <f t="shared" si="0"/>
        <v>80</v>
      </c>
      <c r="B83" s="19" t="s">
        <v>3236</v>
      </c>
      <c r="C83" s="19" t="s">
        <v>3237</v>
      </c>
      <c r="D83" s="20" t="s">
        <v>3238</v>
      </c>
      <c r="E83" s="39" t="s">
        <v>52</v>
      </c>
      <c r="F83" s="206" t="s">
        <v>42</v>
      </c>
      <c r="G83" s="116" t="s">
        <v>3239</v>
      </c>
      <c r="H83" s="24" t="s">
        <v>20</v>
      </c>
    </row>
    <row r="84" spans="1:8" ht="26.25" customHeight="1">
      <c r="A84" s="154">
        <f t="shared" si="0"/>
        <v>81</v>
      </c>
      <c r="B84" s="31" t="s">
        <v>3251</v>
      </c>
      <c r="C84" s="19" t="s">
        <v>3252</v>
      </c>
      <c r="D84" s="20" t="s">
        <v>3253</v>
      </c>
      <c r="E84" s="39" t="s">
        <v>1101</v>
      </c>
      <c r="F84" s="206" t="s">
        <v>42</v>
      </c>
      <c r="G84" s="116" t="s">
        <v>3254</v>
      </c>
      <c r="H84" s="24" t="s">
        <v>55</v>
      </c>
    </row>
    <row r="85" spans="1:8" ht="26.25" customHeight="1">
      <c r="A85" s="154">
        <f t="shared" si="0"/>
        <v>82</v>
      </c>
      <c r="B85" s="19" t="s">
        <v>3263</v>
      </c>
      <c r="C85" s="19" t="s">
        <v>3264</v>
      </c>
      <c r="D85" s="20" t="s">
        <v>3265</v>
      </c>
      <c r="E85" s="39" t="s">
        <v>4144</v>
      </c>
      <c r="F85" s="206" t="s">
        <v>53</v>
      </c>
      <c r="G85" s="116" t="s">
        <v>3267</v>
      </c>
      <c r="H85" s="24" t="s">
        <v>20</v>
      </c>
    </row>
    <row r="86" spans="1:8" ht="26.25" customHeight="1">
      <c r="A86" s="154">
        <f t="shared" si="0"/>
        <v>83</v>
      </c>
      <c r="B86" s="31" t="s">
        <v>3288</v>
      </c>
      <c r="C86" s="19" t="s">
        <v>2603</v>
      </c>
      <c r="D86" s="20" t="s">
        <v>3289</v>
      </c>
      <c r="E86" s="39">
        <v>2013</v>
      </c>
      <c r="F86" s="206" t="s">
        <v>42</v>
      </c>
      <c r="G86" s="116" t="s">
        <v>3290</v>
      </c>
      <c r="H86" s="24" t="s">
        <v>55</v>
      </c>
    </row>
    <row r="87" spans="1:8" ht="26.25" customHeight="1">
      <c r="A87" s="154">
        <f t="shared" si="0"/>
        <v>84</v>
      </c>
      <c r="B87" s="31" t="s">
        <v>3343</v>
      </c>
      <c r="C87" s="19" t="s">
        <v>3344</v>
      </c>
      <c r="D87" s="20" t="s">
        <v>991</v>
      </c>
      <c r="E87" s="39" t="s">
        <v>170</v>
      </c>
      <c r="F87" s="206" t="s">
        <v>53</v>
      </c>
      <c r="G87" s="116" t="s">
        <v>3345</v>
      </c>
      <c r="H87" s="24" t="s">
        <v>55</v>
      </c>
    </row>
    <row r="88" spans="1:8" ht="26.25" customHeight="1">
      <c r="A88" s="154">
        <f t="shared" si="0"/>
        <v>85</v>
      </c>
      <c r="B88" s="31" t="s">
        <v>3346</v>
      </c>
      <c r="C88" s="19" t="s">
        <v>246</v>
      </c>
      <c r="D88" s="20" t="s">
        <v>247</v>
      </c>
      <c r="E88" s="39" t="s">
        <v>3347</v>
      </c>
      <c r="F88" s="206" t="s">
        <v>1086</v>
      </c>
      <c r="G88" s="116" t="s">
        <v>3348</v>
      </c>
      <c r="H88" s="24" t="s">
        <v>55</v>
      </c>
    </row>
    <row r="89" spans="1:8" ht="26.25" customHeight="1">
      <c r="A89" s="154">
        <f t="shared" si="0"/>
        <v>86</v>
      </c>
      <c r="B89" s="19" t="s">
        <v>3372</v>
      </c>
      <c r="C89" s="19" t="s">
        <v>124</v>
      </c>
      <c r="D89" s="20" t="s">
        <v>3373</v>
      </c>
      <c r="E89" s="39" t="s">
        <v>52</v>
      </c>
      <c r="F89" s="206" t="s">
        <v>42</v>
      </c>
      <c r="G89" s="116" t="s">
        <v>3374</v>
      </c>
      <c r="H89" s="24" t="s">
        <v>20</v>
      </c>
    </row>
    <row r="90" spans="1:8" ht="26.25" customHeight="1">
      <c r="A90" s="154">
        <f t="shared" si="0"/>
        <v>87</v>
      </c>
      <c r="B90" s="31" t="s">
        <v>1083</v>
      </c>
      <c r="C90" s="19" t="s">
        <v>3383</v>
      </c>
      <c r="D90" s="20" t="s">
        <v>1085</v>
      </c>
      <c r="E90" s="39" t="s">
        <v>170</v>
      </c>
      <c r="F90" s="206" t="s">
        <v>53</v>
      </c>
      <c r="G90" s="116" t="s">
        <v>3384</v>
      </c>
      <c r="H90" s="24" t="s">
        <v>55</v>
      </c>
    </row>
    <row r="91" spans="1:8" ht="26.25" customHeight="1">
      <c r="A91" s="154">
        <f t="shared" si="0"/>
        <v>88</v>
      </c>
      <c r="B91" s="19" t="s">
        <v>3562</v>
      </c>
      <c r="C91" s="19" t="s">
        <v>3563</v>
      </c>
      <c r="D91" s="20" t="s">
        <v>3564</v>
      </c>
      <c r="E91" s="39" t="s">
        <v>5000</v>
      </c>
      <c r="F91" s="206" t="s">
        <v>53</v>
      </c>
      <c r="G91" s="116" t="s">
        <v>3565</v>
      </c>
      <c r="H91" s="24" t="s">
        <v>20</v>
      </c>
    </row>
    <row r="92" spans="1:8" ht="26.25" customHeight="1">
      <c r="A92" s="154">
        <f t="shared" si="0"/>
        <v>89</v>
      </c>
      <c r="B92" s="31" t="s">
        <v>3589</v>
      </c>
      <c r="C92" s="19" t="s">
        <v>3590</v>
      </c>
      <c r="D92" s="20" t="s">
        <v>795</v>
      </c>
      <c r="E92" s="39" t="s">
        <v>2100</v>
      </c>
      <c r="F92" s="206" t="s">
        <v>53</v>
      </c>
      <c r="G92" s="116" t="s">
        <v>3591</v>
      </c>
      <c r="H92" s="24" t="s">
        <v>55</v>
      </c>
    </row>
    <row r="93" spans="1:8" ht="26.25" customHeight="1">
      <c r="A93" s="154">
        <f t="shared" si="0"/>
        <v>90</v>
      </c>
      <c r="B93" s="19" t="s">
        <v>3664</v>
      </c>
      <c r="C93" s="19" t="s">
        <v>3665</v>
      </c>
      <c r="D93" s="20" t="s">
        <v>3666</v>
      </c>
      <c r="E93" s="39" t="s">
        <v>5050</v>
      </c>
      <c r="F93" s="206" t="s">
        <v>53</v>
      </c>
      <c r="G93" s="116" t="s">
        <v>3668</v>
      </c>
      <c r="H93" s="24" t="s">
        <v>20</v>
      </c>
    </row>
    <row r="94" spans="1:8" ht="26.25" customHeight="1">
      <c r="A94" s="154">
        <f t="shared" si="0"/>
        <v>91</v>
      </c>
      <c r="B94" s="19" t="s">
        <v>3743</v>
      </c>
      <c r="C94" s="19" t="s">
        <v>3744</v>
      </c>
      <c r="D94" s="20" t="s">
        <v>3745</v>
      </c>
      <c r="E94" s="39" t="s">
        <v>52</v>
      </c>
      <c r="F94" s="206" t="s">
        <v>53</v>
      </c>
      <c r="G94" s="116" t="s">
        <v>3746</v>
      </c>
      <c r="H94" s="24" t="s">
        <v>20</v>
      </c>
    </row>
    <row r="95" spans="1:8" ht="26.25" customHeight="1">
      <c r="A95" s="154">
        <f t="shared" si="0"/>
        <v>92</v>
      </c>
      <c r="B95" s="31" t="s">
        <v>3777</v>
      </c>
      <c r="C95" s="19" t="s">
        <v>3778</v>
      </c>
      <c r="D95" s="1"/>
      <c r="E95" s="39" t="s">
        <v>3779</v>
      </c>
      <c r="F95" s="206" t="s">
        <v>53</v>
      </c>
      <c r="G95" s="116" t="s">
        <v>3780</v>
      </c>
      <c r="H95" s="24" t="s">
        <v>55</v>
      </c>
    </row>
    <row r="96" spans="1:8" ht="26.25" customHeight="1">
      <c r="A96" s="154">
        <f t="shared" si="0"/>
        <v>93</v>
      </c>
      <c r="B96" s="31" t="s">
        <v>3899</v>
      </c>
      <c r="C96" s="19" t="s">
        <v>3676</v>
      </c>
      <c r="D96" s="20" t="s">
        <v>3900</v>
      </c>
      <c r="E96" s="39" t="s">
        <v>3901</v>
      </c>
      <c r="F96" s="206" t="s">
        <v>53</v>
      </c>
      <c r="G96" s="116" t="s">
        <v>3902</v>
      </c>
      <c r="H96" s="24" t="s">
        <v>55</v>
      </c>
    </row>
    <row r="97" spans="1:8" ht="26.25" customHeight="1">
      <c r="A97" s="154">
        <f t="shared" si="0"/>
        <v>94</v>
      </c>
      <c r="B97" s="31" t="s">
        <v>4006</v>
      </c>
      <c r="C97" s="19" t="s">
        <v>4007</v>
      </c>
      <c r="D97" s="20" t="s">
        <v>486</v>
      </c>
      <c r="E97" s="39" t="s">
        <v>603</v>
      </c>
      <c r="F97" s="206" t="s">
        <v>53</v>
      </c>
      <c r="G97" s="116" t="s">
        <v>4008</v>
      </c>
      <c r="H97" s="24" t="s">
        <v>55</v>
      </c>
    </row>
    <row r="98" spans="1:8" ht="26.25" customHeight="1">
      <c r="A98" s="154">
        <f t="shared" si="0"/>
        <v>95</v>
      </c>
      <c r="B98" s="31" t="s">
        <v>4202</v>
      </c>
      <c r="C98" s="19" t="s">
        <v>4203</v>
      </c>
      <c r="D98" s="20" t="s">
        <v>4204</v>
      </c>
      <c r="E98" s="39" t="s">
        <v>4205</v>
      </c>
      <c r="F98" s="206" t="s">
        <v>53</v>
      </c>
      <c r="G98" s="116" t="s">
        <v>4206</v>
      </c>
      <c r="H98" s="24" t="s">
        <v>55</v>
      </c>
    </row>
    <row r="99" spans="1:8" ht="26.25" customHeight="1">
      <c r="A99" s="154">
        <f t="shared" si="0"/>
        <v>96</v>
      </c>
      <c r="B99" s="19" t="s">
        <v>5051</v>
      </c>
      <c r="C99" s="19" t="s">
        <v>5052</v>
      </c>
      <c r="D99" s="20" t="s">
        <v>5053</v>
      </c>
      <c r="E99" s="39" t="s">
        <v>170</v>
      </c>
      <c r="F99" s="206" t="s">
        <v>53</v>
      </c>
      <c r="G99" s="116" t="s">
        <v>4210</v>
      </c>
      <c r="H99" s="24" t="s">
        <v>20</v>
      </c>
    </row>
    <row r="100" spans="1:8" ht="26.25" customHeight="1">
      <c r="A100" s="154">
        <f t="shared" si="0"/>
        <v>97</v>
      </c>
      <c r="B100" s="19" t="s">
        <v>4211</v>
      </c>
      <c r="C100" s="19" t="s">
        <v>4212</v>
      </c>
      <c r="D100" s="20" t="s">
        <v>4213</v>
      </c>
      <c r="E100" s="39" t="s">
        <v>5054</v>
      </c>
      <c r="F100" s="206" t="s">
        <v>53</v>
      </c>
      <c r="G100" s="116" t="s">
        <v>4215</v>
      </c>
      <c r="H100" s="24" t="s">
        <v>20</v>
      </c>
    </row>
    <row r="101" spans="1:8" ht="26.25" customHeight="1">
      <c r="A101" s="154">
        <f t="shared" si="0"/>
        <v>98</v>
      </c>
      <c r="B101" s="19" t="s">
        <v>4302</v>
      </c>
      <c r="C101" s="19" t="s">
        <v>4303</v>
      </c>
      <c r="D101" s="20" t="s">
        <v>4304</v>
      </c>
      <c r="E101" s="39" t="s">
        <v>1990</v>
      </c>
      <c r="F101" s="206" t="s">
        <v>53</v>
      </c>
      <c r="G101" s="116" t="s">
        <v>4305</v>
      </c>
      <c r="H101" s="24" t="s">
        <v>20</v>
      </c>
    </row>
    <row r="102" spans="1:8" ht="26.25" customHeight="1">
      <c r="A102" s="154">
        <f t="shared" si="0"/>
        <v>99</v>
      </c>
      <c r="B102" s="19" t="s">
        <v>4315</v>
      </c>
      <c r="C102" s="115" t="s">
        <v>2050</v>
      </c>
      <c r="D102" s="20" t="s">
        <v>4316</v>
      </c>
      <c r="E102" s="39" t="s">
        <v>5055</v>
      </c>
      <c r="F102" s="206" t="s">
        <v>53</v>
      </c>
      <c r="G102" s="23" t="s">
        <v>4318</v>
      </c>
      <c r="H102" s="24" t="s">
        <v>20</v>
      </c>
    </row>
    <row r="103" spans="1:8" ht="26.25" customHeight="1">
      <c r="A103" s="154">
        <f t="shared" si="0"/>
        <v>100</v>
      </c>
      <c r="B103" s="19" t="s">
        <v>4319</v>
      </c>
      <c r="C103" s="115" t="s">
        <v>2050</v>
      </c>
      <c r="D103" s="20" t="s">
        <v>4320</v>
      </c>
      <c r="E103" s="39" t="s">
        <v>4969</v>
      </c>
      <c r="F103" s="206" t="s">
        <v>42</v>
      </c>
      <c r="G103" s="23" t="s">
        <v>4321</v>
      </c>
      <c r="H103" s="24" t="s">
        <v>20</v>
      </c>
    </row>
    <row r="104" spans="1:8" ht="26.25" customHeight="1">
      <c r="A104" s="211">
        <f t="shared" si="0"/>
        <v>101</v>
      </c>
      <c r="B104" s="118" t="s">
        <v>4322</v>
      </c>
      <c r="C104" s="241" t="s">
        <v>4323</v>
      </c>
      <c r="D104" s="119" t="s">
        <v>1843</v>
      </c>
      <c r="E104" s="212" t="s">
        <v>4324</v>
      </c>
      <c r="F104" s="213" t="s">
        <v>53</v>
      </c>
      <c r="G104" s="187" t="s">
        <v>4325</v>
      </c>
      <c r="H104" s="165" t="s">
        <v>20</v>
      </c>
    </row>
    <row r="105" spans="1:8" ht="16.5" customHeight="1">
      <c r="A105" s="46" t="str">
        <f t="shared" si="0"/>
        <v/>
      </c>
      <c r="B105" s="215"/>
      <c r="C105" s="215"/>
      <c r="D105" s="1"/>
      <c r="E105" s="216"/>
      <c r="F105" s="217"/>
      <c r="G105" s="108"/>
      <c r="H105" s="1"/>
    </row>
    <row r="106" spans="1:8" ht="16.5" customHeight="1">
      <c r="A106" s="46" t="str">
        <f t="shared" si="0"/>
        <v/>
      </c>
      <c r="B106" s="215"/>
      <c r="C106" s="215"/>
      <c r="D106" s="231"/>
      <c r="E106" s="216"/>
      <c r="F106" s="217"/>
      <c r="G106" s="108"/>
      <c r="H106" s="1"/>
    </row>
    <row r="107" spans="1:8" ht="16.5" customHeight="1">
      <c r="A107" s="46" t="str">
        <f t="shared" si="0"/>
        <v/>
      </c>
      <c r="B107" s="221"/>
      <c r="C107" s="215"/>
      <c r="D107" s="1"/>
      <c r="E107" s="216"/>
      <c r="F107" s="217"/>
      <c r="G107" s="108"/>
      <c r="H107" s="1"/>
    </row>
    <row r="108" spans="1:8" ht="16.5" customHeight="1">
      <c r="A108" s="46" t="str">
        <f t="shared" si="0"/>
        <v/>
      </c>
      <c r="B108" s="215"/>
      <c r="C108" s="215"/>
      <c r="D108" s="232"/>
      <c r="E108" s="216"/>
      <c r="F108" s="217"/>
      <c r="G108" s="108"/>
      <c r="H108" s="1"/>
    </row>
    <row r="109" spans="1:8" ht="16.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</row>
    <row r="110" spans="1:8" ht="16.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</row>
    <row r="111" spans="1:8" ht="16.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</row>
    <row r="112" spans="1:8" ht="16.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</row>
    <row r="113" spans="1:8" ht="16.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</row>
    <row r="114" spans="1:8" ht="16.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</row>
    <row r="115" spans="1:8" ht="16.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</row>
    <row r="116" spans="1:8" ht="16.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</row>
    <row r="117" spans="1:8" ht="16.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</row>
    <row r="118" spans="1:8" ht="16.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</row>
    <row r="119" spans="1:8" ht="16.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</row>
    <row r="120" spans="1:8" ht="16.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</row>
    <row r="121" spans="1:8" ht="16.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</row>
    <row r="122" spans="1:8" ht="16.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</row>
    <row r="123" spans="1:8" ht="16.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</row>
    <row r="124" spans="1:8" ht="16.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</row>
    <row r="125" spans="1:8" ht="16.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</row>
    <row r="126" spans="1:8" ht="16.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</row>
    <row r="127" spans="1:8" ht="16.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</row>
    <row r="128" spans="1:8" ht="16.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</row>
    <row r="129" spans="1:9" ht="16.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</row>
    <row r="130" spans="1:9" ht="16.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</row>
    <row r="131" spans="1:9" ht="16.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</row>
    <row r="132" spans="1:9" ht="16.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</row>
    <row r="133" spans="1:9" ht="16.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</row>
    <row r="134" spans="1:9" ht="16.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</row>
    <row r="135" spans="1:9" ht="16.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</row>
    <row r="136" spans="1:9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9" ht="16.5" customHeight="1">
      <c r="A138" s="46"/>
      <c r="F138" s="167"/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</hyperlink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5056</v>
      </c>
      <c r="B1" s="290"/>
      <c r="C1" s="290"/>
      <c r="D1" s="290"/>
      <c r="E1" s="290"/>
      <c r="F1" s="290"/>
      <c r="G1" s="290"/>
      <c r="H1" s="290"/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37" t="s">
        <v>2</v>
      </c>
      <c r="B3" s="238" t="s">
        <v>4</v>
      </c>
      <c r="C3" s="238" t="s">
        <v>5</v>
      </c>
      <c r="D3" s="238" t="s">
        <v>6</v>
      </c>
      <c r="E3" s="238" t="s">
        <v>7</v>
      </c>
      <c r="F3" s="238" t="s">
        <v>8</v>
      </c>
      <c r="G3" s="238" t="s">
        <v>9</v>
      </c>
      <c r="H3" s="239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ca="1" si="0">IF(B4="","",ROW(B4)-3)</f>
        <v>1</v>
      </c>
      <c r="B4" s="31" t="str">
        <f ca="1">IFERROR(__xludf.DUMMYFUNCTION("filter('통합'!C4:I983,'통합'!B4:B983=""화학공학"")"),"AAPG Bulletin")</f>
        <v>AAPG Bulletin</v>
      </c>
      <c r="C4" s="19" t="str">
        <f ca="1">IFERROR(__xludf.DUMMYFUNCTION("""COMPUTED_VALUE"""),"American Association of Petroleum Geologists")</f>
        <v>American Association of Petroleum Geologists</v>
      </c>
      <c r="D4" s="20" t="str">
        <f ca="1">IFERROR(__xludf.DUMMYFUNCTION("""COMPUTED_VALUE"""),"0149-1423")</f>
        <v>0149-1423</v>
      </c>
      <c r="E4" s="39" t="str">
        <f ca="1">IFERROR(__xludf.DUMMYFUNCTION("""COMPUTED_VALUE"""),"1981-2021")</f>
        <v>1981-2021</v>
      </c>
      <c r="F4" s="206" t="str">
        <f ca="1">IFERROR(__xludf.DUMMYFUNCTION("""COMPUTED_VALUE"""),"SCIE")</f>
        <v>SCIE</v>
      </c>
      <c r="G4" s="116" t="str">
        <f ca="1">IFERROR(__xludf.DUMMYFUNCTION("""COMPUTED_VALUE"""),"http://www.riss.kr/link?id=S16981")</f>
        <v>http://www.riss.kr/link?id=S16981</v>
      </c>
      <c r="H4" s="24" t="str">
        <f ca="1">IFERROR(__xludf.DUMMYFUNCTION("""COMPUTED_VALUE"""),"O")</f>
        <v>O</v>
      </c>
    </row>
    <row r="5" spans="1:26" ht="26.25" customHeight="1">
      <c r="A5" s="154">
        <f t="shared" ca="1" si="0"/>
        <v>2</v>
      </c>
      <c r="B5" s="31" t="str">
        <f ca="1">IFERROR(__xludf.DUMMYFUNCTION("""COMPUTED_VALUE"""),"Advanced Composites Letters")</f>
        <v>Advanced Composites Letters</v>
      </c>
      <c r="C5" s="19" t="str">
        <f ca="1">IFERROR(__xludf.DUMMYFUNCTION("""COMPUTED_VALUE"""),"Sage Publications Ltd.")</f>
        <v>Sage Publications Ltd.</v>
      </c>
      <c r="D5" s="20" t="str">
        <f ca="1">IFERROR(__xludf.DUMMYFUNCTION("""COMPUTED_VALUE"""),"0963-6935")</f>
        <v>0963-6935</v>
      </c>
      <c r="E5" s="39" t="str">
        <f ca="1">IFERROR(__xludf.DUMMYFUNCTION("""COMPUTED_VALUE"""),"2010-2014")</f>
        <v>2010-2014</v>
      </c>
      <c r="F5" s="206" t="str">
        <f ca="1">IFERROR(__xludf.DUMMYFUNCTION("""COMPUTED_VALUE"""),"SCIE, SCOPUS")</f>
        <v>SCIE, SCOPUS</v>
      </c>
      <c r="G5" s="116" t="str">
        <f ca="1">IFERROR(__xludf.DUMMYFUNCTION("""COMPUTED_VALUE"""),"http://www.riss.kr/link?id=S11574113")</f>
        <v>http://www.riss.kr/link?id=S11574113</v>
      </c>
      <c r="H5" s="24" t="str">
        <f ca="1">IFERROR(__xludf.DUMMYFUNCTION("""COMPUTED_VALUE"""),"X")</f>
        <v>X</v>
      </c>
    </row>
    <row r="6" spans="1:26" ht="26.25" customHeight="1">
      <c r="A6" s="154">
        <f t="shared" ca="1" si="0"/>
        <v>3</v>
      </c>
      <c r="B6" s="22" t="str">
        <f ca="1">IFERROR(__xludf.DUMMYFUNCTION("""COMPUTED_VALUE"""),"Aerosol science and Technology")</f>
        <v>Aerosol science and Technology</v>
      </c>
      <c r="C6" s="19" t="str">
        <f ca="1">IFERROR(__xludf.DUMMYFUNCTION("""COMPUTED_VALUE"""),"Elsevier Ltd")</f>
        <v>Elsevier Ltd</v>
      </c>
      <c r="D6" s="43" t="str">
        <f ca="1">IFERROR(__xludf.DUMMYFUNCTION("""COMPUTED_VALUE"""),"0278-6826")</f>
        <v>0278-6826</v>
      </c>
      <c r="E6" s="83" t="str">
        <f ca="1">IFERROR(__xludf.DUMMYFUNCTION("""COMPUTED_VALUE"""),"1997-2021")</f>
        <v>1997-2021</v>
      </c>
      <c r="F6" s="206" t="str">
        <f ca="1">IFERROR(__xludf.DUMMYFUNCTION("""COMPUTED_VALUE"""),"SCIE, SCOPUS")</f>
        <v>SCIE, SCOPUS</v>
      </c>
      <c r="G6" s="207" t="str">
        <f ca="1">IFERROR(__xludf.DUMMYFUNCTION("""COMPUTED_VALUE"""),"http://www.riss.kr/link?id=S14693")</f>
        <v>http://www.riss.kr/link?id=S14693</v>
      </c>
      <c r="H6" s="240" t="str">
        <f ca="1">IFERROR(__xludf.DUMMYFUNCTION("""COMPUTED_VALUE"""),"O")</f>
        <v>O</v>
      </c>
    </row>
    <row r="7" spans="1:26" ht="26.25" customHeight="1">
      <c r="A7" s="154">
        <f t="shared" ca="1" si="0"/>
        <v>4</v>
      </c>
      <c r="B7" s="31" t="str">
        <f ca="1">IFERROR(__xludf.DUMMYFUNCTION("""COMPUTED_VALUE"""),"American Laboratory")</f>
        <v>American Laboratory</v>
      </c>
      <c r="C7" s="19" t="str">
        <f ca="1">IFERROR(__xludf.DUMMYFUNCTION("""COMPUTED_VALUE"""),"Labcompare")</f>
        <v>Labcompare</v>
      </c>
      <c r="D7" s="20" t="str">
        <f ca="1">IFERROR(__xludf.DUMMYFUNCTION("""COMPUTED_VALUE"""),"0044-7749")</f>
        <v>0044-7749</v>
      </c>
      <c r="E7" s="39" t="str">
        <f ca="1">IFERROR(__xludf.DUMMYFUNCTION("""COMPUTED_VALUE"""),"2010-2019")</f>
        <v>2010-2019</v>
      </c>
      <c r="F7" s="206" t="str">
        <f ca="1">IFERROR(__xludf.DUMMYFUNCTION("""COMPUTED_VALUE"""),"SCIE")</f>
        <v>SCIE</v>
      </c>
      <c r="G7" s="116" t="str">
        <f ca="1">IFERROR(__xludf.DUMMYFUNCTION("""COMPUTED_VALUE"""),"http://www.riss.kr/link?id=S407270")</f>
        <v>http://www.riss.kr/link?id=S407270</v>
      </c>
      <c r="H7" s="24" t="str">
        <f ca="1">IFERROR(__xludf.DUMMYFUNCTION("""COMPUTED_VALUE"""),"X")</f>
        <v>X</v>
      </c>
    </row>
    <row r="8" spans="1:26" ht="26.25" customHeight="1">
      <c r="A8" s="154">
        <f t="shared" ca="1" si="0"/>
        <v>5</v>
      </c>
      <c r="B8" s="31" t="str">
        <f ca="1">IFERROR(__xludf.DUMMYFUNCTION("""COMPUTED_VALUE"""),"Anti-Corrosion Methods and Materials")</f>
        <v>Anti-Corrosion Methods and Materials</v>
      </c>
      <c r="C8" s="19" t="str">
        <f ca="1">IFERROR(__xludf.DUMMYFUNCTION("""COMPUTED_VALUE"""),"Emerald Publishing Limited")</f>
        <v>Emerald Publishing Limited</v>
      </c>
      <c r="D8" s="20" t="str">
        <f ca="1">IFERROR(__xludf.DUMMYFUNCTION("""COMPUTED_VALUE"""),"0003-5599")</f>
        <v>0003-5599</v>
      </c>
      <c r="E8" s="39" t="str">
        <f ca="1">IFERROR(__xludf.DUMMYFUNCTION("""COMPUTED_VALUE"""),"2010-2013")</f>
        <v>2010-2013</v>
      </c>
      <c r="F8" s="206" t="str">
        <f ca="1">IFERROR(__xludf.DUMMYFUNCTION("""COMPUTED_VALUE"""),"SCIE, SCOPUS")</f>
        <v>SCIE, SCOPUS</v>
      </c>
      <c r="G8" s="116" t="str">
        <f ca="1">IFERROR(__xludf.DUMMYFUNCTION("""COMPUTED_VALUE"""),"http://www.riss.kr/link?id=S400756")</f>
        <v>http://www.riss.kr/link?id=S400756</v>
      </c>
      <c r="H8" s="24" t="str">
        <f ca="1">IFERROR(__xludf.DUMMYFUNCTION("""COMPUTED_VALUE"""),"X")</f>
        <v>X</v>
      </c>
    </row>
    <row r="9" spans="1:26" ht="26.25" customHeight="1">
      <c r="A9" s="154">
        <f t="shared" ca="1" si="0"/>
        <v>6</v>
      </c>
      <c r="B9" s="31" t="str">
        <f ca="1">IFERROR(__xludf.DUMMYFUNCTION("""COMPUTED_VALUE"""),"Atomic Spectroscopy")</f>
        <v>Atomic Spectroscopy</v>
      </c>
      <c r="C9" s="19" t="str">
        <f ca="1">IFERROR(__xludf.DUMMYFUNCTION("""COMPUTED_VALUE"""),"Perkin - Elmer Corp.")</f>
        <v>Perkin - Elmer Corp.</v>
      </c>
      <c r="D9" s="20" t="str">
        <f ca="1">IFERROR(__xludf.DUMMYFUNCTION("""COMPUTED_VALUE"""),"0195-5373")</f>
        <v>0195-5373</v>
      </c>
      <c r="E9" s="39" t="str">
        <f ca="1">IFERROR(__xludf.DUMMYFUNCTION("""COMPUTED_VALUE"""),"2010, 2011")</f>
        <v>2010, 2011</v>
      </c>
      <c r="F9" s="206" t="str">
        <f ca="1">IFERROR(__xludf.DUMMYFUNCTION("""COMPUTED_VALUE"""),"SCIE, SCOPUS")</f>
        <v>SCIE, SCOPUS</v>
      </c>
      <c r="G9" s="116" t="str">
        <f ca="1">IFERROR(__xludf.DUMMYFUNCTION("""COMPUTED_VALUE"""),"http://www.riss.kr/link?id=S411913")</f>
        <v>http://www.riss.kr/link?id=S411913</v>
      </c>
      <c r="H9" s="24" t="str">
        <f ca="1">IFERROR(__xludf.DUMMYFUNCTION("""COMPUTED_VALUE"""),"X")</f>
        <v>X</v>
      </c>
    </row>
    <row r="10" spans="1:26" ht="26.25" customHeight="1">
      <c r="A10" s="154">
        <f t="shared" ca="1" si="0"/>
        <v>7</v>
      </c>
      <c r="B10" s="31" t="str">
        <f ca="1">IFERROR(__xludf.DUMMYFUNCTION("""COMPUTED_VALUE"""),"Atomization and Sprays")</f>
        <v>Atomization and Sprays</v>
      </c>
      <c r="C10" s="19" t="str">
        <f ca="1">IFERROR(__xludf.DUMMYFUNCTION("""COMPUTED_VALUE"""),"Begell House, Inc.")</f>
        <v>Begell House, Inc.</v>
      </c>
      <c r="D10" s="20" t="str">
        <f ca="1">IFERROR(__xludf.DUMMYFUNCTION("""COMPUTED_VALUE"""),"1044-5110")</f>
        <v>1044-5110</v>
      </c>
      <c r="E10" s="39" t="str">
        <f ca="1">IFERROR(__xludf.DUMMYFUNCTION("""COMPUTED_VALUE"""),"2010, 2011")</f>
        <v>2010, 2011</v>
      </c>
      <c r="F10" s="206" t="str">
        <f ca="1">IFERROR(__xludf.DUMMYFUNCTION("""COMPUTED_VALUE"""),"SCIE")</f>
        <v>SCIE</v>
      </c>
      <c r="G10" s="116" t="str">
        <f ca="1">IFERROR(__xludf.DUMMYFUNCTION("""COMPUTED_VALUE"""),"http://www.riss.kr/link?id=S12866")</f>
        <v>http://www.riss.kr/link?id=S12866</v>
      </c>
      <c r="H10" s="24" t="str">
        <f ca="1">IFERROR(__xludf.DUMMYFUNCTION("""COMPUTED_VALUE"""),"X")</f>
        <v>X</v>
      </c>
    </row>
    <row r="11" spans="1:26" ht="26.25" customHeight="1">
      <c r="A11" s="154">
        <f t="shared" ca="1" si="0"/>
        <v>8</v>
      </c>
      <c r="B11" s="31" t="str">
        <f ca="1">IFERROR(__xludf.DUMMYFUNCTION("""COMPUTED_VALUE"""),"Biochemical Journal")</f>
        <v>Biochemical Journal</v>
      </c>
      <c r="C11" s="19" t="str">
        <f ca="1">IFERROR(__xludf.DUMMYFUNCTION("""COMPUTED_VALUE"""),"Portland Press Ltd.")</f>
        <v>Portland Press Ltd.</v>
      </c>
      <c r="D11" s="20" t="str">
        <f ca="1">IFERROR(__xludf.DUMMYFUNCTION("""COMPUTED_VALUE"""),"0264-6021")</f>
        <v>0264-6021</v>
      </c>
      <c r="E11" s="39" t="str">
        <f ca="1">IFERROR(__xludf.DUMMYFUNCTION("""COMPUTED_VALUE"""),"1969, 1980-2013")</f>
        <v>1969, 1980-2013</v>
      </c>
      <c r="F11" s="206" t="str">
        <f ca="1">IFERROR(__xludf.DUMMYFUNCTION("""COMPUTED_VALUE"""),"SCIE, SCOPUS")</f>
        <v>SCIE, SCOPUS</v>
      </c>
      <c r="G11" s="116" t="str">
        <f ca="1">IFERROR(__xludf.DUMMYFUNCTION("""COMPUTED_VALUE"""),"http://www.riss.kr/link?id=S410185")</f>
        <v>http://www.riss.kr/link?id=S410185</v>
      </c>
      <c r="H11" s="24" t="str">
        <f ca="1">IFERROR(__xludf.DUMMYFUNCTION("""COMPUTED_VALUE"""),"X")</f>
        <v>X</v>
      </c>
    </row>
    <row r="12" spans="1:26" ht="26.25" customHeight="1">
      <c r="A12" s="154">
        <f t="shared" ca="1" si="0"/>
        <v>9</v>
      </c>
      <c r="B12" s="31" t="str">
        <f ca="1">IFERROR(__xludf.DUMMYFUNCTION("""COMPUTED_VALUE"""),"Bioconjugate Chemistry")</f>
        <v>Bioconjugate Chemistry</v>
      </c>
      <c r="C12" s="19" t="str">
        <f ca="1">IFERROR(__xludf.DUMMYFUNCTION("""COMPUTED_VALUE"""),"American Chemical Society")</f>
        <v>American Chemical Society</v>
      </c>
      <c r="D12" s="20" t="str">
        <f ca="1">IFERROR(__xludf.DUMMYFUNCTION("""COMPUTED_VALUE"""),"1043-1802")</f>
        <v>1043-1802</v>
      </c>
      <c r="E12" s="39" t="str">
        <f ca="1">IFERROR(__xludf.DUMMYFUNCTION("""COMPUTED_VALUE"""),"2006-2013")</f>
        <v>2006-2013</v>
      </c>
      <c r="F12" s="206" t="str">
        <f ca="1">IFERROR(__xludf.DUMMYFUNCTION("""COMPUTED_VALUE"""),"SCIE, SCOPUS")</f>
        <v>SCIE, SCOPUS</v>
      </c>
      <c r="G12" s="116" t="str">
        <f ca="1">IFERROR(__xludf.DUMMYFUNCTION("""COMPUTED_VALUE"""),"http://www.riss.kr/link?id=S29005")</f>
        <v>http://www.riss.kr/link?id=S29005</v>
      </c>
      <c r="H12" s="24" t="str">
        <f ca="1">IFERROR(__xludf.DUMMYFUNCTION("""COMPUTED_VALUE"""),"X")</f>
        <v>X</v>
      </c>
    </row>
    <row r="13" spans="1:26" ht="26.25" customHeight="1">
      <c r="A13" s="154">
        <f t="shared" ca="1" si="0"/>
        <v>10</v>
      </c>
      <c r="B13" s="31" t="str">
        <f ca="1">IFERROR(__xludf.DUMMYFUNCTION("""COMPUTED_VALUE"""),"Biological &amp; Pharmaceutical Bulletin")</f>
        <v>Biological &amp; Pharmaceutical Bulletin</v>
      </c>
      <c r="C13" s="19" t="str">
        <f ca="1">IFERROR(__xludf.DUMMYFUNCTION("""COMPUTED_VALUE"""),"Pharmaceutical Society of Japan")</f>
        <v>Pharmaceutical Society of Japan</v>
      </c>
      <c r="D13" s="20" t="str">
        <f ca="1">IFERROR(__xludf.DUMMYFUNCTION("""COMPUTED_VALUE"""),"0918-6158")</f>
        <v>0918-6158</v>
      </c>
      <c r="E13" s="39" t="str">
        <f ca="1">IFERROR(__xludf.DUMMYFUNCTION("""COMPUTED_VALUE"""),"1993-2021")</f>
        <v>1993-2021</v>
      </c>
      <c r="F13" s="206" t="str">
        <f ca="1">IFERROR(__xludf.DUMMYFUNCTION("""COMPUTED_VALUE"""),"SCIE, SCOPUS")</f>
        <v>SCIE, SCOPUS</v>
      </c>
      <c r="G13" s="116" t="str">
        <f ca="1">IFERROR(__xludf.DUMMYFUNCTION("""COMPUTED_VALUE"""),"http://www.riss.kr/link?id=S85045")</f>
        <v>http://www.riss.kr/link?id=S85045</v>
      </c>
      <c r="H13" s="24" t="str">
        <f ca="1">IFERROR(__xludf.DUMMYFUNCTION("""COMPUTED_VALUE"""),"O")</f>
        <v>O</v>
      </c>
    </row>
    <row r="14" spans="1:26" ht="26.25" customHeight="1">
      <c r="A14" s="154">
        <f t="shared" ca="1" si="0"/>
        <v>11</v>
      </c>
      <c r="B14" s="31" t="str">
        <f ca="1">IFERROR(__xludf.DUMMYFUNCTION("""COMPUTED_VALUE"""),"Bulletin of the Chemical Society of Japan")</f>
        <v>Bulletin of the Chemical Society of Japan</v>
      </c>
      <c r="C14" s="19" t="str">
        <f ca="1">IFERROR(__xludf.DUMMYFUNCTION("""COMPUTED_VALUE"""),"Chemical Society of Japan")</f>
        <v>Chemical Society of Japan</v>
      </c>
      <c r="D14" s="20" t="str">
        <f ca="1">IFERROR(__xludf.DUMMYFUNCTION("""COMPUTED_VALUE"""),"0009-2673")</f>
        <v>0009-2673</v>
      </c>
      <c r="E14" s="39" t="str">
        <f ca="1">IFERROR(__xludf.DUMMYFUNCTION("""COMPUTED_VALUE"""),"1957-1963, 1971-1975, 1984-2018")</f>
        <v>1957-1963, 1971-1975, 1984-2018</v>
      </c>
      <c r="F14" s="206" t="str">
        <f ca="1">IFERROR(__xludf.DUMMYFUNCTION("""COMPUTED_VALUE"""),"SCIE, SCOPUS")</f>
        <v>SCIE, SCOPUS</v>
      </c>
      <c r="G14" s="116" t="str">
        <f ca="1">IFERROR(__xludf.DUMMYFUNCTION("""COMPUTED_VALUE"""),"http://www.riss.kr/link?id=S17152")</f>
        <v>http://www.riss.kr/link?id=S17152</v>
      </c>
      <c r="H14" s="24" t="str">
        <f ca="1">IFERROR(__xludf.DUMMYFUNCTION("""COMPUTED_VALUE"""),"X")</f>
        <v>X</v>
      </c>
    </row>
    <row r="15" spans="1:26" ht="26.25" customHeight="1">
      <c r="A15" s="154">
        <f t="shared" ca="1" si="0"/>
        <v>12</v>
      </c>
      <c r="B15" s="19" t="str">
        <f ca="1">IFERROR(__xludf.DUMMYFUNCTION("""COMPUTED_VALUE"""),"Bunseki Kagaku")</f>
        <v>Bunseki Kagaku</v>
      </c>
      <c r="C15" s="19" t="str">
        <f ca="1">IFERROR(__xludf.DUMMYFUNCTION("""COMPUTED_VALUE"""),"Japan Society for Analytical Chemistry")</f>
        <v>Japan Society for Analytical Chemistry</v>
      </c>
      <c r="D15" s="20" t="str">
        <f ca="1">IFERROR(__xludf.DUMMYFUNCTION("""COMPUTED_VALUE"""),"0525-1931")</f>
        <v>0525-1931</v>
      </c>
      <c r="E15" s="39" t="str">
        <f ca="1">IFERROR(__xludf.DUMMYFUNCTION("""COMPUTED_VALUE"""),"1957, 1962-1964, 1979-2021")</f>
        <v>1957, 1962-1964, 1979-2021</v>
      </c>
      <c r="F15" s="206" t="str">
        <f ca="1">IFERROR(__xludf.DUMMYFUNCTION("""COMPUTED_VALUE"""),"SCIE, SCOPUS")</f>
        <v>SCIE, SCOPUS</v>
      </c>
      <c r="G15" s="116" t="str">
        <f ca="1">IFERROR(__xludf.DUMMYFUNCTION("""COMPUTED_VALUE"""),"http://www.riss.kr/link?id=S417040")</f>
        <v>http://www.riss.kr/link?id=S417040</v>
      </c>
      <c r="H15" s="24" t="str">
        <f ca="1">IFERROR(__xludf.DUMMYFUNCTION("""COMPUTED_VALUE"""),"O")</f>
        <v>O</v>
      </c>
    </row>
    <row r="16" spans="1:26" ht="26.25" customHeight="1">
      <c r="A16" s="154">
        <f t="shared" ca="1" si="0"/>
        <v>13</v>
      </c>
      <c r="B16" s="31" t="str">
        <f ca="1">IFERROR(__xludf.DUMMYFUNCTION("""COMPUTED_VALUE"""),"Canadian Journal of Chemistry")</f>
        <v>Canadian Journal of Chemistry</v>
      </c>
      <c r="C16" s="19" t="str">
        <f ca="1">IFERROR(__xludf.DUMMYFUNCTION("""COMPUTED_VALUE"""),"Canadian Science Publishing")</f>
        <v>Canadian Science Publishing</v>
      </c>
      <c r="D16" s="20" t="str">
        <f ca="1">IFERROR(__xludf.DUMMYFUNCTION("""COMPUTED_VALUE"""),"0008-4042")</f>
        <v>0008-4042</v>
      </c>
      <c r="E16" s="39" t="str">
        <f ca="1">IFERROR(__xludf.DUMMYFUNCTION("""COMPUTED_VALUE"""),"1980-2013")</f>
        <v>1980-2013</v>
      </c>
      <c r="F16" s="206" t="str">
        <f ca="1">IFERROR(__xludf.DUMMYFUNCTION("""COMPUTED_VALUE"""),"SCIE, SCOPUS")</f>
        <v>SCIE, SCOPUS</v>
      </c>
      <c r="G16" s="116" t="str">
        <f ca="1">IFERROR(__xludf.DUMMYFUNCTION("""COMPUTED_VALUE"""),"http://www.riss.kr/link?id=S17150")</f>
        <v>http://www.riss.kr/link?id=S17150</v>
      </c>
      <c r="H16" s="24" t="str">
        <f ca="1">IFERROR(__xludf.DUMMYFUNCTION("""COMPUTED_VALUE"""),"X")</f>
        <v>X</v>
      </c>
    </row>
    <row r="17" spans="1:8" ht="26.25" customHeight="1">
      <c r="A17" s="154">
        <f t="shared" ca="1" si="0"/>
        <v>14</v>
      </c>
      <c r="B17" s="19" t="str">
        <f ca="1">IFERROR(__xludf.DUMMYFUNCTION("""COMPUTED_VALUE"""),"Cellular Polymers")</f>
        <v>Cellular Polymers</v>
      </c>
      <c r="C17" s="19" t="str">
        <f ca="1">IFERROR(__xludf.DUMMYFUNCTION("""COMPUTED_VALUE"""),"Sage Publications Ltd.")</f>
        <v>Sage Publications Ltd.</v>
      </c>
      <c r="D17" s="20" t="str">
        <f ca="1">IFERROR(__xludf.DUMMYFUNCTION("""COMPUTED_VALUE"""),"0262-4893")</f>
        <v>0262-4893</v>
      </c>
      <c r="E17" s="39" t="str">
        <f ca="1">IFERROR(__xludf.DUMMYFUNCTION("""COMPUTED_VALUE"""),"2010-2021")</f>
        <v>2010-2021</v>
      </c>
      <c r="F17" s="206" t="str">
        <f ca="1">IFERROR(__xludf.DUMMYFUNCTION("""COMPUTED_VALUE"""),"SCIE, SCOPUS")</f>
        <v>SCIE, SCOPUS</v>
      </c>
      <c r="G17" s="116" t="str">
        <f ca="1">IFERROR(__xludf.DUMMYFUNCTION("""COMPUTED_VALUE"""),"http://www.riss.kr/link?id=S409678")</f>
        <v>http://www.riss.kr/link?id=S409678</v>
      </c>
      <c r="H17" s="24" t="str">
        <f ca="1">IFERROR(__xludf.DUMMYFUNCTION("""COMPUTED_VALUE"""),"O")</f>
        <v>O</v>
      </c>
    </row>
    <row r="18" spans="1:8" ht="26.25" customHeight="1">
      <c r="A18" s="154">
        <f t="shared" ca="1" si="0"/>
        <v>15</v>
      </c>
      <c r="B18" s="31" t="str">
        <f ca="1">IFERROR(__xludf.DUMMYFUNCTION("""COMPUTED_VALUE"""),"Cellulose Chemistry and Technology")</f>
        <v>Cellulose Chemistry and Technology</v>
      </c>
      <c r="C18" s="19" t="str">
        <f ca="1">IFERROR(__xludf.DUMMYFUNCTION("""COMPUTED_VALUE"""),"Editura Academiei Romane")</f>
        <v>Editura Academiei Romane</v>
      </c>
      <c r="D18" s="20" t="str">
        <f ca="1">IFERROR(__xludf.DUMMYFUNCTION("""COMPUTED_VALUE"""),"0576-9787")</f>
        <v>0576-9787</v>
      </c>
      <c r="E18" s="39" t="str">
        <f ca="1">IFERROR(__xludf.DUMMYFUNCTION("""COMPUTED_VALUE"""),"2010-2019")</f>
        <v>2010-2019</v>
      </c>
      <c r="F18" s="206" t="str">
        <f ca="1">IFERROR(__xludf.DUMMYFUNCTION("""COMPUTED_VALUE"""),"SCIE, SCOPUS")</f>
        <v>SCIE, SCOPUS</v>
      </c>
      <c r="G18" s="116" t="str">
        <f ca="1">IFERROR(__xludf.DUMMYFUNCTION("""COMPUTED_VALUE"""),"http://www.riss.kr/link?id=S414399")</f>
        <v>http://www.riss.kr/link?id=S414399</v>
      </c>
      <c r="H18" s="24" t="str">
        <f ca="1">IFERROR(__xludf.DUMMYFUNCTION("""COMPUTED_VALUE"""),"X")</f>
        <v>X</v>
      </c>
    </row>
    <row r="19" spans="1:8" ht="26.25" customHeight="1">
      <c r="A19" s="154">
        <f t="shared" ca="1" si="0"/>
        <v>16</v>
      </c>
      <c r="B19" s="31" t="str">
        <f ca="1">IFERROR(__xludf.DUMMYFUNCTION("""COMPUTED_VALUE"""),"Chemical &amp; Pharmaceutical Bulletin")</f>
        <v>Chemical &amp; Pharmaceutical Bulletin</v>
      </c>
      <c r="C19" s="19" t="str">
        <f ca="1">IFERROR(__xludf.DUMMYFUNCTION("""COMPUTED_VALUE"""),"Pharmaceutical Society of Japan")</f>
        <v>Pharmaceutical Society of Japan</v>
      </c>
      <c r="D19" s="20" t="str">
        <f ca="1">IFERROR(__xludf.DUMMYFUNCTION("""COMPUTED_VALUE"""),"0009-2363")</f>
        <v>0009-2363</v>
      </c>
      <c r="E19" s="39" t="str">
        <f ca="1">IFERROR(__xludf.DUMMYFUNCTION("""COMPUTED_VALUE"""),"1956-1958, 1960-1963, 1965-1969, 1976-1980, 1982-2021")</f>
        <v>1956-1958, 1960-1963, 1965-1969, 1976-1980, 1982-2021</v>
      </c>
      <c r="F19" s="206" t="str">
        <f ca="1">IFERROR(__xludf.DUMMYFUNCTION("""COMPUTED_VALUE"""),"SCIE, SCOPUS")</f>
        <v>SCIE, SCOPUS</v>
      </c>
      <c r="G19" s="116" t="str">
        <f ca="1">IFERROR(__xludf.DUMMYFUNCTION("""COMPUTED_VALUE"""),"http://www.riss.kr/link?id=S16440")</f>
        <v>http://www.riss.kr/link?id=S16440</v>
      </c>
      <c r="H19" s="24" t="str">
        <f ca="1">IFERROR(__xludf.DUMMYFUNCTION("""COMPUTED_VALUE"""),"O")</f>
        <v>O</v>
      </c>
    </row>
    <row r="20" spans="1:8" ht="26.25" customHeight="1">
      <c r="A20" s="154">
        <f t="shared" ca="1" si="0"/>
        <v>17</v>
      </c>
      <c r="B20" s="19" t="str">
        <f ca="1">IFERROR(__xludf.DUMMYFUNCTION("""COMPUTED_VALUE"""),"Chemical and Engineering News")</f>
        <v>Chemical and Engineering News</v>
      </c>
      <c r="C20" s="19" t="str">
        <f ca="1">IFERROR(__xludf.DUMMYFUNCTION("""COMPUTED_VALUE"""),"American Chemical Society")</f>
        <v>American Chemical Society</v>
      </c>
      <c r="D20" s="20" t="str">
        <f ca="1">IFERROR(__xludf.DUMMYFUNCTION("""COMPUTED_VALUE"""),"0009-2347")</f>
        <v>0009-2347</v>
      </c>
      <c r="E20" s="39" t="str">
        <f ca="1">IFERROR(__xludf.DUMMYFUNCTION("""COMPUTED_VALUE"""),"1955-1962, 1973, 1975-2021")</f>
        <v>1955-1962, 1973, 1975-2021</v>
      </c>
      <c r="F20" s="206" t="str">
        <f ca="1">IFERROR(__xludf.DUMMYFUNCTION("""COMPUTED_VALUE"""),"SCIE")</f>
        <v>SCIE</v>
      </c>
      <c r="G20" s="116" t="str">
        <f ca="1">IFERROR(__xludf.DUMMYFUNCTION("""COMPUTED_VALUE"""),"http://www.riss.kr/link?id=S17146")</f>
        <v>http://www.riss.kr/link?id=S17146</v>
      </c>
      <c r="H20" s="24" t="str">
        <f ca="1">IFERROR(__xludf.DUMMYFUNCTION("""COMPUTED_VALUE"""),"O")</f>
        <v>O</v>
      </c>
    </row>
    <row r="21" spans="1:8" ht="26.25" customHeight="1">
      <c r="A21" s="154">
        <f t="shared" ca="1" si="0"/>
        <v>18</v>
      </c>
      <c r="B21" s="31" t="str">
        <f ca="1">IFERROR(__xludf.DUMMYFUNCTION("""COMPUTED_VALUE"""),"Chemical Communications")</f>
        <v>Chemical Communications</v>
      </c>
      <c r="C21" s="19" t="str">
        <f ca="1">IFERROR(__xludf.DUMMYFUNCTION("""COMPUTED_VALUE"""),"Royal Society of Chemistry")</f>
        <v>Royal Society of Chemistry</v>
      </c>
      <c r="D21" s="20" t="str">
        <f ca="1">IFERROR(__xludf.DUMMYFUNCTION("""COMPUTED_VALUE"""),"1359-7345")</f>
        <v>1359-7345</v>
      </c>
      <c r="E21" s="39" t="str">
        <f ca="1">IFERROR(__xludf.DUMMYFUNCTION("""COMPUTED_VALUE"""),"1996-2013")</f>
        <v>1996-2013</v>
      </c>
      <c r="F21" s="206" t="str">
        <f ca="1">IFERROR(__xludf.DUMMYFUNCTION("""COMPUTED_VALUE"""),"SCIE, SCOPUS")</f>
        <v>SCIE, SCOPUS</v>
      </c>
      <c r="G21" s="116" t="str">
        <f ca="1">IFERROR(__xludf.DUMMYFUNCTION("""COMPUTED_VALUE"""),"http://www.riss.kr/link?id=S5004")</f>
        <v>http://www.riss.kr/link?id=S5004</v>
      </c>
      <c r="H21" s="24" t="str">
        <f ca="1">IFERROR(__xludf.DUMMYFUNCTION("""COMPUTED_VALUE"""),"X")</f>
        <v>X</v>
      </c>
    </row>
    <row r="22" spans="1:8" ht="26.25" customHeight="1">
      <c r="A22" s="154">
        <f t="shared" ca="1" si="0"/>
        <v>19</v>
      </c>
      <c r="B22" s="19" t="str">
        <f ca="1">IFERROR(__xludf.DUMMYFUNCTION("""COMPUTED_VALUE"""),"Chemical Engineering Progress")</f>
        <v>Chemical Engineering Progress</v>
      </c>
      <c r="C22" s="19" t="str">
        <f ca="1">IFERROR(__xludf.DUMMYFUNCTION("""COMPUTED_VALUE"""),"American Institute of Chemical Engineers")</f>
        <v>American Institute of Chemical Engineers</v>
      </c>
      <c r="D22" s="20" t="str">
        <f ca="1">IFERROR(__xludf.DUMMYFUNCTION("""COMPUTED_VALUE"""),"0360-7275")</f>
        <v>0360-7275</v>
      </c>
      <c r="E22" s="39" t="str">
        <f ca="1">IFERROR(__xludf.DUMMYFUNCTION("""COMPUTED_VALUE"""),"1957-1959, 1975-2021")</f>
        <v>1957-1959, 1975-2021</v>
      </c>
      <c r="F22" s="206" t="str">
        <f ca="1">IFERROR(__xludf.DUMMYFUNCTION("""COMPUTED_VALUE"""),"SCIE")</f>
        <v>SCIE</v>
      </c>
      <c r="G22" s="116" t="str">
        <f ca="1">IFERROR(__xludf.DUMMYFUNCTION("""COMPUTED_VALUE"""),"http://www.riss.kr/link?id=S15648")</f>
        <v>http://www.riss.kr/link?id=S15648</v>
      </c>
      <c r="H22" s="24" t="str">
        <f ca="1">IFERROR(__xludf.DUMMYFUNCTION("""COMPUTED_VALUE"""),"O")</f>
        <v>O</v>
      </c>
    </row>
    <row r="23" spans="1:8" ht="26.25" customHeight="1">
      <c r="A23" s="154">
        <f t="shared" ca="1" si="0"/>
        <v>20</v>
      </c>
      <c r="B23" s="19" t="str">
        <f ca="1">IFERROR(__xludf.DUMMYFUNCTION("""COMPUTED_VALUE"""),"Chemical Engineering Research &amp; Design")</f>
        <v>Chemical Engineering Research &amp; Design</v>
      </c>
      <c r="C23" s="19" t="str">
        <f ca="1">IFERROR(__xludf.DUMMYFUNCTION("""COMPUTED_VALUE"""),"Elsevier Ltd")</f>
        <v>Elsevier Ltd</v>
      </c>
      <c r="D23" s="20" t="str">
        <f ca="1">IFERROR(__xludf.DUMMYFUNCTION("""COMPUTED_VALUE"""),"0263-8762")</f>
        <v>0263-8762</v>
      </c>
      <c r="E23" s="39" t="str">
        <f ca="1">IFERROR(__xludf.DUMMYFUNCTION("""COMPUTED_VALUE"""),"1984-1994, 1996-2021")</f>
        <v>1984-1994, 1996-2021</v>
      </c>
      <c r="F23" s="206" t="str">
        <f ca="1">IFERROR(__xludf.DUMMYFUNCTION("""COMPUTED_VALUE"""),"SCIE, SCOPUS")</f>
        <v>SCIE, SCOPUS</v>
      </c>
      <c r="G23" s="116" t="str">
        <f ca="1">IFERROR(__xludf.DUMMYFUNCTION("""COMPUTED_VALUE"""),"http://www.riss.kr/link?id=S15647")</f>
        <v>http://www.riss.kr/link?id=S15647</v>
      </c>
      <c r="H23" s="24" t="str">
        <f ca="1">IFERROR(__xludf.DUMMYFUNCTION("""COMPUTED_VALUE"""),"O")</f>
        <v>O</v>
      </c>
    </row>
    <row r="24" spans="1:8" ht="26.25" customHeight="1">
      <c r="A24" s="154">
        <f t="shared" ca="1" si="0"/>
        <v>21</v>
      </c>
      <c r="B24" s="19" t="str">
        <f ca="1">IFERROR(__xludf.DUMMYFUNCTION("""COMPUTED_VALUE"""),"Chemical Engineering World")</f>
        <v>Chemical Engineering World</v>
      </c>
      <c r="C24" s="19" t="str">
        <f ca="1">IFERROR(__xludf.DUMMYFUNCTION("""COMPUTED_VALUE"""),"Jasubhai Media Pvt. Ltd.")</f>
        <v>Jasubhai Media Pvt. Ltd.</v>
      </c>
      <c r="D24" s="20" t="str">
        <f ca="1">IFERROR(__xludf.DUMMYFUNCTION("""COMPUTED_VALUE"""),"0009-2517")</f>
        <v>0009-2517</v>
      </c>
      <c r="E24" s="39" t="str">
        <f ca="1">IFERROR(__xludf.DUMMYFUNCTION("""COMPUTED_VALUE"""),"2011-2021")</f>
        <v>2011-2021</v>
      </c>
      <c r="F24" s="206" t="str">
        <f ca="1">IFERROR(__xludf.DUMMYFUNCTION("""COMPUTED_VALUE"""),"-")</f>
        <v>-</v>
      </c>
      <c r="G24" s="116" t="str">
        <f ca="1">IFERROR(__xludf.DUMMYFUNCTION("""COMPUTED_VALUE"""),"http://www.riss.kr/link?id=S400897")</f>
        <v>http://www.riss.kr/link?id=S400897</v>
      </c>
      <c r="H24" s="24" t="str">
        <f ca="1">IFERROR(__xludf.DUMMYFUNCTION("""COMPUTED_VALUE"""),"O")</f>
        <v>O</v>
      </c>
    </row>
    <row r="25" spans="1:8" ht="26.25" customHeight="1">
      <c r="A25" s="154">
        <f t="shared" ca="1" si="0"/>
        <v>22</v>
      </c>
      <c r="B25" s="19" t="str">
        <f ca="1">IFERROR(__xludf.DUMMYFUNCTION("""COMPUTED_VALUE"""),"Chemical Enginnering")</f>
        <v>Chemical Enginnering</v>
      </c>
      <c r="C25" s="19" t="str">
        <f ca="1">IFERROR(__xludf.DUMMYFUNCTION("""COMPUTED_VALUE"""),"化學工業社")</f>
        <v>化學工業社</v>
      </c>
      <c r="D25" s="20" t="str">
        <f ca="1">IFERROR(__xludf.DUMMYFUNCTION("""COMPUTED_VALUE"""),"0387-1037")</f>
        <v>0387-1037</v>
      </c>
      <c r="E25" s="39" t="str">
        <f ca="1">IFERROR(__xludf.DUMMYFUNCTION("""COMPUTED_VALUE"""),"1981-2021")</f>
        <v>1981-2021</v>
      </c>
      <c r="F25" s="206" t="str">
        <f ca="1">IFERROR(__xludf.DUMMYFUNCTION("""COMPUTED_VALUE"""),"-")</f>
        <v>-</v>
      </c>
      <c r="G25" s="116" t="str">
        <f ca="1">IFERROR(__xludf.DUMMYFUNCTION("""COMPUTED_VALUE"""),"http://www.riss.kr/link?id=S60957")</f>
        <v>http://www.riss.kr/link?id=S60957</v>
      </c>
      <c r="H25" s="24" t="str">
        <f ca="1">IFERROR(__xludf.DUMMYFUNCTION("""COMPUTED_VALUE"""),"O")</f>
        <v>O</v>
      </c>
    </row>
    <row r="26" spans="1:8" ht="26.25" customHeight="1">
      <c r="A26" s="154">
        <f t="shared" ca="1" si="0"/>
        <v>23</v>
      </c>
      <c r="B26" s="31" t="str">
        <f ca="1">IFERROR(__xludf.DUMMYFUNCTION("""COMPUTED_VALUE"""),"Chemistry International")</f>
        <v>Chemistry International</v>
      </c>
      <c r="C26" s="19" t="str">
        <f ca="1">IFERROR(__xludf.DUMMYFUNCTION("""COMPUTED_VALUE"""),"Blackwell scientific Publications")</f>
        <v>Blackwell scientific Publications</v>
      </c>
      <c r="D26" s="20" t="str">
        <f ca="1">IFERROR(__xludf.DUMMYFUNCTION("""COMPUTED_VALUE"""),"0193-6484")</f>
        <v>0193-6484</v>
      </c>
      <c r="E26" s="39" t="str">
        <f ca="1">IFERROR(__xludf.DUMMYFUNCTION("""COMPUTED_VALUE"""),"2003-2014")</f>
        <v>2003-2014</v>
      </c>
      <c r="F26" s="206" t="str">
        <f ca="1">IFERROR(__xludf.DUMMYFUNCTION("""COMPUTED_VALUE"""),"-")</f>
        <v>-</v>
      </c>
      <c r="G26" s="116" t="str">
        <f ca="1">IFERROR(__xludf.DUMMYFUNCTION("""COMPUTED_VALUE"""),"http://www.riss.kr/link?id=S57569")</f>
        <v>http://www.riss.kr/link?id=S57569</v>
      </c>
      <c r="H26" s="24" t="str">
        <f ca="1">IFERROR(__xludf.DUMMYFUNCTION("""COMPUTED_VALUE"""),"X")</f>
        <v>X</v>
      </c>
    </row>
    <row r="27" spans="1:8" ht="26.25" customHeight="1">
      <c r="A27" s="154">
        <f t="shared" ca="1" si="0"/>
        <v>24</v>
      </c>
      <c r="B27" s="31" t="str">
        <f ca="1">IFERROR(__xludf.DUMMYFUNCTION("""COMPUTED_VALUE"""),"Chemistry Letters")</f>
        <v>Chemistry Letters</v>
      </c>
      <c r="C27" s="19" t="str">
        <f ca="1">IFERROR(__xludf.DUMMYFUNCTION("""COMPUTED_VALUE"""),"Chemical Society of Japan")</f>
        <v>Chemical Society of Japan</v>
      </c>
      <c r="D27" s="20" t="str">
        <f ca="1">IFERROR(__xludf.DUMMYFUNCTION("""COMPUTED_VALUE"""),"0366-7022")</f>
        <v>0366-7022</v>
      </c>
      <c r="E27" s="39" t="str">
        <f ca="1">IFERROR(__xludf.DUMMYFUNCTION("""COMPUTED_VALUE"""),"1984-2018")</f>
        <v>1984-2018</v>
      </c>
      <c r="F27" s="206" t="str">
        <f ca="1">IFERROR(__xludf.DUMMYFUNCTION("""COMPUTED_VALUE"""),"SCIE, SCOPUS")</f>
        <v>SCIE, SCOPUS</v>
      </c>
      <c r="G27" s="116" t="str">
        <f ca="1">IFERROR(__xludf.DUMMYFUNCTION("""COMPUTED_VALUE"""),"http://www.riss.kr/link?id=S17133")</f>
        <v>http://www.riss.kr/link?id=S17133</v>
      </c>
      <c r="H27" s="24" t="str">
        <f ca="1">IFERROR(__xludf.DUMMYFUNCTION("""COMPUTED_VALUE"""),"X")</f>
        <v>X</v>
      </c>
    </row>
    <row r="28" spans="1:8" ht="26.25" customHeight="1">
      <c r="A28" s="154">
        <f t="shared" ca="1" si="0"/>
        <v>25</v>
      </c>
      <c r="B28" s="31" t="str">
        <f ca="1">IFERROR(__xludf.DUMMYFUNCTION("""COMPUTED_VALUE"""),"Colloid and Polymer science")</f>
        <v>Colloid and Polymer science</v>
      </c>
      <c r="C28" s="19" t="str">
        <f ca="1">IFERROR(__xludf.DUMMYFUNCTION("""COMPUTED_VALUE"""),"Springer")</f>
        <v>Springer</v>
      </c>
      <c r="D28" s="20" t="str">
        <f ca="1">IFERROR(__xludf.DUMMYFUNCTION("""COMPUTED_VALUE"""),"0303-402X")</f>
        <v>0303-402X</v>
      </c>
      <c r="E28" s="39" t="str">
        <f ca="1">IFERROR(__xludf.DUMMYFUNCTION("""COMPUTED_VALUE"""),"1988-2014")</f>
        <v>1988-2014</v>
      </c>
      <c r="F28" s="206" t="str">
        <f ca="1">IFERROR(__xludf.DUMMYFUNCTION("""COMPUTED_VALUE"""),"SCIE, SCOPUS")</f>
        <v>SCIE, SCOPUS</v>
      </c>
      <c r="G28" s="116" t="str">
        <f ca="1">IFERROR(__xludf.DUMMYFUNCTION("""COMPUTED_VALUE"""),"http://www.riss.kr/link?id=S17067")</f>
        <v>http://www.riss.kr/link?id=S17067</v>
      </c>
      <c r="H28" s="24" t="str">
        <f ca="1">IFERROR(__xludf.DUMMYFUNCTION("""COMPUTED_VALUE"""),"X")</f>
        <v>X</v>
      </c>
    </row>
    <row r="29" spans="1:8" ht="26.25" customHeight="1">
      <c r="A29" s="154">
        <f t="shared" ca="1" si="0"/>
        <v>26</v>
      </c>
      <c r="B29" s="31" t="str">
        <f ca="1">IFERROR(__xludf.DUMMYFUNCTION("""COMPUTED_VALUE"""),"Combustion science and Technology")</f>
        <v>Combustion science and Technology</v>
      </c>
      <c r="C29" s="19" t="str">
        <f ca="1">IFERROR(__xludf.DUMMYFUNCTION("""COMPUTED_VALUE"""),"Taylor &amp; Francis")</f>
        <v>Taylor &amp; Francis</v>
      </c>
      <c r="D29" s="20" t="str">
        <f ca="1">IFERROR(__xludf.DUMMYFUNCTION("""COMPUTED_VALUE"""),"0010-2202")</f>
        <v>0010-2202</v>
      </c>
      <c r="E29" s="39">
        <f ca="1">IFERROR(__xludf.DUMMYFUNCTION("""COMPUTED_VALUE"""),2010)</f>
        <v>2010</v>
      </c>
      <c r="F29" s="206" t="str">
        <f ca="1">IFERROR(__xludf.DUMMYFUNCTION("""COMPUTED_VALUE"""),"SCIE, SCOPUS")</f>
        <v>SCIE, SCOPUS</v>
      </c>
      <c r="G29" s="116" t="str">
        <f ca="1">IFERROR(__xludf.DUMMYFUNCTION("""COMPUTED_VALUE"""),"http://www.riss.kr/link?id=S15636")</f>
        <v>http://www.riss.kr/link?id=S15636</v>
      </c>
      <c r="H29" s="24" t="str">
        <f ca="1">IFERROR(__xludf.DUMMYFUNCTION("""COMPUTED_VALUE"""),"X")</f>
        <v>X</v>
      </c>
    </row>
    <row r="30" spans="1:8" ht="26.25" customHeight="1">
      <c r="A30" s="154">
        <f t="shared" ca="1" si="0"/>
        <v>27</v>
      </c>
      <c r="B30" s="31" t="str">
        <f ca="1">IFERROR(__xludf.DUMMYFUNCTION("""COMPUTED_VALUE"""),"Dalton Transactions")</f>
        <v>Dalton Transactions</v>
      </c>
      <c r="C30" s="19" t="str">
        <f ca="1">IFERROR(__xludf.DUMMYFUNCTION("""COMPUTED_VALUE"""),"Royal Society of Chemistry")</f>
        <v>Royal Society of Chemistry</v>
      </c>
      <c r="D30" s="20" t="str">
        <f ca="1">IFERROR(__xludf.DUMMYFUNCTION("""COMPUTED_VALUE"""),"1477-9226")</f>
        <v>1477-9226</v>
      </c>
      <c r="E30" s="39" t="str">
        <f ca="1">IFERROR(__xludf.DUMMYFUNCTION("""COMPUTED_VALUE"""),"1976-2013")</f>
        <v>1976-2013</v>
      </c>
      <c r="F30" s="206" t="str">
        <f ca="1">IFERROR(__xludf.DUMMYFUNCTION("""COMPUTED_VALUE"""),"SCIE, SCOPUS")</f>
        <v>SCIE, SCOPUS</v>
      </c>
      <c r="G30" s="116" t="str">
        <f ca="1">IFERROR(__xludf.DUMMYFUNCTION("""COMPUTED_VALUE"""),"http://www.riss.kr/link?id=S17074")</f>
        <v>http://www.riss.kr/link?id=S17074</v>
      </c>
      <c r="H30" s="24" t="str">
        <f ca="1">IFERROR(__xludf.DUMMYFUNCTION("""COMPUTED_VALUE"""),"X")</f>
        <v>X</v>
      </c>
    </row>
    <row r="31" spans="1:8" ht="26.25" customHeight="1">
      <c r="A31" s="154">
        <f t="shared" ca="1" si="0"/>
        <v>28</v>
      </c>
      <c r="B31" s="31" t="str">
        <f ca="1">IFERROR(__xludf.DUMMYFUNCTION("""COMPUTED_VALUE"""),"ECS Solid State Letters")</f>
        <v>ECS Solid State Letters</v>
      </c>
      <c r="C31" s="19" t="str">
        <f ca="1">IFERROR(__xludf.DUMMYFUNCTION("""COMPUTED_VALUE"""),"Electrochemical Society, Inc.")</f>
        <v>Electrochemical Society, Inc.</v>
      </c>
      <c r="D31" s="20" t="str">
        <f ca="1">IFERROR(__xludf.DUMMYFUNCTION("""COMPUTED_VALUE"""),"2162-8742")</f>
        <v>2162-8742</v>
      </c>
      <c r="E31" s="39" t="str">
        <f ca="1">IFERROR(__xludf.DUMMYFUNCTION("""COMPUTED_VALUE"""),"2012-2014")</f>
        <v>2012-2014</v>
      </c>
      <c r="F31" s="206" t="str">
        <f ca="1">IFERROR(__xludf.DUMMYFUNCTION("""COMPUTED_VALUE"""),"-")</f>
        <v>-</v>
      </c>
      <c r="G31" s="116" t="str">
        <f ca="1">IFERROR(__xludf.DUMMYFUNCTION("""COMPUTED_VALUE"""),"http://www.riss.kr/link?id=S143666")</f>
        <v>http://www.riss.kr/link?id=S143666</v>
      </c>
      <c r="H31" s="24" t="str">
        <f ca="1">IFERROR(__xludf.DUMMYFUNCTION("""COMPUTED_VALUE"""),"X")</f>
        <v>X</v>
      </c>
    </row>
    <row r="32" spans="1:8" ht="26.25" customHeight="1">
      <c r="A32" s="154">
        <f t="shared" ca="1" si="0"/>
        <v>29</v>
      </c>
      <c r="B32" s="31" t="str">
        <f ca="1">IFERROR(__xludf.DUMMYFUNCTION("""COMPUTED_VALUE"""),"Elements")</f>
        <v>Elements</v>
      </c>
      <c r="C32" s="19" t="str">
        <f ca="1">IFERROR(__xludf.DUMMYFUNCTION("""COMPUTED_VALUE"""),"Mineralogical Association of Canada")</f>
        <v>Mineralogical Association of Canada</v>
      </c>
      <c r="D32" s="20" t="str">
        <f ca="1">IFERROR(__xludf.DUMMYFUNCTION("""COMPUTED_VALUE"""),"1811-5209")</f>
        <v>1811-5209</v>
      </c>
      <c r="E32" s="39" t="str">
        <f ca="1">IFERROR(__xludf.DUMMYFUNCTION("""COMPUTED_VALUE"""),"2006-2015")</f>
        <v>2006-2015</v>
      </c>
      <c r="F32" s="206" t="str">
        <f ca="1">IFERROR(__xludf.DUMMYFUNCTION("""COMPUTED_VALUE"""),"SCIE")</f>
        <v>SCIE</v>
      </c>
      <c r="G32" s="116" t="str">
        <f ca="1">IFERROR(__xludf.DUMMYFUNCTION("""COMPUTED_VALUE"""),"http://www.riss.kr/link?id=S31000325")</f>
        <v>http://www.riss.kr/link?id=S31000325</v>
      </c>
      <c r="H32" s="24" t="str">
        <f ca="1">IFERROR(__xludf.DUMMYFUNCTION("""COMPUTED_VALUE"""),"X")</f>
        <v>X</v>
      </c>
    </row>
    <row r="33" spans="1:8" ht="26.25" customHeight="1">
      <c r="A33" s="154">
        <f t="shared" ca="1" si="0"/>
        <v>30</v>
      </c>
      <c r="B33" s="19" t="str">
        <f ca="1">IFERROR(__xludf.DUMMYFUNCTION("""COMPUTED_VALUE"""),"European Journal of Mass Spectrometry")</f>
        <v>European Journal of Mass Spectrometry</v>
      </c>
      <c r="C33" s="19" t="str">
        <f ca="1">IFERROR(__xludf.DUMMYFUNCTION("""COMPUTED_VALUE"""),"Sage Publications Ltd.")</f>
        <v>Sage Publications Ltd.</v>
      </c>
      <c r="D33" s="20" t="str">
        <f ca="1">IFERROR(__xludf.DUMMYFUNCTION("""COMPUTED_VALUE"""),"1469-0667")</f>
        <v>1469-0667</v>
      </c>
      <c r="E33" s="39" t="str">
        <f ca="1">IFERROR(__xludf.DUMMYFUNCTION("""COMPUTED_VALUE"""),"2010-2021")</f>
        <v>2010-2021</v>
      </c>
      <c r="F33" s="206" t="str">
        <f ca="1">IFERROR(__xludf.DUMMYFUNCTION("""COMPUTED_VALUE"""),"SCIE, SCOPUS")</f>
        <v>SCIE, SCOPUS</v>
      </c>
      <c r="G33" s="116" t="str">
        <f ca="1">IFERROR(__xludf.DUMMYFUNCTION("""COMPUTED_VALUE"""),"http://www.riss.kr/link?id=S405428")</f>
        <v>http://www.riss.kr/link?id=S405428</v>
      </c>
      <c r="H33" s="24" t="str">
        <f ca="1">IFERROR(__xludf.DUMMYFUNCTION("""COMPUTED_VALUE"""),"O")</f>
        <v>O</v>
      </c>
    </row>
    <row r="34" spans="1:8" ht="26.25" customHeight="1">
      <c r="A34" s="154">
        <f t="shared" ca="1" si="0"/>
        <v>31</v>
      </c>
      <c r="B34" s="31" t="str">
        <f ca="1">IFERROR(__xludf.DUMMYFUNCTION("""COMPUTED_VALUE"""),"Fullerenes, Nanotubes, and Carbon Nanostructures")</f>
        <v>Fullerenes, Nanotubes, and Carbon Nanostructures</v>
      </c>
      <c r="C34" s="19" t="str">
        <f ca="1">IFERROR(__xludf.DUMMYFUNCTION("""COMPUTED_VALUE"""),"Taylor &amp; Francis")</f>
        <v>Taylor &amp; Francis</v>
      </c>
      <c r="D34" s="20" t="str">
        <f ca="1">IFERROR(__xludf.DUMMYFUNCTION("""COMPUTED_VALUE"""),"1536-383X")</f>
        <v>1536-383X</v>
      </c>
      <c r="E34" s="39" t="str">
        <f ca="1">IFERROR(__xludf.DUMMYFUNCTION("""COMPUTED_VALUE"""),"2011-2017")</f>
        <v>2011-2017</v>
      </c>
      <c r="F34" s="206" t="str">
        <f ca="1">IFERROR(__xludf.DUMMYFUNCTION("""COMPUTED_VALUE"""),"SCIE, SCOPUS")</f>
        <v>SCIE, SCOPUS</v>
      </c>
      <c r="G34" s="116" t="str">
        <f ca="1">IFERROR(__xludf.DUMMYFUNCTION("""COMPUTED_VALUE"""),"http://www.riss.kr/link?id=S20010150")</f>
        <v>http://www.riss.kr/link?id=S20010150</v>
      </c>
      <c r="H34" s="24" t="str">
        <f ca="1">IFERROR(__xludf.DUMMYFUNCTION("""COMPUTED_VALUE"""),"X")</f>
        <v>X</v>
      </c>
    </row>
    <row r="35" spans="1:8" ht="26.25" customHeight="1">
      <c r="A35" s="154">
        <f t="shared" ca="1" si="0"/>
        <v>32</v>
      </c>
      <c r="B35" s="19" t="str">
        <f ca="1">IFERROR(__xludf.DUMMYFUNCTION("""COMPUTED_VALUE"""),"Heat Transfer Engineering")</f>
        <v>Heat Transfer Engineering</v>
      </c>
      <c r="C35" s="19" t="str">
        <f ca="1">IFERROR(__xludf.DUMMYFUNCTION("""COMPUTED_VALUE"""),"Taylor &amp; Francis")</f>
        <v>Taylor &amp; Francis</v>
      </c>
      <c r="D35" s="20" t="str">
        <f ca="1">IFERROR(__xludf.DUMMYFUNCTION("""COMPUTED_VALUE"""),"0145-7632")</f>
        <v>0145-7632</v>
      </c>
      <c r="E35" s="39" t="str">
        <f ca="1">IFERROR(__xludf.DUMMYFUNCTION("""COMPUTED_VALUE"""),"2010-2021")</f>
        <v>2010-2021</v>
      </c>
      <c r="F35" s="206" t="str">
        <f ca="1">IFERROR(__xludf.DUMMYFUNCTION("""COMPUTED_VALUE"""),"SCIE, SCOPUS")</f>
        <v>SCIE, SCOPUS</v>
      </c>
      <c r="G35" s="116" t="str">
        <f ca="1">IFERROR(__xludf.DUMMYFUNCTION("""COMPUTED_VALUE"""),"http://www.riss.kr/link?id=S16191")</f>
        <v>http://www.riss.kr/link?id=S16191</v>
      </c>
      <c r="H35" s="24" t="str">
        <f ca="1">IFERROR(__xludf.DUMMYFUNCTION("""COMPUTED_VALUE"""),"O")</f>
        <v>O</v>
      </c>
    </row>
    <row r="36" spans="1:8" ht="26.25" customHeight="1">
      <c r="A36" s="154">
        <f t="shared" ca="1" si="0"/>
        <v>33</v>
      </c>
      <c r="B36" s="19" t="str">
        <f ca="1">IFERROR(__xludf.DUMMYFUNCTION("""COMPUTED_VALUE"""),"High Performance Polymers")</f>
        <v>High Performance Polymers</v>
      </c>
      <c r="C36" s="19" t="str">
        <f ca="1">IFERROR(__xludf.DUMMYFUNCTION("""COMPUTED_VALUE"""),"Sage Publications Ltd.")</f>
        <v>Sage Publications Ltd.</v>
      </c>
      <c r="D36" s="20" t="str">
        <f ca="1">IFERROR(__xludf.DUMMYFUNCTION("""COMPUTED_VALUE"""),"0954-0083")</f>
        <v>0954-0083</v>
      </c>
      <c r="E36" s="39" t="str">
        <f ca="1">IFERROR(__xludf.DUMMYFUNCTION("""COMPUTED_VALUE"""),"2011-2021")</f>
        <v>2011-2021</v>
      </c>
      <c r="F36" s="206" t="str">
        <f ca="1">IFERROR(__xludf.DUMMYFUNCTION("""COMPUTED_VALUE"""),"SCIE, SCOPUS")</f>
        <v>SCIE, SCOPUS</v>
      </c>
      <c r="G36" s="116" t="str">
        <f ca="1">IFERROR(__xludf.DUMMYFUNCTION("""COMPUTED_VALUE"""),"http://www.riss.kr/link?id=S11574028")</f>
        <v>http://www.riss.kr/link?id=S11574028</v>
      </c>
      <c r="H36" s="24" t="str">
        <f ca="1">IFERROR(__xludf.DUMMYFUNCTION("""COMPUTED_VALUE"""),"O")</f>
        <v>O</v>
      </c>
    </row>
    <row r="37" spans="1:8" ht="26.25" customHeight="1">
      <c r="A37" s="154">
        <f t="shared" ca="1" si="0"/>
        <v>34</v>
      </c>
      <c r="B37" s="31" t="str">
        <f ca="1">IFERROR(__xludf.DUMMYFUNCTION("""COMPUTED_VALUE"""),"High Temperature Material Processes")</f>
        <v>High Temperature Material Processes</v>
      </c>
      <c r="C37" s="19" t="str">
        <f ca="1">IFERROR(__xludf.DUMMYFUNCTION("""COMPUTED_VALUE"""),"Begell House, Inc.")</f>
        <v>Begell House, Inc.</v>
      </c>
      <c r="D37" s="20" t="str">
        <f ca="1">IFERROR(__xludf.DUMMYFUNCTION("""COMPUTED_VALUE"""),"1093-3611")</f>
        <v>1093-3611</v>
      </c>
      <c r="E37" s="39" t="str">
        <f ca="1">IFERROR(__xludf.DUMMYFUNCTION("""COMPUTED_VALUE"""),"2010-2015")</f>
        <v>2010-2015</v>
      </c>
      <c r="F37" s="206" t="str">
        <f ca="1">IFERROR(__xludf.DUMMYFUNCTION("""COMPUTED_VALUE"""),"ESCI, SCOPUS")</f>
        <v>ESCI, SCOPUS</v>
      </c>
      <c r="G37" s="116" t="str">
        <f ca="1">IFERROR(__xludf.DUMMYFUNCTION("""COMPUTED_VALUE"""),"http://www.riss.kr/link?id=S403172")</f>
        <v>http://www.riss.kr/link?id=S403172</v>
      </c>
      <c r="H37" s="24" t="str">
        <f ca="1">IFERROR(__xludf.DUMMYFUNCTION("""COMPUTED_VALUE"""),"X")</f>
        <v>X</v>
      </c>
    </row>
    <row r="38" spans="1:8" ht="26.25" customHeight="1">
      <c r="A38" s="154">
        <f t="shared" ca="1" si="0"/>
        <v>35</v>
      </c>
      <c r="B38" s="31" t="str">
        <f ca="1">IFERROR(__xludf.DUMMYFUNCTION("""COMPUTED_VALUE"""),"Hydrogen &amp; Fuel Cell Letter")</f>
        <v>Hydrogen &amp; Fuel Cell Letter</v>
      </c>
      <c r="C38" s="19" t="str">
        <f ca="1">IFERROR(__xludf.DUMMYFUNCTION("""COMPUTED_VALUE"""),"Peter Hoffmann")</f>
        <v>Peter Hoffmann</v>
      </c>
      <c r="D38" s="20" t="str">
        <f ca="1">IFERROR(__xludf.DUMMYFUNCTION("""COMPUTED_VALUE"""),"1080-8019")</f>
        <v>1080-8019</v>
      </c>
      <c r="E38" s="39" t="str">
        <f ca="1">IFERROR(__xludf.DUMMYFUNCTION("""COMPUTED_VALUE"""),"2010-2014")</f>
        <v>2010-2014</v>
      </c>
      <c r="F38" s="206" t="str">
        <f ca="1">IFERROR(__xludf.DUMMYFUNCTION("""COMPUTED_VALUE"""),"-")</f>
        <v>-</v>
      </c>
      <c r="G38" s="116" t="str">
        <f ca="1">IFERROR(__xludf.DUMMYFUNCTION("""COMPUTED_VALUE"""),"http://www.riss.kr/link?id=S115378")</f>
        <v>http://www.riss.kr/link?id=S115378</v>
      </c>
      <c r="H38" s="24" t="str">
        <f ca="1">IFERROR(__xludf.DUMMYFUNCTION("""COMPUTED_VALUE"""),"X")</f>
        <v>X</v>
      </c>
    </row>
    <row r="39" spans="1:8" ht="26.25" customHeight="1">
      <c r="A39" s="154">
        <f t="shared" ca="1" si="0"/>
        <v>36</v>
      </c>
      <c r="B39" s="19" t="str">
        <f ca="1">IFERROR(__xludf.DUMMYFUNCTION("""COMPUTED_VALUE"""),"Industrial &amp; Engineering Chemistry Research")</f>
        <v>Industrial &amp; Engineering Chemistry Research</v>
      </c>
      <c r="C39" s="19" t="str">
        <f ca="1">IFERROR(__xludf.DUMMYFUNCTION("""COMPUTED_VALUE"""),"American Chemical Society")</f>
        <v>American Chemical Society</v>
      </c>
      <c r="D39" s="20" t="str">
        <f ca="1">IFERROR(__xludf.DUMMYFUNCTION("""COMPUTED_VALUE"""),"0888-5885")</f>
        <v>0888-5885</v>
      </c>
      <c r="E39" s="39" t="str">
        <f ca="1">IFERROR(__xludf.DUMMYFUNCTION("""COMPUTED_VALUE"""),"1987-2021")</f>
        <v>1987-2021</v>
      </c>
      <c r="F39" s="206" t="str">
        <f ca="1">IFERROR(__xludf.DUMMYFUNCTION("""COMPUTED_VALUE"""),"SCIE, SCOPUS")</f>
        <v>SCIE, SCOPUS</v>
      </c>
      <c r="G39" s="116" t="str">
        <f ca="1">IFERROR(__xludf.DUMMYFUNCTION("""COMPUTED_VALUE"""),"http://www.riss.kr/link?id=S29360")</f>
        <v>http://www.riss.kr/link?id=S29360</v>
      </c>
      <c r="H39" s="24" t="str">
        <f ca="1">IFERROR(__xludf.DUMMYFUNCTION("""COMPUTED_VALUE"""),"O")</f>
        <v>O</v>
      </c>
    </row>
    <row r="40" spans="1:8" ht="26.25" customHeight="1">
      <c r="A40" s="154">
        <f t="shared" ca="1" si="0"/>
        <v>37</v>
      </c>
      <c r="B40" s="19" t="str">
        <f ca="1">IFERROR(__xludf.DUMMYFUNCTION("""COMPUTED_VALUE"""),"Instrumentation science &amp; Technology")</f>
        <v>Instrumentation science &amp; Technology</v>
      </c>
      <c r="C40" s="19" t="str">
        <f ca="1">IFERROR(__xludf.DUMMYFUNCTION("""COMPUTED_VALUE"""),"Marcel Dekker")</f>
        <v>Marcel Dekker</v>
      </c>
      <c r="D40" s="20" t="str">
        <f ca="1">IFERROR(__xludf.DUMMYFUNCTION("""COMPUTED_VALUE"""),"1073-9149")</f>
        <v>1073-9149</v>
      </c>
      <c r="E40" s="39" t="str">
        <f ca="1">IFERROR(__xludf.DUMMYFUNCTION("""COMPUTED_VALUE"""),"2010-2021")</f>
        <v>2010-2021</v>
      </c>
      <c r="F40" s="206" t="str">
        <f ca="1">IFERROR(__xludf.DUMMYFUNCTION("""COMPUTED_VALUE"""),"SCIE, SCOPUS")</f>
        <v>SCIE, SCOPUS</v>
      </c>
      <c r="G40" s="116" t="str">
        <f ca="1">IFERROR(__xludf.DUMMYFUNCTION("""COMPUTED_VALUE"""),"http://www.riss.kr/link?id=S418665")</f>
        <v>http://www.riss.kr/link?id=S418665</v>
      </c>
      <c r="H40" s="24" t="str">
        <f ca="1">IFERROR(__xludf.DUMMYFUNCTION("""COMPUTED_VALUE"""),"O")</f>
        <v>O</v>
      </c>
    </row>
    <row r="41" spans="1:8" ht="26.25" customHeight="1">
      <c r="A41" s="154">
        <f t="shared" ca="1" si="0"/>
        <v>38</v>
      </c>
      <c r="B41" s="31" t="str">
        <f ca="1">IFERROR(__xludf.DUMMYFUNCTION("""COMPUTED_VALUE"""),"International Journal of Applied Ceramic Technology")</f>
        <v>International Journal of Applied Ceramic Technology</v>
      </c>
      <c r="C41" s="19" t="str">
        <f ca="1">IFERROR(__xludf.DUMMYFUNCTION("""COMPUTED_VALUE"""),"Wiley-Blackwell Publishing, Inc.")</f>
        <v>Wiley-Blackwell Publishing, Inc.</v>
      </c>
      <c r="D41" s="20" t="str">
        <f ca="1">IFERROR(__xludf.DUMMYFUNCTION("""COMPUTED_VALUE"""),"1546-542X")</f>
        <v>1546-542X</v>
      </c>
      <c r="E41" s="39" t="str">
        <f ca="1">IFERROR(__xludf.DUMMYFUNCTION("""COMPUTED_VALUE"""),"2005-2009")</f>
        <v>2005-2009</v>
      </c>
      <c r="F41" s="206" t="str">
        <f ca="1">IFERROR(__xludf.DUMMYFUNCTION("""COMPUTED_VALUE"""),"SCIE, SCOPUS")</f>
        <v>SCIE, SCOPUS</v>
      </c>
      <c r="G41" s="116" t="str">
        <f ca="1">IFERROR(__xludf.DUMMYFUNCTION("""COMPUTED_VALUE"""),"http://www.riss.kr/link?id=S30006261")</f>
        <v>http://www.riss.kr/link?id=S30006261</v>
      </c>
      <c r="H41" s="24" t="str">
        <f ca="1">IFERROR(__xludf.DUMMYFUNCTION("""COMPUTED_VALUE"""),"X")</f>
        <v>X</v>
      </c>
    </row>
    <row r="42" spans="1:8" ht="26.25" customHeight="1">
      <c r="A42" s="154">
        <f t="shared" ca="1" si="0"/>
        <v>39</v>
      </c>
      <c r="B42" s="19" t="str">
        <f ca="1">IFERROR(__xludf.DUMMYFUNCTION("""COMPUTED_VALUE"""),"International Journal of Polymer Analysis and Characterization")</f>
        <v>International Journal of Polymer Analysis and Characterization</v>
      </c>
      <c r="C42" s="19" t="str">
        <f ca="1">IFERROR(__xludf.DUMMYFUNCTION("""COMPUTED_VALUE"""),"Taylor &amp; Francis")</f>
        <v>Taylor &amp; Francis</v>
      </c>
      <c r="D42" s="20" t="str">
        <f ca="1">IFERROR(__xludf.DUMMYFUNCTION("""COMPUTED_VALUE"""),"1023-666X")</f>
        <v>1023-666X</v>
      </c>
      <c r="E42" s="39" t="str">
        <f ca="1">IFERROR(__xludf.DUMMYFUNCTION("""COMPUTED_VALUE"""),"2011-2021")</f>
        <v>2011-2021</v>
      </c>
      <c r="F42" s="206" t="str">
        <f ca="1">IFERROR(__xludf.DUMMYFUNCTION("""COMPUTED_VALUE"""),"SCIE, SCOPUS")</f>
        <v>SCIE, SCOPUS</v>
      </c>
      <c r="G42" s="116" t="str">
        <f ca="1">IFERROR(__xludf.DUMMYFUNCTION("""COMPUTED_VALUE"""),"http://www.riss.kr/link?id=S401790")</f>
        <v>http://www.riss.kr/link?id=S401790</v>
      </c>
      <c r="H42" s="24" t="str">
        <f ca="1">IFERROR(__xludf.DUMMYFUNCTION("""COMPUTED_VALUE"""),"O")</f>
        <v>O</v>
      </c>
    </row>
    <row r="43" spans="1:8" ht="26.25" customHeight="1">
      <c r="A43" s="154">
        <f t="shared" ca="1" si="0"/>
        <v>40</v>
      </c>
      <c r="B43" s="31" t="str">
        <f ca="1">IFERROR(__xludf.DUMMYFUNCTION("""COMPUTED_VALUE"""),"JETI")</f>
        <v>JETI</v>
      </c>
      <c r="C43" s="66" t="str">
        <f ca="1">IFERROR(__xludf.DUMMYFUNCTION("""COMPUTED_VALUE"""),"ジェティ")</f>
        <v>ジェティ</v>
      </c>
      <c r="D43" s="20" t="str">
        <f ca="1">IFERROR(__xludf.DUMMYFUNCTION("""COMPUTED_VALUE"""),"0289-4343")</f>
        <v>0289-4343</v>
      </c>
      <c r="E43" s="39" t="str">
        <f ca="1">IFERROR(__xludf.DUMMYFUNCTION("""COMPUTED_VALUE"""),"1984-2018")</f>
        <v>1984-2018</v>
      </c>
      <c r="F43" s="206" t="str">
        <f ca="1">IFERROR(__xludf.DUMMYFUNCTION("""COMPUTED_VALUE"""),"-")</f>
        <v>-</v>
      </c>
      <c r="G43" s="116" t="str">
        <f ca="1">IFERROR(__xludf.DUMMYFUNCTION("""COMPUTED_VALUE"""),"http://www.riss.kr/link?id=S60899")</f>
        <v>http://www.riss.kr/link?id=S60899</v>
      </c>
      <c r="H43" s="24" t="str">
        <f ca="1">IFERROR(__xludf.DUMMYFUNCTION("""COMPUTED_VALUE"""),"X")</f>
        <v>X</v>
      </c>
    </row>
    <row r="44" spans="1:8" ht="26.25" customHeight="1">
      <c r="A44" s="154">
        <f t="shared" ca="1" si="0"/>
        <v>41</v>
      </c>
      <c r="B44" s="31" t="str">
        <f ca="1">IFERROR(__xludf.DUMMYFUNCTION("""COMPUTED_VALUE"""),"Journal of Analytical Methods in Chemistry")</f>
        <v>Journal of Analytical Methods in Chemistry</v>
      </c>
      <c r="C44" s="19" t="str">
        <f ca="1">IFERROR(__xludf.DUMMYFUNCTION("""COMPUTED_VALUE"""),"Hindawi Publishing Corporation")</f>
        <v>Hindawi Publishing Corporation</v>
      </c>
      <c r="D44" s="20" t="str">
        <f ca="1">IFERROR(__xludf.DUMMYFUNCTION("""COMPUTED_VALUE"""),"2090-8865")</f>
        <v>2090-8865</v>
      </c>
      <c r="E44" s="39" t="str">
        <f ca="1">IFERROR(__xludf.DUMMYFUNCTION("""COMPUTED_VALUE"""),"2012-2014")</f>
        <v>2012-2014</v>
      </c>
      <c r="F44" s="206" t="str">
        <f ca="1">IFERROR(__xludf.DUMMYFUNCTION("""COMPUTED_VALUE"""),"SCIE, SCOPUS")</f>
        <v>SCIE, SCOPUS</v>
      </c>
      <c r="G44" s="116" t="str">
        <f ca="1">IFERROR(__xludf.DUMMYFUNCTION("""COMPUTED_VALUE"""),"http://www.riss.kr/link?id=S405313")</f>
        <v>http://www.riss.kr/link?id=S405313</v>
      </c>
      <c r="H44" s="24" t="str">
        <f ca="1">IFERROR(__xludf.DUMMYFUNCTION("""COMPUTED_VALUE"""),"X")</f>
        <v>X</v>
      </c>
    </row>
    <row r="45" spans="1:8" ht="26.25" customHeight="1">
      <c r="A45" s="154">
        <f t="shared" ca="1" si="0"/>
        <v>42</v>
      </c>
      <c r="B45" s="19" t="str">
        <f ca="1">IFERROR(__xludf.DUMMYFUNCTION("""COMPUTED_VALUE"""),"Journal of Bioactive and Compatible Polymers")</f>
        <v>Journal of Bioactive and Compatible Polymers</v>
      </c>
      <c r="C45" s="19" t="str">
        <f ca="1">IFERROR(__xludf.DUMMYFUNCTION("""COMPUTED_VALUE"""),"Technomic Pub. Co")</f>
        <v>Technomic Pub. Co</v>
      </c>
      <c r="D45" s="20" t="str">
        <f ca="1">IFERROR(__xludf.DUMMYFUNCTION("""COMPUTED_VALUE"""),"0883-9115")</f>
        <v>0883-9115</v>
      </c>
      <c r="E45" s="39" t="str">
        <f ca="1">IFERROR(__xludf.DUMMYFUNCTION("""COMPUTED_VALUE"""),"1986-2021")</f>
        <v>1986-2021</v>
      </c>
      <c r="F45" s="206" t="str">
        <f ca="1">IFERROR(__xludf.DUMMYFUNCTION("""COMPUTED_VALUE"""),"SCIE, SCOPUS")</f>
        <v>SCIE, SCOPUS</v>
      </c>
      <c r="G45" s="116" t="str">
        <f ca="1">IFERROR(__xludf.DUMMYFUNCTION("""COMPUTED_VALUE"""),"http://www.riss.kr/link?id=S61261")</f>
        <v>http://www.riss.kr/link?id=S61261</v>
      </c>
      <c r="H45" s="24" t="str">
        <f ca="1">IFERROR(__xludf.DUMMYFUNCTION("""COMPUTED_VALUE"""),"O")</f>
        <v>O</v>
      </c>
    </row>
    <row r="46" spans="1:8" ht="26.25" customHeight="1">
      <c r="A46" s="154">
        <f t="shared" ca="1" si="0"/>
        <v>43</v>
      </c>
      <c r="B46" s="31" t="str">
        <f ca="1">IFERROR(__xludf.DUMMYFUNCTION("""COMPUTED_VALUE"""),"Journal of Canadian Petroleum Technology")</f>
        <v>Journal of Canadian Petroleum Technology</v>
      </c>
      <c r="C46" s="19" t="str">
        <f ca="1">IFERROR(__xludf.DUMMYFUNCTION("""COMPUTED_VALUE"""),"Canadian Institute of Mining, Metallurgy and Petroleum")</f>
        <v>Canadian Institute of Mining, Metallurgy and Petroleum</v>
      </c>
      <c r="D46" s="20" t="str">
        <f ca="1">IFERROR(__xludf.DUMMYFUNCTION("""COMPUTED_VALUE"""),"0021-9487")</f>
        <v>0021-9487</v>
      </c>
      <c r="E46" s="39" t="str">
        <f ca="1">IFERROR(__xludf.DUMMYFUNCTION("""COMPUTED_VALUE"""),"2010-2014")</f>
        <v>2010-2014</v>
      </c>
      <c r="F46" s="206" t="str">
        <f ca="1">IFERROR(__xludf.DUMMYFUNCTION("""COMPUTED_VALUE"""),"-")</f>
        <v>-</v>
      </c>
      <c r="G46" s="116" t="str">
        <f ca="1">IFERROR(__xludf.DUMMYFUNCTION("""COMPUTED_VALUE"""),"http://www.riss.kr/link?id=S408353")</f>
        <v>http://www.riss.kr/link?id=S408353</v>
      </c>
      <c r="H46" s="24" t="str">
        <f ca="1">IFERROR(__xludf.DUMMYFUNCTION("""COMPUTED_VALUE"""),"X")</f>
        <v>X</v>
      </c>
    </row>
    <row r="47" spans="1:8" ht="26.25" customHeight="1">
      <c r="A47" s="154">
        <f t="shared" ca="1" si="0"/>
        <v>44</v>
      </c>
      <c r="B47" s="19" t="str">
        <f ca="1">IFERROR(__xludf.DUMMYFUNCTION("""COMPUTED_VALUE"""),"Journal of Chemical Engineering of Japan")</f>
        <v>Journal of Chemical Engineering of Japan</v>
      </c>
      <c r="C47" s="19" t="str">
        <f ca="1">IFERROR(__xludf.DUMMYFUNCTION("""COMPUTED_VALUE"""),"Society of Chemical Engineers, Japan")</f>
        <v>Society of Chemical Engineers, Japan</v>
      </c>
      <c r="D47" s="20" t="str">
        <f ca="1">IFERROR(__xludf.DUMMYFUNCTION("""COMPUTED_VALUE"""),"0021-9592")</f>
        <v>0021-9592</v>
      </c>
      <c r="E47" s="39" t="str">
        <f ca="1">IFERROR(__xludf.DUMMYFUNCTION("""COMPUTED_VALUE"""),"1983-2021")</f>
        <v>1983-2021</v>
      </c>
      <c r="F47" s="206" t="str">
        <f ca="1">IFERROR(__xludf.DUMMYFUNCTION("""COMPUTED_VALUE"""),"SCIE")</f>
        <v>SCIE</v>
      </c>
      <c r="G47" s="116" t="str">
        <f ca="1">IFERROR(__xludf.DUMMYFUNCTION("""COMPUTED_VALUE"""),"http://www.riss.kr/link?id=S21308")</f>
        <v>http://www.riss.kr/link?id=S21308</v>
      </c>
      <c r="H47" s="24" t="str">
        <f ca="1">IFERROR(__xludf.DUMMYFUNCTION("""COMPUTED_VALUE"""),"O")</f>
        <v>O</v>
      </c>
    </row>
    <row r="48" spans="1:8" ht="26.25" customHeight="1">
      <c r="A48" s="154">
        <f t="shared" ca="1" si="0"/>
        <v>45</v>
      </c>
      <c r="B48" s="31" t="str">
        <f ca="1">IFERROR(__xludf.DUMMYFUNCTION("""COMPUTED_VALUE"""),"Journal of Experimental Nanoscience")</f>
        <v>Journal of Experimental Nanoscience</v>
      </c>
      <c r="C48" s="19" t="str">
        <f ca="1">IFERROR(__xludf.DUMMYFUNCTION("""COMPUTED_VALUE"""),"Taylor &amp; Francis")</f>
        <v>Taylor &amp; Francis</v>
      </c>
      <c r="D48" s="20" t="str">
        <f ca="1">IFERROR(__xludf.DUMMYFUNCTION("""COMPUTED_VALUE"""),"1745-8080")</f>
        <v>1745-8080</v>
      </c>
      <c r="E48" s="39" t="str">
        <f ca="1">IFERROR(__xludf.DUMMYFUNCTION("""COMPUTED_VALUE"""),"2011-2013")</f>
        <v>2011-2013</v>
      </c>
      <c r="F48" s="206" t="str">
        <f ca="1">IFERROR(__xludf.DUMMYFUNCTION("""COMPUTED_VALUE"""),"SCIE, SCOPUS")</f>
        <v>SCIE, SCOPUS</v>
      </c>
      <c r="G48" s="116" t="str">
        <f ca="1">IFERROR(__xludf.DUMMYFUNCTION("""COMPUTED_VALUE"""),"http://www.riss.kr/link?id=S31004980")</f>
        <v>http://www.riss.kr/link?id=S31004980</v>
      </c>
      <c r="H48" s="24" t="str">
        <f ca="1">IFERROR(__xludf.DUMMYFUNCTION("""COMPUTED_VALUE"""),"X")</f>
        <v>X</v>
      </c>
    </row>
    <row r="49" spans="1:8" ht="26.25" customHeight="1">
      <c r="A49" s="154">
        <f t="shared" ca="1" si="0"/>
        <v>46</v>
      </c>
      <c r="B49" s="31" t="str">
        <f ca="1">IFERROR(__xludf.DUMMYFUNCTION("""COMPUTED_VALUE"""),"Journal of Macromolecular science. Part A")</f>
        <v>Journal of Macromolecular science. Part A</v>
      </c>
      <c r="C49" s="19" t="str">
        <f ca="1">IFERROR(__xludf.DUMMYFUNCTION("""COMPUTED_VALUE"""),"Taylor &amp; Francis")</f>
        <v>Taylor &amp; Francis</v>
      </c>
      <c r="D49" s="20" t="str">
        <f ca="1">IFERROR(__xludf.DUMMYFUNCTION("""COMPUTED_VALUE"""),"1060-1325")</f>
        <v>1060-1325</v>
      </c>
      <c r="E49" s="39" t="str">
        <f ca="1">IFERROR(__xludf.DUMMYFUNCTION("""COMPUTED_VALUE"""),"1988-1993, 1995-2021")</f>
        <v>1988-1993, 1995-2021</v>
      </c>
      <c r="F49" s="206" t="str">
        <f ca="1">IFERROR(__xludf.DUMMYFUNCTION("""COMPUTED_VALUE"""),"SCIE, SCOPUS")</f>
        <v>SCIE, SCOPUS</v>
      </c>
      <c r="G49" s="116" t="str">
        <f ca="1">IFERROR(__xludf.DUMMYFUNCTION("""COMPUTED_VALUE"""),"http://www.riss.kr/link?id=S13020")</f>
        <v>http://www.riss.kr/link?id=S13020</v>
      </c>
      <c r="H49" s="24" t="str">
        <f ca="1">IFERROR(__xludf.DUMMYFUNCTION("""COMPUTED_VALUE"""),"O")</f>
        <v>O</v>
      </c>
    </row>
    <row r="50" spans="1:8" ht="26.25" customHeight="1">
      <c r="A50" s="154">
        <f t="shared" ca="1" si="0"/>
        <v>47</v>
      </c>
      <c r="B50" s="31" t="str">
        <f ca="1">IFERROR(__xludf.DUMMYFUNCTION("""COMPUTED_VALUE"""),"Journal of Materials Chemistry")</f>
        <v>Journal of Materials Chemistry</v>
      </c>
      <c r="C50" s="19" t="str">
        <f ca="1">IFERROR(__xludf.DUMMYFUNCTION("""COMPUTED_VALUE"""),"Royal Society of Chemistry")</f>
        <v>Royal Society of Chemistry</v>
      </c>
      <c r="D50" s="20" t="str">
        <f ca="1">IFERROR(__xludf.DUMMYFUNCTION("""COMPUTED_VALUE"""),"0959-9428")</f>
        <v>0959-9428</v>
      </c>
      <c r="E50" s="39" t="str">
        <f ca="1">IFERROR(__xludf.DUMMYFUNCTION("""COMPUTED_VALUE"""),"2011, 2012")</f>
        <v>2011, 2012</v>
      </c>
      <c r="F50" s="206" t="str">
        <f ca="1">IFERROR(__xludf.DUMMYFUNCTION("""COMPUTED_VALUE"""),"-")</f>
        <v>-</v>
      </c>
      <c r="G50" s="116" t="str">
        <f ca="1">IFERROR(__xludf.DUMMYFUNCTION("""COMPUTED_VALUE"""),"http://www.riss.kr/link?id=S12896")</f>
        <v>http://www.riss.kr/link?id=S12896</v>
      </c>
      <c r="H50" s="24" t="str">
        <f ca="1">IFERROR(__xludf.DUMMYFUNCTION("""COMPUTED_VALUE"""),"X")</f>
        <v>X</v>
      </c>
    </row>
    <row r="51" spans="1:8" ht="26.25" customHeight="1">
      <c r="A51" s="154">
        <f t="shared" ca="1" si="0"/>
        <v>48</v>
      </c>
      <c r="B51" s="31" t="str">
        <f ca="1">IFERROR(__xludf.DUMMYFUNCTION("""COMPUTED_VALUE"""),"Journal of Materials Chemistry A")</f>
        <v>Journal of Materials Chemistry A</v>
      </c>
      <c r="C51" s="19" t="str">
        <f ca="1">IFERROR(__xludf.DUMMYFUNCTION("""COMPUTED_VALUE"""),"Royal Society of Chemistry")</f>
        <v>Royal Society of Chemistry</v>
      </c>
      <c r="D51" s="20" t="str">
        <f ca="1">IFERROR(__xludf.DUMMYFUNCTION("""COMPUTED_VALUE"""),"2050-7488")</f>
        <v>2050-7488</v>
      </c>
      <c r="E51" s="39" t="str">
        <f ca="1">IFERROR(__xludf.DUMMYFUNCTION("""COMPUTED_VALUE"""),"2013-2019")</f>
        <v>2013-2019</v>
      </c>
      <c r="F51" s="206" t="str">
        <f ca="1">IFERROR(__xludf.DUMMYFUNCTION("""COMPUTED_VALUE"""),"SCIE, SCOPUS")</f>
        <v>SCIE, SCOPUS</v>
      </c>
      <c r="G51" s="116" t="str">
        <f ca="1">IFERROR(__xludf.DUMMYFUNCTION("""COMPUTED_VALUE"""),"http://www.riss.kr/link?id=S90023891")</f>
        <v>http://www.riss.kr/link?id=S90023891</v>
      </c>
      <c r="H51" s="24" t="str">
        <f ca="1">IFERROR(__xludf.DUMMYFUNCTION("""COMPUTED_VALUE"""),"X")</f>
        <v>X</v>
      </c>
    </row>
    <row r="52" spans="1:8" ht="26.25" customHeight="1">
      <c r="A52" s="154">
        <f t="shared" ca="1" si="0"/>
        <v>49</v>
      </c>
      <c r="B52" s="31" t="str">
        <f ca="1">IFERROR(__xludf.DUMMYFUNCTION("""COMPUTED_VALUE"""),"Journal of Materials Chemistry B")</f>
        <v>Journal of Materials Chemistry B</v>
      </c>
      <c r="C52" s="19" t="str">
        <f ca="1">IFERROR(__xludf.DUMMYFUNCTION("""COMPUTED_VALUE"""),"Royal Society of Chemistry")</f>
        <v>Royal Society of Chemistry</v>
      </c>
      <c r="D52" s="20" t="str">
        <f ca="1">IFERROR(__xludf.DUMMYFUNCTION("""COMPUTED_VALUE"""),"2050-750X")</f>
        <v>2050-750X</v>
      </c>
      <c r="E52" s="39" t="str">
        <f ca="1">IFERROR(__xludf.DUMMYFUNCTION("""COMPUTED_VALUE"""),"2013-2019")</f>
        <v>2013-2019</v>
      </c>
      <c r="F52" s="206" t="str">
        <f ca="1">IFERROR(__xludf.DUMMYFUNCTION("""COMPUTED_VALUE"""),"SCIE, SCOPUS")</f>
        <v>SCIE, SCOPUS</v>
      </c>
      <c r="G52" s="116" t="str">
        <f ca="1">IFERROR(__xludf.DUMMYFUNCTION("""COMPUTED_VALUE"""),"http://www.riss.kr/link?id=S90023890")</f>
        <v>http://www.riss.kr/link?id=S90023890</v>
      </c>
      <c r="H52" s="24" t="str">
        <f ca="1">IFERROR(__xludf.DUMMYFUNCTION("""COMPUTED_VALUE"""),"X")</f>
        <v>X</v>
      </c>
    </row>
    <row r="53" spans="1:8" ht="26.25" customHeight="1">
      <c r="A53" s="154">
        <f t="shared" ca="1" si="0"/>
        <v>50</v>
      </c>
      <c r="B53" s="31" t="str">
        <f ca="1">IFERROR(__xludf.DUMMYFUNCTION("""COMPUTED_VALUE"""),"Journal of Materials Chemistry C")</f>
        <v>Journal of Materials Chemistry C</v>
      </c>
      <c r="C53" s="19" t="str">
        <f ca="1">IFERROR(__xludf.DUMMYFUNCTION("""COMPUTED_VALUE"""),"Royal Society of Chemistry")</f>
        <v>Royal Society of Chemistry</v>
      </c>
      <c r="D53" s="20" t="str">
        <f ca="1">IFERROR(__xludf.DUMMYFUNCTION("""COMPUTED_VALUE"""),"2050-7526")</f>
        <v>2050-7526</v>
      </c>
      <c r="E53" s="39" t="str">
        <f ca="1">IFERROR(__xludf.DUMMYFUNCTION("""COMPUTED_VALUE"""),"2013-2019")</f>
        <v>2013-2019</v>
      </c>
      <c r="F53" s="206" t="str">
        <f ca="1">IFERROR(__xludf.DUMMYFUNCTION("""COMPUTED_VALUE"""),"SCIE, SCOPUS")</f>
        <v>SCIE, SCOPUS</v>
      </c>
      <c r="G53" s="116" t="str">
        <f ca="1">IFERROR(__xludf.DUMMYFUNCTION("""COMPUTED_VALUE"""),"http://www.riss.kr/link?id=S90023683")</f>
        <v>http://www.riss.kr/link?id=S90023683</v>
      </c>
      <c r="H53" s="24" t="str">
        <f ca="1">IFERROR(__xludf.DUMMYFUNCTION("""COMPUTED_VALUE"""),"X")</f>
        <v>X</v>
      </c>
    </row>
    <row r="54" spans="1:8" ht="26.25" customHeight="1">
      <c r="A54" s="154">
        <f t="shared" ca="1" si="0"/>
        <v>51</v>
      </c>
      <c r="B54" s="19" t="str">
        <f ca="1">IFERROR(__xludf.DUMMYFUNCTION("""COMPUTED_VALUE"""),"Journal of Oleo science")</f>
        <v>Journal of Oleo science</v>
      </c>
      <c r="C54" s="19" t="str">
        <f ca="1">IFERROR(__xludf.DUMMYFUNCTION("""COMPUTED_VALUE"""),"Japan Oil Chemists' Society")</f>
        <v>Japan Oil Chemists' Society</v>
      </c>
      <c r="D54" s="20" t="str">
        <f ca="1">IFERROR(__xludf.DUMMYFUNCTION("""COMPUTED_VALUE"""),"1345-8957")</f>
        <v>1345-8957</v>
      </c>
      <c r="E54" s="39" t="str">
        <f ca="1">IFERROR(__xludf.DUMMYFUNCTION("""COMPUTED_VALUE"""),"2001-2021")</f>
        <v>2001-2021</v>
      </c>
      <c r="F54" s="206" t="str">
        <f ca="1">IFERROR(__xludf.DUMMYFUNCTION("""COMPUTED_VALUE"""),"SCIE, SCOPUS")</f>
        <v>SCIE, SCOPUS</v>
      </c>
      <c r="G54" s="116" t="str">
        <f ca="1">IFERROR(__xludf.DUMMYFUNCTION("""COMPUTED_VALUE"""),"http://www.riss.kr/link?id=S14024")</f>
        <v>http://www.riss.kr/link?id=S14024</v>
      </c>
      <c r="H54" s="24" t="str">
        <f ca="1">IFERROR(__xludf.DUMMYFUNCTION("""COMPUTED_VALUE"""),"O")</f>
        <v>O</v>
      </c>
    </row>
    <row r="55" spans="1:8" ht="26.25" customHeight="1">
      <c r="A55" s="154">
        <f t="shared" ca="1" si="0"/>
        <v>52</v>
      </c>
      <c r="B55" s="19" t="str">
        <f ca="1">IFERROR(__xludf.DUMMYFUNCTION("""COMPUTED_VALUE"""),"Journal of Polymer Engineering")</f>
        <v>Journal of Polymer Engineering</v>
      </c>
      <c r="C55" s="19" t="str">
        <f ca="1">IFERROR(__xludf.DUMMYFUNCTION("""COMPUTED_VALUE"""),"Walter de Gruyter GmbH")</f>
        <v>Walter de Gruyter GmbH</v>
      </c>
      <c r="D55" s="20" t="str">
        <f ca="1">IFERROR(__xludf.DUMMYFUNCTION("""COMPUTED_VALUE"""),"0334-6447")</f>
        <v>0334-6447</v>
      </c>
      <c r="E55" s="39" t="str">
        <f ca="1">IFERROR(__xludf.DUMMYFUNCTION("""COMPUTED_VALUE"""),"2011-2021")</f>
        <v>2011-2021</v>
      </c>
      <c r="F55" s="206" t="str">
        <f ca="1">IFERROR(__xludf.DUMMYFUNCTION("""COMPUTED_VALUE"""),"SCIE, SCOPUS")</f>
        <v>SCIE, SCOPUS</v>
      </c>
      <c r="G55" s="116" t="str">
        <f ca="1">IFERROR(__xludf.DUMMYFUNCTION("""COMPUTED_VALUE"""),"http://www.riss.kr/link?id=S28470")</f>
        <v>http://www.riss.kr/link?id=S28470</v>
      </c>
      <c r="H55" s="24" t="str">
        <f ca="1">IFERROR(__xludf.DUMMYFUNCTION("""COMPUTED_VALUE"""),"O")</f>
        <v>O</v>
      </c>
    </row>
    <row r="56" spans="1:8" ht="26.25" customHeight="1">
      <c r="A56" s="154">
        <f t="shared" ca="1" si="0"/>
        <v>53</v>
      </c>
      <c r="B56" s="19" t="str">
        <f ca="1">IFERROR(__xludf.DUMMYFUNCTION("""COMPUTED_VALUE"""),"Journal of the American Leather Chemists Association")</f>
        <v>Journal of the American Leather Chemists Association</v>
      </c>
      <c r="C56" s="19" t="str">
        <f ca="1">IFERROR(__xludf.DUMMYFUNCTION("""COMPUTED_VALUE"""),"American Leather Chemists Association")</f>
        <v>American Leather Chemists Association</v>
      </c>
      <c r="D56" s="20" t="str">
        <f ca="1">IFERROR(__xludf.DUMMYFUNCTION("""COMPUTED_VALUE"""),"0002-9726")</f>
        <v>0002-9726</v>
      </c>
      <c r="E56" s="39" t="str">
        <f ca="1">IFERROR(__xludf.DUMMYFUNCTION("""COMPUTED_VALUE"""),"2011-2021")</f>
        <v>2011-2021</v>
      </c>
      <c r="F56" s="206" t="str">
        <f ca="1">IFERROR(__xludf.DUMMYFUNCTION("""COMPUTED_VALUE"""),"SCIE, SCOPUS")</f>
        <v>SCIE, SCOPUS</v>
      </c>
      <c r="G56" s="116" t="str">
        <f ca="1">IFERROR(__xludf.DUMMYFUNCTION("""COMPUTED_VALUE"""),"http://www.riss.kr/link?id=S15539")</f>
        <v>http://www.riss.kr/link?id=S15539</v>
      </c>
      <c r="H56" s="24" t="str">
        <f ca="1">IFERROR(__xludf.DUMMYFUNCTION("""COMPUTED_VALUE"""),"O")</f>
        <v>O</v>
      </c>
    </row>
    <row r="57" spans="1:8" ht="26.25" customHeight="1">
      <c r="A57" s="154">
        <f t="shared" ca="1" si="0"/>
        <v>54</v>
      </c>
      <c r="B57" s="31" t="str">
        <f ca="1">IFERROR(__xludf.DUMMYFUNCTION("""COMPUTED_VALUE"""),"Journal of the American Oil Chemists' Society")</f>
        <v>Journal of the American Oil Chemists' Society</v>
      </c>
      <c r="C57" s="19" t="str">
        <f ca="1">IFERROR(__xludf.DUMMYFUNCTION("""COMPUTED_VALUE"""),"Springer New York LLC")</f>
        <v>Springer New York LLC</v>
      </c>
      <c r="D57" s="20" t="str">
        <f ca="1">IFERROR(__xludf.DUMMYFUNCTION("""COMPUTED_VALUE"""),"0003-021X")</f>
        <v>0003-021X</v>
      </c>
      <c r="E57" s="39" t="str">
        <f ca="1">IFERROR(__xludf.DUMMYFUNCTION("""COMPUTED_VALUE"""),"1964-2013")</f>
        <v>1964-2013</v>
      </c>
      <c r="F57" s="206" t="str">
        <f ca="1">IFERROR(__xludf.DUMMYFUNCTION("""COMPUTED_VALUE"""),"SCIE, SCOPUS")</f>
        <v>SCIE, SCOPUS</v>
      </c>
      <c r="G57" s="116" t="str">
        <f ca="1">IFERROR(__xludf.DUMMYFUNCTION("""COMPUTED_VALUE"""),"http://www.riss.kr/link?id=S17078")</f>
        <v>http://www.riss.kr/link?id=S17078</v>
      </c>
      <c r="H57" s="24" t="str">
        <f ca="1">IFERROR(__xludf.DUMMYFUNCTION("""COMPUTED_VALUE"""),"X")</f>
        <v>X</v>
      </c>
    </row>
    <row r="58" spans="1:8" ht="26.25" customHeight="1">
      <c r="A58" s="154">
        <f t="shared" ca="1" si="0"/>
        <v>55</v>
      </c>
      <c r="B58" s="31" t="str">
        <f ca="1">IFERROR(__xludf.DUMMYFUNCTION("""COMPUTED_VALUE"""),"Journal of the Electrochemical Society")</f>
        <v>Journal of the Electrochemical Society</v>
      </c>
      <c r="C58" s="19" t="str">
        <f ca="1">IFERROR(__xludf.DUMMYFUNCTION("""COMPUTED_VALUE"""),"Electrochemical Society, Inc.")</f>
        <v>Electrochemical Society, Inc.</v>
      </c>
      <c r="D58" s="20" t="str">
        <f ca="1">IFERROR(__xludf.DUMMYFUNCTION("""COMPUTED_VALUE"""),"0013-4651")</f>
        <v>0013-4651</v>
      </c>
      <c r="E58" s="39" t="str">
        <f ca="1">IFERROR(__xludf.DUMMYFUNCTION("""COMPUTED_VALUE"""),"1975-1981, 1983-2014")</f>
        <v>1975-1981, 1983-2014</v>
      </c>
      <c r="F58" s="206" t="str">
        <f ca="1">IFERROR(__xludf.DUMMYFUNCTION("""COMPUTED_VALUE"""),"SCIE, SCOPUS")</f>
        <v>SCIE, SCOPUS</v>
      </c>
      <c r="G58" s="116" t="str">
        <f ca="1">IFERROR(__xludf.DUMMYFUNCTION("""COMPUTED_VALUE"""),"http://www.riss.kr/link?id=S14916")</f>
        <v>http://www.riss.kr/link?id=S14916</v>
      </c>
      <c r="H58" s="24" t="str">
        <f ca="1">IFERROR(__xludf.DUMMYFUNCTION("""COMPUTED_VALUE"""),"X")</f>
        <v>X</v>
      </c>
    </row>
    <row r="59" spans="1:8" ht="26.25" customHeight="1">
      <c r="A59" s="154">
        <f t="shared" ca="1" si="0"/>
        <v>56</v>
      </c>
      <c r="B59" s="31" t="str">
        <f ca="1">IFERROR(__xludf.DUMMYFUNCTION("""COMPUTED_VALUE"""),"Journal of the Society of Leather Technologists and Chemists")</f>
        <v>Journal of the Society of Leather Technologists and Chemists</v>
      </c>
      <c r="C59" s="19" t="str">
        <f ca="1">IFERROR(__xludf.DUMMYFUNCTION("""COMPUTED_VALUE"""),"Society of Leather Technologists and Chemists")</f>
        <v>Society of Leather Technologists and Chemists</v>
      </c>
      <c r="D59" s="20" t="str">
        <f ca="1">IFERROR(__xludf.DUMMYFUNCTION("""COMPUTED_VALUE"""),"0144-0322")</f>
        <v>0144-0322</v>
      </c>
      <c r="E59" s="39" t="str">
        <f ca="1">IFERROR(__xludf.DUMMYFUNCTION("""COMPUTED_VALUE"""),"2011-2019")</f>
        <v>2011-2019</v>
      </c>
      <c r="F59" s="206" t="str">
        <f ca="1">IFERROR(__xludf.DUMMYFUNCTION("""COMPUTED_VALUE"""),"SCIE")</f>
        <v>SCIE</v>
      </c>
      <c r="G59" s="116" t="str">
        <f ca="1">IFERROR(__xludf.DUMMYFUNCTION("""COMPUTED_VALUE"""),"http://www.riss.kr/link?id=S410763")</f>
        <v>http://www.riss.kr/link?id=S410763</v>
      </c>
      <c r="H59" s="24" t="str">
        <f ca="1">IFERROR(__xludf.DUMMYFUNCTION("""COMPUTED_VALUE"""),"X")</f>
        <v>X</v>
      </c>
    </row>
    <row r="60" spans="1:8" ht="26.25" customHeight="1">
      <c r="A60" s="154">
        <f t="shared" ca="1" si="0"/>
        <v>57</v>
      </c>
      <c r="B60" s="19" t="str">
        <f ca="1">IFERROR(__xludf.DUMMYFUNCTION("""COMPUTED_VALUE"""),"Journal of Wood Chemistry and Technology")</f>
        <v>Journal of Wood Chemistry and Technology</v>
      </c>
      <c r="C60" s="19" t="str">
        <f ca="1">IFERROR(__xludf.DUMMYFUNCTION("""COMPUTED_VALUE"""),"Taylor &amp; Francis")</f>
        <v>Taylor &amp; Francis</v>
      </c>
      <c r="D60" s="20" t="str">
        <f ca="1">IFERROR(__xludf.DUMMYFUNCTION("""COMPUTED_VALUE"""),"0277-3813")</f>
        <v>0277-3813</v>
      </c>
      <c r="E60" s="39" t="str">
        <f ca="1">IFERROR(__xludf.DUMMYFUNCTION("""COMPUTED_VALUE"""),"2011-2021")</f>
        <v>2011-2021</v>
      </c>
      <c r="F60" s="206" t="str">
        <f ca="1">IFERROR(__xludf.DUMMYFUNCTION("""COMPUTED_VALUE"""),"SCIE, SCOPUS")</f>
        <v>SCIE, SCOPUS</v>
      </c>
      <c r="G60" s="116" t="str">
        <f ca="1">IFERROR(__xludf.DUMMYFUNCTION("""COMPUTED_VALUE"""),"http://www.riss.kr/link?id=S24599")</f>
        <v>http://www.riss.kr/link?id=S24599</v>
      </c>
      <c r="H60" s="24" t="str">
        <f ca="1">IFERROR(__xludf.DUMMYFUNCTION("""COMPUTED_VALUE"""),"O")</f>
        <v>O</v>
      </c>
    </row>
    <row r="61" spans="1:8" ht="26.25" customHeight="1">
      <c r="A61" s="154">
        <f t="shared" ca="1" si="0"/>
        <v>58</v>
      </c>
      <c r="B61" s="19" t="str">
        <f ca="1">IFERROR(__xludf.DUMMYFUNCTION("""COMPUTED_VALUE"""),"Korean Journal of Chemical Engineering")</f>
        <v>Korean Journal of Chemical Engineering</v>
      </c>
      <c r="C61" s="19" t="str">
        <f ca="1">IFERROR(__xludf.DUMMYFUNCTION("""COMPUTED_VALUE"""),"Springer New York LLC")</f>
        <v>Springer New York LLC</v>
      </c>
      <c r="D61" s="20" t="str">
        <f ca="1">IFERROR(__xludf.DUMMYFUNCTION("""COMPUTED_VALUE"""),"0256-1115")</f>
        <v>0256-1115</v>
      </c>
      <c r="E61" s="39" t="str">
        <f ca="1">IFERROR(__xludf.DUMMYFUNCTION("""COMPUTED_VALUE"""),"1992-2021")</f>
        <v>1992-2021</v>
      </c>
      <c r="F61" s="206" t="str">
        <f ca="1">IFERROR(__xludf.DUMMYFUNCTION("""COMPUTED_VALUE"""),"SCIE, SCOPUS")</f>
        <v>SCIE, SCOPUS</v>
      </c>
      <c r="G61" s="116" t="str">
        <f ca="1">IFERROR(__xludf.DUMMYFUNCTION("""COMPUTED_VALUE"""),"http://www.riss.kr/link?id=S31013729")</f>
        <v>http://www.riss.kr/link?id=S31013729</v>
      </c>
      <c r="H61" s="24" t="str">
        <f ca="1">IFERROR(__xludf.DUMMYFUNCTION("""COMPUTED_VALUE"""),"O")</f>
        <v>O</v>
      </c>
    </row>
    <row r="62" spans="1:8" ht="26.25" customHeight="1">
      <c r="A62" s="154">
        <f t="shared" ca="1" si="0"/>
        <v>59</v>
      </c>
      <c r="B62" s="19" t="str">
        <f ca="1">IFERROR(__xludf.DUMMYFUNCTION("""COMPUTED_VALUE"""),"Materials science Forum")</f>
        <v>Materials science Forum</v>
      </c>
      <c r="C62" s="242" t="str">
        <f ca="1">IFERROR(__xludf.DUMMYFUNCTION("""COMPUTED_VALUE"""),"Scientific.Net")</f>
        <v>Scientific.Net</v>
      </c>
      <c r="D62" s="20" t="str">
        <f ca="1">IFERROR(__xludf.DUMMYFUNCTION("""COMPUTED_VALUE"""),"0255-5476")</f>
        <v>0255-5476</v>
      </c>
      <c r="E62" s="39" t="str">
        <f ca="1">IFERROR(__xludf.DUMMYFUNCTION("""COMPUTED_VALUE"""),"2010-2021")</f>
        <v>2010-2021</v>
      </c>
      <c r="F62" s="206" t="str">
        <f ca="1">IFERROR(__xludf.DUMMYFUNCTION("""COMPUTED_VALUE"""),"SCOPUS")</f>
        <v>SCOPUS</v>
      </c>
      <c r="G62" s="116" t="str">
        <f ca="1">IFERROR(__xludf.DUMMYFUNCTION("""COMPUTED_VALUE"""),"http://www.riss.kr/link?id=S22129")</f>
        <v>http://www.riss.kr/link?id=S22129</v>
      </c>
      <c r="H62" s="24" t="str">
        <f ca="1">IFERROR(__xludf.DUMMYFUNCTION("""COMPUTED_VALUE"""),"O")</f>
        <v>O</v>
      </c>
    </row>
    <row r="63" spans="1:8" ht="26.25" customHeight="1">
      <c r="A63" s="154">
        <f t="shared" ca="1" si="0"/>
        <v>60</v>
      </c>
      <c r="B63" s="31" t="str">
        <f ca="1">IFERROR(__xludf.DUMMYFUNCTION("""COMPUTED_VALUE"""),"Methods in Organic Synthesis")</f>
        <v>Methods in Organic Synthesis</v>
      </c>
      <c r="C63" s="19" t="str">
        <f ca="1">IFERROR(__xludf.DUMMYFUNCTION("""COMPUTED_VALUE"""),"Royal Society of Chemistry")</f>
        <v>Royal Society of Chemistry</v>
      </c>
      <c r="D63" s="20" t="str">
        <f ca="1">IFERROR(__xludf.DUMMYFUNCTION("""COMPUTED_VALUE"""),"0265-4245")</f>
        <v>0265-4245</v>
      </c>
      <c r="E63" s="39" t="str">
        <f ca="1">IFERROR(__xludf.DUMMYFUNCTION("""COMPUTED_VALUE"""),"1988-2012")</f>
        <v>1988-2012</v>
      </c>
      <c r="F63" s="206" t="str">
        <f ca="1">IFERROR(__xludf.DUMMYFUNCTION("""COMPUTED_VALUE"""),"-")</f>
        <v>-</v>
      </c>
      <c r="G63" s="116" t="str">
        <f ca="1">IFERROR(__xludf.DUMMYFUNCTION("""COMPUTED_VALUE"""),"http://www.riss.kr/link?id=S28468")</f>
        <v>http://www.riss.kr/link?id=S28468</v>
      </c>
      <c r="H63" s="24" t="str">
        <f ca="1">IFERROR(__xludf.DUMMYFUNCTION("""COMPUTED_VALUE"""),"X")</f>
        <v>X</v>
      </c>
    </row>
    <row r="64" spans="1:8" ht="26.25" customHeight="1">
      <c r="A64" s="154">
        <f t="shared" ca="1" si="0"/>
        <v>61</v>
      </c>
      <c r="B64" s="31" t="str">
        <f ca="1">IFERROR(__xludf.DUMMYFUNCTION("""COMPUTED_VALUE"""),"Natural Product Reports")</f>
        <v>Natural Product Reports</v>
      </c>
      <c r="C64" s="19" t="str">
        <f ca="1">IFERROR(__xludf.DUMMYFUNCTION("""COMPUTED_VALUE"""),"Royal Society of Chemistry")</f>
        <v>Royal Society of Chemistry</v>
      </c>
      <c r="D64" s="20" t="str">
        <f ca="1">IFERROR(__xludf.DUMMYFUNCTION("""COMPUTED_VALUE"""),"0265-0568")</f>
        <v>0265-0568</v>
      </c>
      <c r="E64" s="39" t="str">
        <f ca="1">IFERROR(__xludf.DUMMYFUNCTION("""COMPUTED_VALUE"""),"1997-2004, 2006-2013")</f>
        <v>1997-2004, 2006-2013</v>
      </c>
      <c r="F64" s="206" t="str">
        <f ca="1">IFERROR(__xludf.DUMMYFUNCTION("""COMPUTED_VALUE"""),"SCIE, SCOPUS")</f>
        <v>SCIE, SCOPUS</v>
      </c>
      <c r="G64" s="116" t="str">
        <f ca="1">IFERROR(__xludf.DUMMYFUNCTION("""COMPUTED_VALUE"""),"http://www.riss.kr/link?id=S14360")</f>
        <v>http://www.riss.kr/link?id=S14360</v>
      </c>
      <c r="H64" s="24" t="str">
        <f ca="1">IFERROR(__xludf.DUMMYFUNCTION("""COMPUTED_VALUE"""),"X")</f>
        <v>X</v>
      </c>
    </row>
    <row r="65" spans="1:8" ht="26.25" customHeight="1">
      <c r="A65" s="154">
        <f t="shared" ca="1" si="0"/>
        <v>62</v>
      </c>
      <c r="B65" s="31" t="str">
        <f ca="1">IFERROR(__xludf.DUMMYFUNCTION("""COMPUTED_VALUE"""),"Oil Gas European Magazine")</f>
        <v>Oil Gas European Magazine</v>
      </c>
      <c r="C65" s="19" t="str">
        <f ca="1">IFERROR(__xludf.DUMMYFUNCTION("""COMPUTED_VALUE"""),"Energie Informationsdienst GmbH")</f>
        <v>Energie Informationsdienst GmbH</v>
      </c>
      <c r="D65" s="20" t="str">
        <f ca="1">IFERROR(__xludf.DUMMYFUNCTION("""COMPUTED_VALUE"""),"0342-5622")</f>
        <v>0342-5622</v>
      </c>
      <c r="E65" s="39" t="str">
        <f ca="1">IFERROR(__xludf.DUMMYFUNCTION("""COMPUTED_VALUE"""),"2010-2019")</f>
        <v>2010-2019</v>
      </c>
      <c r="F65" s="206" t="str">
        <f ca="1">IFERROR(__xludf.DUMMYFUNCTION("""COMPUTED_VALUE"""),"SCIE")</f>
        <v>SCIE</v>
      </c>
      <c r="G65" s="116" t="str">
        <f ca="1">IFERROR(__xludf.DUMMYFUNCTION("""COMPUTED_VALUE"""),"http://www.riss.kr/link?id=S415066")</f>
        <v>http://www.riss.kr/link?id=S415066</v>
      </c>
      <c r="H65" s="24" t="str">
        <f ca="1">IFERROR(__xludf.DUMMYFUNCTION("""COMPUTED_VALUE"""),"X")</f>
        <v>X</v>
      </c>
    </row>
    <row r="66" spans="1:8" ht="26.25" customHeight="1">
      <c r="A66" s="154">
        <f t="shared" ca="1" si="0"/>
        <v>63</v>
      </c>
      <c r="B66" s="31" t="str">
        <f ca="1">IFERROR(__xludf.DUMMYFUNCTION("""COMPUTED_VALUE"""),"Organic Preparations and Procedures International")</f>
        <v>Organic Preparations and Procedures International</v>
      </c>
      <c r="C66" s="19" t="str">
        <f ca="1">IFERROR(__xludf.DUMMYFUNCTION("""COMPUTED_VALUE"""),"Taylor &amp; Francis")</f>
        <v>Taylor &amp; Francis</v>
      </c>
      <c r="D66" s="20" t="str">
        <f ca="1">IFERROR(__xludf.DUMMYFUNCTION("""COMPUTED_VALUE"""),"0030-4948")</f>
        <v>0030-4948</v>
      </c>
      <c r="E66" s="39" t="str">
        <f ca="1">IFERROR(__xludf.DUMMYFUNCTION("""COMPUTED_VALUE"""),"1984-1986, 1988-2021")</f>
        <v>1984-1986, 1988-2021</v>
      </c>
      <c r="F66" s="206" t="str">
        <f ca="1">IFERROR(__xludf.DUMMYFUNCTION("""COMPUTED_VALUE"""),"SCIE, SCOPUS")</f>
        <v>SCIE, SCOPUS</v>
      </c>
      <c r="G66" s="116" t="str">
        <f ca="1">IFERROR(__xludf.DUMMYFUNCTION("""COMPUTED_VALUE"""),"http://www.riss.kr/link?id=S58540")</f>
        <v>http://www.riss.kr/link?id=S58540</v>
      </c>
      <c r="H66" s="24" t="str">
        <f ca="1">IFERROR(__xludf.DUMMYFUNCTION("""COMPUTED_VALUE"""),"O")</f>
        <v>O</v>
      </c>
    </row>
    <row r="67" spans="1:8" ht="26.25" customHeight="1">
      <c r="A67" s="154">
        <f t="shared" ca="1" si="0"/>
        <v>64</v>
      </c>
      <c r="B67" s="31" t="str">
        <f ca="1">IFERROR(__xludf.DUMMYFUNCTION("""COMPUTED_VALUE"""),"Petroleum science and Technology")</f>
        <v>Petroleum science and Technology</v>
      </c>
      <c r="C67" s="19" t="str">
        <f ca="1">IFERROR(__xludf.DUMMYFUNCTION("""COMPUTED_VALUE"""),"Taylor &amp; Francis")</f>
        <v>Taylor &amp; Francis</v>
      </c>
      <c r="D67" s="20" t="str">
        <f ca="1">IFERROR(__xludf.DUMMYFUNCTION("""COMPUTED_VALUE"""),"1091-6466")</f>
        <v>1091-6466</v>
      </c>
      <c r="E67" s="39">
        <f ca="1">IFERROR(__xludf.DUMMYFUNCTION("""COMPUTED_VALUE"""),2010)</f>
        <v>2010</v>
      </c>
      <c r="F67" s="206" t="str">
        <f ca="1">IFERROR(__xludf.DUMMYFUNCTION("""COMPUTED_VALUE"""),"SCIE, SCOPUS")</f>
        <v>SCIE, SCOPUS</v>
      </c>
      <c r="G67" s="116" t="str">
        <f ca="1">IFERROR(__xludf.DUMMYFUNCTION("""COMPUTED_VALUE"""),"http://www.riss.kr/link?id=S403127")</f>
        <v>http://www.riss.kr/link?id=S403127</v>
      </c>
      <c r="H67" s="24" t="str">
        <f ca="1">IFERROR(__xludf.DUMMYFUNCTION("""COMPUTED_VALUE"""),"X")</f>
        <v>X</v>
      </c>
    </row>
    <row r="68" spans="1:8" ht="26.25" customHeight="1">
      <c r="A68" s="154">
        <f t="shared" ca="1" si="0"/>
        <v>65</v>
      </c>
      <c r="B68" s="31" t="str">
        <f ca="1">IFERROR(__xludf.DUMMYFUNCTION("""COMPUTED_VALUE"""),"Photochemical &amp; Photobiological sciences")</f>
        <v>Photochemical &amp; Photobiological sciences</v>
      </c>
      <c r="C68" s="19" t="str">
        <f ca="1">IFERROR(__xludf.DUMMYFUNCTION("""COMPUTED_VALUE"""),"Royal Society of Chemistry")</f>
        <v>Royal Society of Chemistry</v>
      </c>
      <c r="D68" s="20" t="str">
        <f ca="1">IFERROR(__xludf.DUMMYFUNCTION("""COMPUTED_VALUE"""),"1474-905X")</f>
        <v>1474-905X</v>
      </c>
      <c r="E68" s="39" t="str">
        <f ca="1">IFERROR(__xludf.DUMMYFUNCTION("""COMPUTED_VALUE"""),"2007-2013")</f>
        <v>2007-2013</v>
      </c>
      <c r="F68" s="206" t="str">
        <f ca="1">IFERROR(__xludf.DUMMYFUNCTION("""COMPUTED_VALUE"""),"SCIE, SCOPUS")</f>
        <v>SCIE, SCOPUS</v>
      </c>
      <c r="G68" s="116" t="str">
        <f ca="1">IFERROR(__xludf.DUMMYFUNCTION("""COMPUTED_VALUE"""),"http://www.riss.kr/link?id=S20010854")</f>
        <v>http://www.riss.kr/link?id=S20010854</v>
      </c>
      <c r="H68" s="24" t="str">
        <f ca="1">IFERROR(__xludf.DUMMYFUNCTION("""COMPUTED_VALUE"""),"X")</f>
        <v>X</v>
      </c>
    </row>
    <row r="69" spans="1:8" ht="26.25" customHeight="1">
      <c r="A69" s="154">
        <f t="shared" ca="1" si="0"/>
        <v>66</v>
      </c>
      <c r="B69" s="31" t="str">
        <f ca="1">IFERROR(__xludf.DUMMYFUNCTION("""COMPUTED_VALUE"""),"Physical Chemistry Chemical Physics")</f>
        <v>Physical Chemistry Chemical Physics</v>
      </c>
      <c r="C69" s="19" t="str">
        <f ca="1">IFERROR(__xludf.DUMMYFUNCTION("""COMPUTED_VALUE"""),"Royal Society of Chemistry")</f>
        <v>Royal Society of Chemistry</v>
      </c>
      <c r="D69" s="20" t="str">
        <f ca="1">IFERROR(__xludf.DUMMYFUNCTION("""COMPUTED_VALUE"""),"1463-9076")</f>
        <v>1463-9076</v>
      </c>
      <c r="E69" s="39" t="str">
        <f ca="1">IFERROR(__xludf.DUMMYFUNCTION("""COMPUTED_VALUE"""),"1999-2007, 2009-2013")</f>
        <v>1999-2007, 2009-2013</v>
      </c>
      <c r="F69" s="206" t="str">
        <f ca="1">IFERROR(__xludf.DUMMYFUNCTION("""COMPUTED_VALUE"""),"SCIE, SCOPUS")</f>
        <v>SCIE, SCOPUS</v>
      </c>
      <c r="G69" s="116" t="str">
        <f ca="1">IFERROR(__xludf.DUMMYFUNCTION("""COMPUTED_VALUE"""),"http://www.riss.kr/link?id=S29121")</f>
        <v>http://www.riss.kr/link?id=S29121</v>
      </c>
      <c r="H69" s="24" t="str">
        <f ca="1">IFERROR(__xludf.DUMMYFUNCTION("""COMPUTED_VALUE"""),"X")</f>
        <v>X</v>
      </c>
    </row>
    <row r="70" spans="1:8" ht="26.25" customHeight="1">
      <c r="A70" s="154">
        <f t="shared" ca="1" si="0"/>
        <v>67</v>
      </c>
      <c r="B70" s="31" t="str">
        <f ca="1">IFERROR(__xludf.DUMMYFUNCTION("""COMPUTED_VALUE"""),"Physics and Chemistry of Glasses")</f>
        <v>Physics and Chemistry of Glasses</v>
      </c>
      <c r="C70" s="19" t="str">
        <f ca="1">IFERROR(__xludf.DUMMYFUNCTION("""COMPUTED_VALUE"""),"Society of Glass Technology")</f>
        <v>Society of Glass Technology</v>
      </c>
      <c r="D70" s="20" t="str">
        <f ca="1">IFERROR(__xludf.DUMMYFUNCTION("""COMPUTED_VALUE"""),"0031-9090")</f>
        <v>0031-9090</v>
      </c>
      <c r="E70" s="39" t="str">
        <f ca="1">IFERROR(__xludf.DUMMYFUNCTION("""COMPUTED_VALUE"""),"1984-2010, 2012, 2013")</f>
        <v>1984-2010, 2012, 2013</v>
      </c>
      <c r="F70" s="206" t="str">
        <f ca="1">IFERROR(__xludf.DUMMYFUNCTION("""COMPUTED_VALUE"""),"-")</f>
        <v>-</v>
      </c>
      <c r="G70" s="116" t="str">
        <f ca="1">IFERROR(__xludf.DUMMYFUNCTION("""COMPUTED_VALUE"""),"http://www.riss.kr/link?id=S28226")</f>
        <v>http://www.riss.kr/link?id=S28226</v>
      </c>
      <c r="H70" s="24" t="str">
        <f ca="1">IFERROR(__xludf.DUMMYFUNCTION("""COMPUTED_VALUE"""),"X")</f>
        <v>X</v>
      </c>
    </row>
    <row r="71" spans="1:8" ht="26.25" customHeight="1">
      <c r="A71" s="154">
        <f t="shared" ca="1" si="0"/>
        <v>68</v>
      </c>
      <c r="B71" s="19" t="str">
        <f ca="1">IFERROR(__xludf.DUMMYFUNCTION("""COMPUTED_VALUE"""),"Polymer bulletin")</f>
        <v>Polymer bulletin</v>
      </c>
      <c r="C71" s="19" t="str">
        <f ca="1">IFERROR(__xludf.DUMMYFUNCTION("""COMPUTED_VALUE"""),"Springer")</f>
        <v>Springer</v>
      </c>
      <c r="D71" s="20" t="str">
        <f ca="1">IFERROR(__xludf.DUMMYFUNCTION("""COMPUTED_VALUE"""),"0170-0839")</f>
        <v>0170-0839</v>
      </c>
      <c r="E71" s="39" t="str">
        <f ca="1">IFERROR(__xludf.DUMMYFUNCTION("""COMPUTED_VALUE"""),"1990-2021")</f>
        <v>1990-2021</v>
      </c>
      <c r="F71" s="206" t="str">
        <f ca="1">IFERROR(__xludf.DUMMYFUNCTION("""COMPUTED_VALUE"""),"SCIE, SCOPUS")</f>
        <v>SCIE, SCOPUS</v>
      </c>
      <c r="G71" s="116" t="str">
        <f ca="1">IFERROR(__xludf.DUMMYFUNCTION("""COMPUTED_VALUE"""),"http://www.riss.kr/link?id=S13936")</f>
        <v>http://www.riss.kr/link?id=S13936</v>
      </c>
      <c r="H71" s="24" t="str">
        <f ca="1">IFERROR(__xludf.DUMMYFUNCTION("""COMPUTED_VALUE"""),"O")</f>
        <v>O</v>
      </c>
    </row>
    <row r="72" spans="1:8" ht="26.25" customHeight="1">
      <c r="A72" s="154">
        <f t="shared" ca="1" si="0"/>
        <v>69</v>
      </c>
      <c r="B72" s="31" t="str">
        <f ca="1">IFERROR(__xludf.DUMMYFUNCTION("""COMPUTED_VALUE"""),"Polymer Chemistry")</f>
        <v>Polymer Chemistry</v>
      </c>
      <c r="C72" s="19" t="str">
        <f ca="1">IFERROR(__xludf.DUMMYFUNCTION("""COMPUTED_VALUE"""),"Royal Society of Chemistry")</f>
        <v>Royal Society of Chemistry</v>
      </c>
      <c r="D72" s="20" t="str">
        <f ca="1">IFERROR(__xludf.DUMMYFUNCTION("""COMPUTED_VALUE"""),"1759-9954")</f>
        <v>1759-9954</v>
      </c>
      <c r="E72" s="39" t="str">
        <f ca="1">IFERROR(__xludf.DUMMYFUNCTION("""COMPUTED_VALUE"""),"2012, 2013")</f>
        <v>2012, 2013</v>
      </c>
      <c r="F72" s="206" t="str">
        <f ca="1">IFERROR(__xludf.DUMMYFUNCTION("""COMPUTED_VALUE"""),"SCIE, SCOPUS")</f>
        <v>SCIE, SCOPUS</v>
      </c>
      <c r="G72" s="116" t="str">
        <f ca="1">IFERROR(__xludf.DUMMYFUNCTION("""COMPUTED_VALUE"""),"http://www.riss.kr/link?id=S90009235")</f>
        <v>http://www.riss.kr/link?id=S90009235</v>
      </c>
      <c r="H72" s="24" t="str">
        <f ca="1">IFERROR(__xludf.DUMMYFUNCTION("""COMPUTED_VALUE"""),"X")</f>
        <v>X</v>
      </c>
    </row>
    <row r="73" spans="1:8" ht="26.25" customHeight="1">
      <c r="A73" s="154">
        <f t="shared" ca="1" si="0"/>
        <v>70</v>
      </c>
      <c r="B73" s="31" t="str">
        <f ca="1">IFERROR(__xludf.DUMMYFUNCTION("""COMPUTED_VALUE"""),"Polymer Journal")</f>
        <v>Polymer Journal</v>
      </c>
      <c r="C73" s="19" t="str">
        <f ca="1">IFERROR(__xludf.DUMMYFUNCTION("""COMPUTED_VALUE"""),"Nature Publishing Group ")</f>
        <v xml:space="preserve">Nature Publishing Group </v>
      </c>
      <c r="D73" s="20" t="str">
        <f ca="1">IFERROR(__xludf.DUMMYFUNCTION("""COMPUTED_VALUE"""),"0032-3896")</f>
        <v>0032-3896</v>
      </c>
      <c r="E73" s="39" t="str">
        <f ca="1">IFERROR(__xludf.DUMMYFUNCTION("""COMPUTED_VALUE"""),"1974-1980, 1984-2013")</f>
        <v>1974-1980, 1984-2013</v>
      </c>
      <c r="F73" s="206" t="str">
        <f ca="1">IFERROR(__xludf.DUMMYFUNCTION("""COMPUTED_VALUE"""),"SCIE, SCOPUS")</f>
        <v>SCIE, SCOPUS</v>
      </c>
      <c r="G73" s="116" t="str">
        <f ca="1">IFERROR(__xludf.DUMMYFUNCTION("""COMPUTED_VALUE"""),"http://www.riss.kr/link?id=S17042")</f>
        <v>http://www.riss.kr/link?id=S17042</v>
      </c>
      <c r="H73" s="24" t="str">
        <f ca="1">IFERROR(__xludf.DUMMYFUNCTION("""COMPUTED_VALUE"""),"X")</f>
        <v>X</v>
      </c>
    </row>
    <row r="74" spans="1:8" ht="26.25" customHeight="1">
      <c r="A74" s="154">
        <f t="shared" ca="1" si="0"/>
        <v>71</v>
      </c>
      <c r="B74" s="31" t="str">
        <f ca="1">IFERROR(__xludf.DUMMYFUNCTION("""COMPUTED_VALUE"""),"Polymer Plastics Technology and Engineering")</f>
        <v>Polymer Plastics Technology and Engineering</v>
      </c>
      <c r="C74" s="19" t="str">
        <f ca="1">IFERROR(__xludf.DUMMYFUNCTION("""COMPUTED_VALUE"""),"Taylor &amp; Francis")</f>
        <v>Taylor &amp; Francis</v>
      </c>
      <c r="D74" s="100" t="str">
        <f ca="1">IFERROR(__xludf.DUMMYFUNCTION("""COMPUTED_VALUE"""),"2574-0881")</f>
        <v>2574-0881</v>
      </c>
      <c r="E74" s="39" t="str">
        <f ca="1">IFERROR(__xludf.DUMMYFUNCTION("""COMPUTED_VALUE"""),"2011-2019")</f>
        <v>2011-2019</v>
      </c>
      <c r="F74" s="206" t="str">
        <f ca="1">IFERROR(__xludf.DUMMYFUNCTION("""COMPUTED_VALUE"""),"SCIE, SCOPUS")</f>
        <v>SCIE, SCOPUS</v>
      </c>
      <c r="G74" s="116" t="str">
        <f ca="1">IFERROR(__xludf.DUMMYFUNCTION("""COMPUTED_VALUE"""),"http://www.riss.kr/link?id=S411588")</f>
        <v>http://www.riss.kr/link?id=S411588</v>
      </c>
      <c r="H74" s="24" t="str">
        <f ca="1">IFERROR(__xludf.DUMMYFUNCTION("""COMPUTED_VALUE"""),"O")</f>
        <v>O</v>
      </c>
    </row>
    <row r="75" spans="1:8" ht="26.25" customHeight="1">
      <c r="A75" s="154">
        <f t="shared" ca="1" si="0"/>
        <v>72</v>
      </c>
      <c r="B75" s="31" t="str">
        <f ca="1">IFERROR(__xludf.DUMMYFUNCTION("""COMPUTED_VALUE"""),"Polymer Reviews")</f>
        <v>Polymer Reviews</v>
      </c>
      <c r="C75" s="19" t="str">
        <f ca="1">IFERROR(__xludf.DUMMYFUNCTION("""COMPUTED_VALUE"""),"Taylor &amp; Francis")</f>
        <v>Taylor &amp; Francis</v>
      </c>
      <c r="D75" s="20" t="str">
        <f ca="1">IFERROR(__xludf.DUMMYFUNCTION("""COMPUTED_VALUE"""),"1558-3724")</f>
        <v>1558-3724</v>
      </c>
      <c r="E75" s="39" t="str">
        <f ca="1">IFERROR(__xludf.DUMMYFUNCTION("""COMPUTED_VALUE"""),"2006-2020")</f>
        <v>2006-2020</v>
      </c>
      <c r="F75" s="206" t="str">
        <f ca="1">IFERROR(__xludf.DUMMYFUNCTION("""COMPUTED_VALUE"""),"SCIE, SCOPUS")</f>
        <v>SCIE, SCOPUS</v>
      </c>
      <c r="G75" s="116" t="str">
        <f ca="1">IFERROR(__xludf.DUMMYFUNCTION("""COMPUTED_VALUE"""),"http://www.riss.kr/link?id=S13243")</f>
        <v>http://www.riss.kr/link?id=S13243</v>
      </c>
      <c r="H75" s="24" t="str">
        <f ca="1">IFERROR(__xludf.DUMMYFUNCTION("""COMPUTED_VALUE"""),"X")</f>
        <v>X</v>
      </c>
    </row>
    <row r="76" spans="1:8" ht="26.25" customHeight="1">
      <c r="A76" s="154">
        <f t="shared" ca="1" si="0"/>
        <v>73</v>
      </c>
      <c r="B76" s="19" t="str">
        <f ca="1">IFERROR(__xludf.DUMMYFUNCTION("""COMPUTED_VALUE"""),"Polymers and Polymer Composites")</f>
        <v>Polymers and Polymer Composites</v>
      </c>
      <c r="C76" s="19" t="str">
        <f ca="1">IFERROR(__xludf.DUMMYFUNCTION("""COMPUTED_VALUE"""),"Sage Publications Ltd.")</f>
        <v>Sage Publications Ltd.</v>
      </c>
      <c r="D76" s="20" t="str">
        <f ca="1">IFERROR(__xludf.DUMMYFUNCTION("""COMPUTED_VALUE"""),"0967-3911")</f>
        <v>0967-3911</v>
      </c>
      <c r="E76" s="39" t="str">
        <f ca="1">IFERROR(__xludf.DUMMYFUNCTION("""COMPUTED_VALUE"""),"2010-2021")</f>
        <v>2010-2021</v>
      </c>
      <c r="F76" s="206" t="str">
        <f ca="1">IFERROR(__xludf.DUMMYFUNCTION("""COMPUTED_VALUE"""),"SCIE, SCOPUS")</f>
        <v>SCIE, SCOPUS</v>
      </c>
      <c r="G76" s="116" t="str">
        <f ca="1">IFERROR(__xludf.DUMMYFUNCTION("""COMPUTED_VALUE"""),"http://www.riss.kr/link?id=S11574226")</f>
        <v>http://www.riss.kr/link?id=S11574226</v>
      </c>
      <c r="H76" s="24" t="str">
        <f ca="1">IFERROR(__xludf.DUMMYFUNCTION("""COMPUTED_VALUE"""),"O")</f>
        <v>O</v>
      </c>
    </row>
    <row r="77" spans="1:8" ht="26.25" customHeight="1">
      <c r="A77" s="154">
        <f t="shared" ca="1" si="0"/>
        <v>74</v>
      </c>
      <c r="B77" s="31" t="str">
        <f ca="1">IFERROR(__xludf.DUMMYFUNCTION("""COMPUTED_VALUE"""),"Progress in Colloid and Polymer science")</f>
        <v>Progress in Colloid and Polymer science</v>
      </c>
      <c r="C77" s="19" t="str">
        <f ca="1">IFERROR(__xludf.DUMMYFUNCTION("""COMPUTED_VALUE"""),"Springer")</f>
        <v>Springer</v>
      </c>
      <c r="D77" s="20" t="str">
        <f ca="1">IFERROR(__xludf.DUMMYFUNCTION("""COMPUTED_VALUE"""),"0340-255X")</f>
        <v>0340-255X</v>
      </c>
      <c r="E77" s="39" t="str">
        <f ca="1">IFERROR(__xludf.DUMMYFUNCTION("""COMPUTED_VALUE"""),"1997-2002, 2004, 2008-2010, 2012, 2013")</f>
        <v>1997-2002, 2004, 2008-2010, 2012, 2013</v>
      </c>
      <c r="F77" s="206" t="str">
        <f ca="1">IFERROR(__xludf.DUMMYFUNCTION("""COMPUTED_VALUE"""),"-")</f>
        <v>-</v>
      </c>
      <c r="G77" s="116" t="str">
        <f ca="1">IFERROR(__xludf.DUMMYFUNCTION("""COMPUTED_VALUE"""),"http://www.riss.kr/link?id=S39035")</f>
        <v>http://www.riss.kr/link?id=S39035</v>
      </c>
      <c r="H77" s="24" t="str">
        <f ca="1">IFERROR(__xludf.DUMMYFUNCTION("""COMPUTED_VALUE"""),"X")</f>
        <v>X</v>
      </c>
    </row>
    <row r="78" spans="1:8" ht="26.25" customHeight="1">
      <c r="A78" s="154">
        <f t="shared" ca="1" si="0"/>
        <v>75</v>
      </c>
      <c r="B78" s="31" t="str">
        <f ca="1">IFERROR(__xludf.DUMMYFUNCTION("""COMPUTED_VALUE"""),"Pure and Applied Chemistry")</f>
        <v>Pure and Applied Chemistry</v>
      </c>
      <c r="C78" s="19" t="str">
        <f ca="1">IFERROR(__xludf.DUMMYFUNCTION("""COMPUTED_VALUE"""),"International Union of Pure and Applied Chemistry")</f>
        <v>International Union of Pure and Applied Chemistry</v>
      </c>
      <c r="D78" s="20" t="str">
        <f ca="1">IFERROR(__xludf.DUMMYFUNCTION("""COMPUTED_VALUE"""),"0033-4545")</f>
        <v>0033-4545</v>
      </c>
      <c r="E78" s="39" t="str">
        <f ca="1">IFERROR(__xludf.DUMMYFUNCTION("""COMPUTED_VALUE"""),"1969, 1984-2014")</f>
        <v>1969, 1984-2014</v>
      </c>
      <c r="F78" s="206" t="str">
        <f ca="1">IFERROR(__xludf.DUMMYFUNCTION("""COMPUTED_VALUE"""),"SCIE, SCOPUS")</f>
        <v>SCIE, SCOPUS</v>
      </c>
      <c r="G78" s="116" t="str">
        <f ca="1">IFERROR(__xludf.DUMMYFUNCTION("""COMPUTED_VALUE"""),"http://www.riss.kr/link?id=S12821")</f>
        <v>http://www.riss.kr/link?id=S12821</v>
      </c>
      <c r="H78" s="24" t="str">
        <f ca="1">IFERROR(__xludf.DUMMYFUNCTION("""COMPUTED_VALUE"""),"X")</f>
        <v>X</v>
      </c>
    </row>
    <row r="79" spans="1:8" ht="26.25" customHeight="1">
      <c r="A79" s="154">
        <f t="shared" ca="1" si="0"/>
        <v>76</v>
      </c>
      <c r="B79" s="31" t="str">
        <f ca="1">IFERROR(__xludf.DUMMYFUNCTION("""COMPUTED_VALUE"""),"RadTech Report")</f>
        <v>RadTech Report</v>
      </c>
      <c r="C79" s="19" t="str">
        <f ca="1">IFERROR(__xludf.DUMMYFUNCTION("""COMPUTED_VALUE"""),"RadTech International North America")</f>
        <v>RadTech International North America</v>
      </c>
      <c r="D79" s="20" t="str">
        <f ca="1">IFERROR(__xludf.DUMMYFUNCTION("""COMPUTED_VALUE"""),"1056-0793")</f>
        <v>1056-0793</v>
      </c>
      <c r="E79" s="39" t="str">
        <f ca="1">IFERROR(__xludf.DUMMYFUNCTION("""COMPUTED_VALUE"""),"2010-2014")</f>
        <v>2010-2014</v>
      </c>
      <c r="F79" s="206" t="str">
        <f ca="1">IFERROR(__xludf.DUMMYFUNCTION("""COMPUTED_VALUE"""),"-")</f>
        <v>-</v>
      </c>
      <c r="G79" s="116" t="str">
        <f ca="1">IFERROR(__xludf.DUMMYFUNCTION("""COMPUTED_VALUE"""),"http://www.riss.kr/link?id=S402100")</f>
        <v>http://www.riss.kr/link?id=S402100</v>
      </c>
      <c r="H79" s="24" t="str">
        <f ca="1">IFERROR(__xludf.DUMMYFUNCTION("""COMPUTED_VALUE"""),"X")</f>
        <v>X</v>
      </c>
    </row>
    <row r="80" spans="1:8" ht="26.25" customHeight="1">
      <c r="A80" s="154">
        <f t="shared" ca="1" si="0"/>
        <v>77</v>
      </c>
      <c r="B80" s="31" t="str">
        <f ca="1">IFERROR(__xludf.DUMMYFUNCTION("""COMPUTED_VALUE"""),"science and Engineering of Composite Materials")</f>
        <v>science and Engineering of Composite Materials</v>
      </c>
      <c r="C80" s="19" t="str">
        <f ca="1">IFERROR(__xludf.DUMMYFUNCTION("""COMPUTED_VALUE"""),"Walter de Gruyter GmbH")</f>
        <v>Walter de Gruyter GmbH</v>
      </c>
      <c r="D80" s="20" t="str">
        <f ca="1">IFERROR(__xludf.DUMMYFUNCTION("""COMPUTED_VALUE"""),"0792-1233")</f>
        <v>0792-1233</v>
      </c>
      <c r="E80" s="39" t="str">
        <f ca="1">IFERROR(__xludf.DUMMYFUNCTION("""COMPUTED_VALUE"""),"2010, 2011")</f>
        <v>2010, 2011</v>
      </c>
      <c r="F80" s="206" t="str">
        <f ca="1">IFERROR(__xludf.DUMMYFUNCTION("""COMPUTED_VALUE"""),"SCIE")</f>
        <v>SCIE</v>
      </c>
      <c r="G80" s="116" t="str">
        <f ca="1">IFERROR(__xludf.DUMMYFUNCTION("""COMPUTED_VALUE"""),"http://www.riss.kr/link?id=S413600")</f>
        <v>http://www.riss.kr/link?id=S413600</v>
      </c>
      <c r="H80" s="24" t="str">
        <f ca="1">IFERROR(__xludf.DUMMYFUNCTION("""COMPUTED_VALUE"""),"X")</f>
        <v>X</v>
      </c>
    </row>
    <row r="81" spans="1:8" ht="26.25" customHeight="1">
      <c r="A81" s="154">
        <f t="shared" ca="1" si="0"/>
        <v>78</v>
      </c>
      <c r="B81" s="39" t="str">
        <f ca="1">IFERROR(__xludf.DUMMYFUNCTION("""COMPUTED_VALUE"""),"Science and Technology of Energetic Materials (+ Explosion) (Fer:火藥學會誌)")</f>
        <v>Science and Technology of Energetic Materials (+ Explosion) (Fer:火藥學會誌)</v>
      </c>
      <c r="C81" s="39" t="str">
        <f ca="1">IFERROR(__xludf.DUMMYFUNCTION("""COMPUTED_VALUE"""),"日本火藥學會")</f>
        <v>日本火藥學會</v>
      </c>
      <c r="D81" s="20" t="str">
        <f ca="1">IFERROR(__xludf.DUMMYFUNCTION("""COMPUTED_VALUE"""),"1347-9466")</f>
        <v>1347-9466</v>
      </c>
      <c r="E81" s="83" t="str">
        <f ca="1">IFERROR(__xludf.DUMMYFUNCTION("""COMPUTED_VALUE"""),"2019-2020")</f>
        <v>2019-2020</v>
      </c>
      <c r="F81" s="206" t="str">
        <f ca="1">IFERROR(__xludf.DUMMYFUNCTION("""COMPUTED_VALUE"""),"SCIE")</f>
        <v>SCIE</v>
      </c>
      <c r="G81" s="207" t="str">
        <f ca="1">IFERROR(__xludf.DUMMYFUNCTION("""COMPUTED_VALUE"""),"http://www.riss.kr/link?id=S20012183")</f>
        <v>http://www.riss.kr/link?id=S20012183</v>
      </c>
      <c r="H81" s="24" t="str">
        <f ca="1">IFERROR(__xludf.DUMMYFUNCTION("""COMPUTED_VALUE"""),"X")</f>
        <v>X</v>
      </c>
    </row>
    <row r="82" spans="1:8" ht="26.25" customHeight="1">
      <c r="A82" s="154">
        <f t="shared" ca="1" si="0"/>
        <v>79</v>
      </c>
      <c r="B82" s="19" t="str">
        <f ca="1">IFERROR(__xludf.DUMMYFUNCTION("""COMPUTED_VALUE"""),"Separation science and Technology")</f>
        <v>Separation science and Technology</v>
      </c>
      <c r="C82" s="19" t="str">
        <f ca="1">IFERROR(__xludf.DUMMYFUNCTION("""COMPUTED_VALUE"""),"Taylor &amp; Francis")</f>
        <v>Taylor &amp; Francis</v>
      </c>
      <c r="D82" s="20" t="str">
        <f ca="1">IFERROR(__xludf.DUMMYFUNCTION("""COMPUTED_VALUE"""),"0149-6395")</f>
        <v>0149-6395</v>
      </c>
      <c r="E82" s="39" t="str">
        <f ca="1">IFERROR(__xludf.DUMMYFUNCTION("""COMPUTED_VALUE"""),"1985-2021")</f>
        <v>1985-2021</v>
      </c>
      <c r="F82" s="206" t="str">
        <f ca="1">IFERROR(__xludf.DUMMYFUNCTION("""COMPUTED_VALUE"""),"SCIE, SCOPUS")</f>
        <v>SCIE, SCOPUS</v>
      </c>
      <c r="G82" s="116" t="str">
        <f ca="1">IFERROR(__xludf.DUMMYFUNCTION("""COMPUTED_VALUE"""),"http://www.riss.kr/link?id=S17031")</f>
        <v>http://www.riss.kr/link?id=S17031</v>
      </c>
      <c r="H82" s="24" t="str">
        <f ca="1">IFERROR(__xludf.DUMMYFUNCTION("""COMPUTED_VALUE"""),"O")</f>
        <v>O</v>
      </c>
    </row>
    <row r="83" spans="1:8" ht="26.25" customHeight="1">
      <c r="A83" s="154">
        <f t="shared" ca="1" si="0"/>
        <v>80</v>
      </c>
      <c r="B83" s="19" t="str">
        <f ca="1">IFERROR(__xludf.DUMMYFUNCTION("""COMPUTED_VALUE"""),"Surface Engineering")</f>
        <v>Surface Engineering</v>
      </c>
      <c r="C83" s="19" t="str">
        <f ca="1">IFERROR(__xludf.DUMMYFUNCTION("""COMPUTED_VALUE"""),"Institute of Metals and the Wolfson Institute for Surface Engineering")</f>
        <v>Institute of Metals and the Wolfson Institute for Surface Engineering</v>
      </c>
      <c r="D83" s="20" t="str">
        <f ca="1">IFERROR(__xludf.DUMMYFUNCTION("""COMPUTED_VALUE"""),"0267-0844")</f>
        <v>0267-0844</v>
      </c>
      <c r="E83" s="39" t="str">
        <f ca="1">IFERROR(__xludf.DUMMYFUNCTION("""COMPUTED_VALUE"""),"2010-2021")</f>
        <v>2010-2021</v>
      </c>
      <c r="F83" s="206" t="str">
        <f ca="1">IFERROR(__xludf.DUMMYFUNCTION("""COMPUTED_VALUE"""),"SCIE, SCOPUS")</f>
        <v>SCIE, SCOPUS</v>
      </c>
      <c r="G83" s="116" t="str">
        <f ca="1">IFERROR(__xludf.DUMMYFUNCTION("""COMPUTED_VALUE"""),"http://www.riss.kr/link?id=S12262")</f>
        <v>http://www.riss.kr/link?id=S12262</v>
      </c>
      <c r="H83" s="24" t="str">
        <f ca="1">IFERROR(__xludf.DUMMYFUNCTION("""COMPUTED_VALUE"""),"O")</f>
        <v>O</v>
      </c>
    </row>
    <row r="84" spans="1:8" ht="26.25" customHeight="1">
      <c r="A84" s="154">
        <f t="shared" ca="1" si="0"/>
        <v>81</v>
      </c>
      <c r="B84" s="31" t="str">
        <f ca="1">IFERROR(__xludf.DUMMYFUNCTION("""COMPUTED_VALUE"""),"Synthesis")</f>
        <v>Synthesis</v>
      </c>
      <c r="C84" s="19" t="str">
        <f ca="1">IFERROR(__xludf.DUMMYFUNCTION("""COMPUTED_VALUE"""),"Georg Thieme Verlag")</f>
        <v>Georg Thieme Verlag</v>
      </c>
      <c r="D84" s="20" t="str">
        <f ca="1">IFERROR(__xludf.DUMMYFUNCTION("""COMPUTED_VALUE"""),"0039-7881")</f>
        <v>0039-7881</v>
      </c>
      <c r="E84" s="39" t="str">
        <f ca="1">IFERROR(__xludf.DUMMYFUNCTION("""COMPUTED_VALUE"""),"1982-2013")</f>
        <v>1982-2013</v>
      </c>
      <c r="F84" s="206" t="str">
        <f ca="1">IFERROR(__xludf.DUMMYFUNCTION("""COMPUTED_VALUE"""),"SCIE, SCOPUS")</f>
        <v>SCIE, SCOPUS</v>
      </c>
      <c r="G84" s="116" t="str">
        <f ca="1">IFERROR(__xludf.DUMMYFUNCTION("""COMPUTED_VALUE"""),"http://www.riss.kr/link?id=S68638")</f>
        <v>http://www.riss.kr/link?id=S68638</v>
      </c>
      <c r="H84" s="24" t="str">
        <f ca="1">IFERROR(__xludf.DUMMYFUNCTION("""COMPUTED_VALUE"""),"X")</f>
        <v>X</v>
      </c>
    </row>
    <row r="85" spans="1:8" ht="26.25" customHeight="1">
      <c r="A85" s="154">
        <f t="shared" ca="1" si="0"/>
        <v>82</v>
      </c>
      <c r="B85" s="19" t="str">
        <f ca="1">IFERROR(__xludf.DUMMYFUNCTION("""COMPUTED_VALUE"""),"Taikabutsu")</f>
        <v>Taikabutsu</v>
      </c>
      <c r="C85" s="19" t="str">
        <f ca="1">IFERROR(__xludf.DUMMYFUNCTION("""COMPUTED_VALUE"""),"Technical Association of Refractories")</f>
        <v>Technical Association of Refractories</v>
      </c>
      <c r="D85" s="20" t="str">
        <f ca="1">IFERROR(__xludf.DUMMYFUNCTION("""COMPUTED_VALUE"""),"0039-8993")</f>
        <v>0039-8993</v>
      </c>
      <c r="E85" s="39" t="str">
        <f ca="1">IFERROR(__xludf.DUMMYFUNCTION("""COMPUTED_VALUE"""),"1980-2021")</f>
        <v>1980-2021</v>
      </c>
      <c r="F85" s="206" t="str">
        <f ca="1">IFERROR(__xludf.DUMMYFUNCTION("""COMPUTED_VALUE"""),"-")</f>
        <v>-</v>
      </c>
      <c r="G85" s="116" t="str">
        <f ca="1">IFERROR(__xludf.DUMMYFUNCTION("""COMPUTED_VALUE"""),"http://www.riss.kr/link?id=S407398")</f>
        <v>http://www.riss.kr/link?id=S407398</v>
      </c>
      <c r="H85" s="24" t="str">
        <f ca="1">IFERROR(__xludf.DUMMYFUNCTION("""COMPUTED_VALUE"""),"O")</f>
        <v>O</v>
      </c>
    </row>
    <row r="86" spans="1:8" ht="26.25" customHeight="1">
      <c r="A86" s="154">
        <f t="shared" ca="1" si="0"/>
        <v>83</v>
      </c>
      <c r="B86" s="31" t="str">
        <f ca="1">IFERROR(__xludf.DUMMYFUNCTION("""COMPUTED_VALUE"""),"Tenside Surfactants Detergents")</f>
        <v>Tenside Surfactants Detergents</v>
      </c>
      <c r="C86" s="19" t="str">
        <f ca="1">IFERROR(__xludf.DUMMYFUNCTION("""COMPUTED_VALUE"""),"Carl Hanser Verlag GmbH &amp; Co. KG")</f>
        <v>Carl Hanser Verlag GmbH &amp; Co. KG</v>
      </c>
      <c r="D86" s="20" t="str">
        <f ca="1">IFERROR(__xludf.DUMMYFUNCTION("""COMPUTED_VALUE"""),"0932-3414")</f>
        <v>0932-3414</v>
      </c>
      <c r="E86" s="39">
        <f ca="1">IFERROR(__xludf.DUMMYFUNCTION("""COMPUTED_VALUE"""),2013)</f>
        <v>2013</v>
      </c>
      <c r="F86" s="206" t="str">
        <f ca="1">IFERROR(__xludf.DUMMYFUNCTION("""COMPUTED_VALUE"""),"SCIE, SCOPUS")</f>
        <v>SCIE, SCOPUS</v>
      </c>
      <c r="G86" s="116" t="str">
        <f ca="1">IFERROR(__xludf.DUMMYFUNCTION("""COMPUTED_VALUE"""),"http://www.riss.kr/link?id=S415882")</f>
        <v>http://www.riss.kr/link?id=S415882</v>
      </c>
      <c r="H86" s="24" t="str">
        <f ca="1">IFERROR(__xludf.DUMMYFUNCTION("""COMPUTED_VALUE"""),"X")</f>
        <v>X</v>
      </c>
    </row>
    <row r="87" spans="1:8" ht="26.25" customHeight="1">
      <c r="A87" s="154">
        <f t="shared" ca="1" si="0"/>
        <v>84</v>
      </c>
      <c r="B87" s="31" t="str">
        <f ca="1">IFERROR(__xludf.DUMMYFUNCTION("""COMPUTED_VALUE"""),"The Cooling journal")</f>
        <v>The Cooling journal</v>
      </c>
      <c r="C87" s="19" t="str">
        <f ca="1">IFERROR(__xludf.DUMMYFUNCTION("""COMPUTED_VALUE"""),"National Automotive Radiator Service Association")</f>
        <v>National Automotive Radiator Service Association</v>
      </c>
      <c r="D87" s="20" t="str">
        <f ca="1">IFERROR(__xludf.DUMMYFUNCTION("""COMPUTED_VALUE"""),"0005-1497")</f>
        <v>0005-1497</v>
      </c>
      <c r="E87" s="39" t="str">
        <f ca="1">IFERROR(__xludf.DUMMYFUNCTION("""COMPUTED_VALUE"""),"2010-2019")</f>
        <v>2010-2019</v>
      </c>
      <c r="F87" s="206" t="str">
        <f ca="1">IFERROR(__xludf.DUMMYFUNCTION("""COMPUTED_VALUE"""),"-")</f>
        <v>-</v>
      </c>
      <c r="G87" s="116" t="str">
        <f ca="1">IFERROR(__xludf.DUMMYFUNCTION("""COMPUTED_VALUE"""),"http://www.riss.kr/link?id=S115630")</f>
        <v>http://www.riss.kr/link?id=S115630</v>
      </c>
      <c r="H87" s="24" t="str">
        <f ca="1">IFERROR(__xludf.DUMMYFUNCTION("""COMPUTED_VALUE"""),"X")</f>
        <v>X</v>
      </c>
    </row>
    <row r="88" spans="1:8" ht="26.25" customHeight="1">
      <c r="A88" s="154">
        <f t="shared" ca="1" si="0"/>
        <v>85</v>
      </c>
      <c r="B88" s="31" t="str">
        <f ca="1">IFERROR(__xludf.DUMMYFUNCTION("""COMPUTED_VALUE"""),"The Electrochemical Society Interface")</f>
        <v>The Electrochemical Society Interface</v>
      </c>
      <c r="C88" s="19" t="str">
        <f ca="1">IFERROR(__xludf.DUMMYFUNCTION("""COMPUTED_VALUE"""),"Electrochemical Society, Inc.")</f>
        <v>Electrochemical Society, Inc.</v>
      </c>
      <c r="D88" s="20" t="str">
        <f ca="1">IFERROR(__xludf.DUMMYFUNCTION("""COMPUTED_VALUE"""),"1064-8208")</f>
        <v>1064-8208</v>
      </c>
      <c r="E88" s="39" t="str">
        <f ca="1">IFERROR(__xludf.DUMMYFUNCTION("""COMPUTED_VALUE"""),"1996-2016")</f>
        <v>1996-2016</v>
      </c>
      <c r="F88" s="206" t="str">
        <f ca="1">IFERROR(__xludf.DUMMYFUNCTION("""COMPUTED_VALUE"""),"ESCI, SCOPUS")</f>
        <v>ESCI, SCOPUS</v>
      </c>
      <c r="G88" s="116" t="str">
        <f ca="1">IFERROR(__xludf.DUMMYFUNCTION("""COMPUTED_VALUE"""),"http://www.riss.kr/link?id=S30007494")</f>
        <v>http://www.riss.kr/link?id=S30007494</v>
      </c>
      <c r="H88" s="24" t="str">
        <f ca="1">IFERROR(__xludf.DUMMYFUNCTION("""COMPUTED_VALUE"""),"X")</f>
        <v>X</v>
      </c>
    </row>
    <row r="89" spans="1:8" ht="26.25" customHeight="1">
      <c r="A89" s="154">
        <f t="shared" ca="1" si="0"/>
        <v>86</v>
      </c>
      <c r="B89" s="19" t="str">
        <f ca="1">IFERROR(__xludf.DUMMYFUNCTION("""COMPUTED_VALUE"""),"The Journal of Adhesion")</f>
        <v>The Journal of Adhesion</v>
      </c>
      <c r="C89" s="19" t="str">
        <f ca="1">IFERROR(__xludf.DUMMYFUNCTION("""COMPUTED_VALUE"""),"Taylor &amp; Francis")</f>
        <v>Taylor &amp; Francis</v>
      </c>
      <c r="D89" s="20" t="str">
        <f ca="1">IFERROR(__xludf.DUMMYFUNCTION("""COMPUTED_VALUE"""),"0021-8464")</f>
        <v>0021-8464</v>
      </c>
      <c r="E89" s="39" t="str">
        <f ca="1">IFERROR(__xludf.DUMMYFUNCTION("""COMPUTED_VALUE"""),"2010-2021")</f>
        <v>2010-2021</v>
      </c>
      <c r="F89" s="206" t="str">
        <f ca="1">IFERROR(__xludf.DUMMYFUNCTION("""COMPUTED_VALUE"""),"SCIE, SCOPUS")</f>
        <v>SCIE, SCOPUS</v>
      </c>
      <c r="G89" s="116" t="str">
        <f ca="1">IFERROR(__xludf.DUMMYFUNCTION("""COMPUTED_VALUE"""),"http://www.riss.kr/link?id=S86061")</f>
        <v>http://www.riss.kr/link?id=S86061</v>
      </c>
      <c r="H89" s="24" t="str">
        <f ca="1">IFERROR(__xludf.DUMMYFUNCTION("""COMPUTED_VALUE"""),"O")</f>
        <v>O</v>
      </c>
    </row>
    <row r="90" spans="1:8" ht="26.25" customHeight="1">
      <c r="A90" s="154">
        <f t="shared" ca="1" si="0"/>
        <v>87</v>
      </c>
      <c r="B90" s="31" t="str">
        <f ca="1">IFERROR(__xludf.DUMMYFUNCTION("""COMPUTED_VALUE"""),"The Journal of Explosives Engineering")</f>
        <v>The Journal of Explosives Engineering</v>
      </c>
      <c r="C90" s="19" t="str">
        <f ca="1">IFERROR(__xludf.DUMMYFUNCTION("""COMPUTED_VALUE"""),"International Society of Explosives Engineers")</f>
        <v>International Society of Explosives Engineers</v>
      </c>
      <c r="D90" s="20" t="str">
        <f ca="1">IFERROR(__xludf.DUMMYFUNCTION("""COMPUTED_VALUE"""),"0889-0668")</f>
        <v>0889-0668</v>
      </c>
      <c r="E90" s="39" t="str">
        <f ca="1">IFERROR(__xludf.DUMMYFUNCTION("""COMPUTED_VALUE"""),"2010-2019")</f>
        <v>2010-2019</v>
      </c>
      <c r="F90" s="206" t="str">
        <f ca="1">IFERROR(__xludf.DUMMYFUNCTION("""COMPUTED_VALUE"""),"-")</f>
        <v>-</v>
      </c>
      <c r="G90" s="116" t="str">
        <f ca="1">IFERROR(__xludf.DUMMYFUNCTION("""COMPUTED_VALUE"""),"http://www.riss.kr/link?id=S411666")</f>
        <v>http://www.riss.kr/link?id=S411666</v>
      </c>
      <c r="H90" s="24" t="str">
        <f ca="1">IFERROR(__xludf.DUMMYFUNCTION("""COMPUTED_VALUE"""),"X")</f>
        <v>X</v>
      </c>
    </row>
    <row r="91" spans="1:8" ht="26.25" customHeight="1">
      <c r="A91" s="154">
        <f t="shared" ca="1" si="0"/>
        <v>88</v>
      </c>
      <c r="B91" s="19" t="str">
        <f ca="1">IFERROR(__xludf.DUMMYFUNCTION("""COMPUTED_VALUE"""),"オレオサイエンス")</f>
        <v>オレオサイエンス</v>
      </c>
      <c r="C91" s="19" t="str">
        <f ca="1">IFERROR(__xludf.DUMMYFUNCTION("""COMPUTED_VALUE"""),"日本油化學會")</f>
        <v>日本油化學會</v>
      </c>
      <c r="D91" s="20" t="str">
        <f ca="1">IFERROR(__xludf.DUMMYFUNCTION("""COMPUTED_VALUE"""),"1345-8949")</f>
        <v>1345-8949</v>
      </c>
      <c r="E91" s="39" t="str">
        <f ca="1">IFERROR(__xludf.DUMMYFUNCTION("""COMPUTED_VALUE"""),"2001-2021")</f>
        <v>2001-2021</v>
      </c>
      <c r="F91" s="206" t="str">
        <f ca="1">IFERROR(__xludf.DUMMYFUNCTION("""COMPUTED_VALUE"""),"-")</f>
        <v>-</v>
      </c>
      <c r="G91" s="116" t="str">
        <f ca="1">IFERROR(__xludf.DUMMYFUNCTION("""COMPUTED_VALUE"""),"http://www.riss.kr/link?id=S20095138")</f>
        <v>http://www.riss.kr/link?id=S20095138</v>
      </c>
      <c r="H91" s="24" t="str">
        <f ca="1">IFERROR(__xludf.DUMMYFUNCTION("""COMPUTED_VALUE"""),"O")</f>
        <v>O</v>
      </c>
    </row>
    <row r="92" spans="1:8" ht="26.25" customHeight="1">
      <c r="A92" s="154">
        <f t="shared" ca="1" si="0"/>
        <v>89</v>
      </c>
      <c r="B92" s="31" t="str">
        <f ca="1">IFERROR(__xludf.DUMMYFUNCTION("""COMPUTED_VALUE"""),"フ-ドケミカル")</f>
        <v>フ-ドケミカル</v>
      </c>
      <c r="C92" s="19" t="str">
        <f ca="1">IFERROR(__xludf.DUMMYFUNCTION("""COMPUTED_VALUE"""),"Shokuhin Kagaku Shinbunsha")</f>
        <v>Shokuhin Kagaku Shinbunsha</v>
      </c>
      <c r="D92" s="20" t="str">
        <f ca="1">IFERROR(__xludf.DUMMYFUNCTION("""COMPUTED_VALUE"""),"0911-2286")</f>
        <v>0911-2286</v>
      </c>
      <c r="E92" s="39" t="str">
        <f ca="1">IFERROR(__xludf.DUMMYFUNCTION("""COMPUTED_VALUE"""),"2015-2019")</f>
        <v>2015-2019</v>
      </c>
      <c r="F92" s="206" t="str">
        <f ca="1">IFERROR(__xludf.DUMMYFUNCTION("""COMPUTED_VALUE"""),"-")</f>
        <v>-</v>
      </c>
      <c r="G92" s="116" t="str">
        <f ca="1">IFERROR(__xludf.DUMMYFUNCTION("""COMPUTED_VALUE"""),"http://www.riss.kr/link?id=S48720")</f>
        <v>http://www.riss.kr/link?id=S48720</v>
      </c>
      <c r="H92" s="24" t="str">
        <f ca="1">IFERROR(__xludf.DUMMYFUNCTION("""COMPUTED_VALUE"""),"X")</f>
        <v>X</v>
      </c>
    </row>
    <row r="93" spans="1:8" ht="26.25" customHeight="1">
      <c r="A93" s="154">
        <f t="shared" ca="1" si="0"/>
        <v>90</v>
      </c>
      <c r="B93" s="19" t="str">
        <f ca="1">IFERROR(__xludf.DUMMYFUNCTION("""COMPUTED_VALUE"""),"高分子")</f>
        <v>高分子</v>
      </c>
      <c r="C93" s="19" t="str">
        <f ca="1">IFERROR(__xludf.DUMMYFUNCTION("""COMPUTED_VALUE"""),"Society of Polymer Science, Japan")</f>
        <v>Society of Polymer Science, Japan</v>
      </c>
      <c r="D93" s="20" t="str">
        <f ca="1">IFERROR(__xludf.DUMMYFUNCTION("""COMPUTED_VALUE"""),"0454-1138")</f>
        <v>0454-1138</v>
      </c>
      <c r="E93" s="39" t="str">
        <f ca="1">IFERROR(__xludf.DUMMYFUNCTION("""COMPUTED_VALUE"""),"1957-1962, 1964-1969, 1980-2021")</f>
        <v>1957-1962, 1964-1969, 1980-2021</v>
      </c>
      <c r="F93" s="206" t="str">
        <f ca="1">IFERROR(__xludf.DUMMYFUNCTION("""COMPUTED_VALUE"""),"-")</f>
        <v>-</v>
      </c>
      <c r="G93" s="116" t="str">
        <f ca="1">IFERROR(__xludf.DUMMYFUNCTION("""COMPUTED_VALUE"""),"http://www.riss.kr/link?id=S41124")</f>
        <v>http://www.riss.kr/link?id=S41124</v>
      </c>
      <c r="H93" s="24" t="str">
        <f ca="1">IFERROR(__xludf.DUMMYFUNCTION("""COMPUTED_VALUE"""),"O")</f>
        <v>O</v>
      </c>
    </row>
    <row r="94" spans="1:8" ht="26.25" customHeight="1">
      <c r="A94" s="154">
        <f t="shared" ca="1" si="0"/>
        <v>91</v>
      </c>
      <c r="B94" s="19" t="str">
        <f ca="1">IFERROR(__xludf.DUMMYFUNCTION("""COMPUTED_VALUE"""),"冷凍")</f>
        <v>冷凍</v>
      </c>
      <c r="C94" s="19" t="str">
        <f ca="1">IFERROR(__xludf.DUMMYFUNCTION("""COMPUTED_VALUE"""),"Japan Society of Refrigerating and Air Conditioning Engineers")</f>
        <v>Japan Society of Refrigerating and Air Conditioning Engineers</v>
      </c>
      <c r="D94" s="20" t="str">
        <f ca="1">IFERROR(__xludf.DUMMYFUNCTION("""COMPUTED_VALUE"""),"0034-3714")</f>
        <v>0034-3714</v>
      </c>
      <c r="E94" s="39" t="str">
        <f ca="1">IFERROR(__xludf.DUMMYFUNCTION("""COMPUTED_VALUE"""),"2010-2021")</f>
        <v>2010-2021</v>
      </c>
      <c r="F94" s="206" t="str">
        <f ca="1">IFERROR(__xludf.DUMMYFUNCTION("""COMPUTED_VALUE"""),"-")</f>
        <v>-</v>
      </c>
      <c r="G94" s="116" t="str">
        <f ca="1">IFERROR(__xludf.DUMMYFUNCTION("""COMPUTED_VALUE"""),"http://www.riss.kr/link?id=S54489")</f>
        <v>http://www.riss.kr/link?id=S54489</v>
      </c>
      <c r="H94" s="24" t="str">
        <f ca="1">IFERROR(__xludf.DUMMYFUNCTION("""COMPUTED_VALUE"""),"O")</f>
        <v>O</v>
      </c>
    </row>
    <row r="95" spans="1:8" ht="26.25" customHeight="1">
      <c r="A95" s="154">
        <f t="shared" ca="1" si="0"/>
        <v>92</v>
      </c>
      <c r="B95" s="31" t="str">
        <f ca="1">IFERROR(__xludf.DUMMYFUNCTION("""COMPUTED_VALUE"""),"分析化學")</f>
        <v>分析化學</v>
      </c>
      <c r="C95" s="19" t="str">
        <f ca="1">IFERROR(__xludf.DUMMYFUNCTION("""COMPUTED_VALUE"""),"日本分析化學會")</f>
        <v>日本分析化學會</v>
      </c>
      <c r="D95" s="1"/>
      <c r="E95" s="39" t="str">
        <f ca="1">IFERROR(__xludf.DUMMYFUNCTION("""COMPUTED_VALUE"""),"1965-1981, 1983-1999")</f>
        <v>1965-1981, 1983-1999</v>
      </c>
      <c r="F95" s="206" t="str">
        <f ca="1">IFERROR(__xludf.DUMMYFUNCTION("""COMPUTED_VALUE"""),"-")</f>
        <v>-</v>
      </c>
      <c r="G95" s="116" t="str">
        <f ca="1">IFERROR(__xludf.DUMMYFUNCTION("""COMPUTED_VALUE"""),"http://www.riss.kr/link?id=S93244")</f>
        <v>http://www.riss.kr/link?id=S93244</v>
      </c>
      <c r="H95" s="24" t="str">
        <f ca="1">IFERROR(__xludf.DUMMYFUNCTION("""COMPUTED_VALUE"""),"X")</f>
        <v>X</v>
      </c>
    </row>
    <row r="96" spans="1:8" ht="26.25" customHeight="1">
      <c r="A96" s="154">
        <f t="shared" ca="1" si="0"/>
        <v>93</v>
      </c>
      <c r="B96" s="31" t="str">
        <f ca="1">IFERROR(__xludf.DUMMYFUNCTION("""COMPUTED_VALUE"""),"原子力 eye")</f>
        <v>原子力 eye</v>
      </c>
      <c r="C96" s="19" t="str">
        <f ca="1">IFERROR(__xludf.DUMMYFUNCTION("""COMPUTED_VALUE"""),"Industrial Daily News Ltd.")</f>
        <v>Industrial Daily News Ltd.</v>
      </c>
      <c r="D96" s="20" t="str">
        <f ca="1">IFERROR(__xludf.DUMMYFUNCTION("""COMPUTED_VALUE"""),"1343-3563")</f>
        <v>1343-3563</v>
      </c>
      <c r="E96" s="39" t="str">
        <f ca="1">IFERROR(__xludf.DUMMYFUNCTION("""COMPUTED_VALUE"""),"1998-2011")</f>
        <v>1998-2011</v>
      </c>
      <c r="F96" s="206" t="str">
        <f ca="1">IFERROR(__xludf.DUMMYFUNCTION("""COMPUTED_VALUE"""),"-")</f>
        <v>-</v>
      </c>
      <c r="G96" s="116" t="str">
        <f ca="1">IFERROR(__xludf.DUMMYFUNCTION("""COMPUTED_VALUE"""),"http://www.riss.kr/link?id=S6194")</f>
        <v>http://www.riss.kr/link?id=S6194</v>
      </c>
      <c r="H96" s="24" t="str">
        <f ca="1">IFERROR(__xludf.DUMMYFUNCTION("""COMPUTED_VALUE"""),"X")</f>
        <v>X</v>
      </c>
    </row>
    <row r="97" spans="1:8" ht="26.25" customHeight="1">
      <c r="A97" s="154">
        <f t="shared" ca="1" si="0"/>
        <v>94</v>
      </c>
      <c r="B97" s="31" t="str">
        <f ca="1">IFERROR(__xludf.DUMMYFUNCTION("""COMPUTED_VALUE"""),"日本原子力學會誌")</f>
        <v>日本原子力學會誌</v>
      </c>
      <c r="C97" s="19" t="str">
        <f ca="1">IFERROR(__xludf.DUMMYFUNCTION("""COMPUTED_VALUE"""),"Atomic Energy Society of Japan")</f>
        <v>Atomic Energy Society of Japan</v>
      </c>
      <c r="D97" s="20" t="str">
        <f ca="1">IFERROR(__xludf.DUMMYFUNCTION("""COMPUTED_VALUE"""),"1882-2606")</f>
        <v>1882-2606</v>
      </c>
      <c r="E97" s="39" t="str">
        <f ca="1">IFERROR(__xludf.DUMMYFUNCTION("""COMPUTED_VALUE"""),"2011-2018")</f>
        <v>2011-2018</v>
      </c>
      <c r="F97" s="206" t="str">
        <f ca="1">IFERROR(__xludf.DUMMYFUNCTION("""COMPUTED_VALUE"""),"-")</f>
        <v>-</v>
      </c>
      <c r="G97" s="116" t="str">
        <f ca="1">IFERROR(__xludf.DUMMYFUNCTION("""COMPUTED_VALUE"""),"http://www.riss.kr/link?id=S416788")</f>
        <v>http://www.riss.kr/link?id=S416788</v>
      </c>
      <c r="H97" s="24" t="str">
        <f ca="1">IFERROR(__xludf.DUMMYFUNCTION("""COMPUTED_VALUE"""),"X")</f>
        <v>X</v>
      </c>
    </row>
    <row r="98" spans="1:8" ht="26.25" customHeight="1">
      <c r="A98" s="154">
        <f t="shared" ca="1" si="0"/>
        <v>95</v>
      </c>
      <c r="B98" s="31" t="str">
        <f ca="1">IFERROR(__xludf.DUMMYFUNCTION("""COMPUTED_VALUE"""),"表面")</f>
        <v>表面</v>
      </c>
      <c r="C98" s="19" t="str">
        <f ca="1">IFERROR(__xludf.DUMMYFUNCTION("""COMPUTED_VALUE"""),"Koshinsha Co. Ltd.")</f>
        <v>Koshinsha Co. Ltd.</v>
      </c>
      <c r="D98" s="20" t="str">
        <f ca="1">IFERROR(__xludf.DUMMYFUNCTION("""COMPUTED_VALUE"""),"0367-648X")</f>
        <v>0367-648X</v>
      </c>
      <c r="E98" s="39" t="str">
        <f ca="1">IFERROR(__xludf.DUMMYFUNCTION("""COMPUTED_VALUE"""),"1992-2011")</f>
        <v>1992-2011</v>
      </c>
      <c r="F98" s="206" t="str">
        <f ca="1">IFERROR(__xludf.DUMMYFUNCTION("""COMPUTED_VALUE"""),"-")</f>
        <v>-</v>
      </c>
      <c r="G98" s="116" t="str">
        <f ca="1">IFERROR(__xludf.DUMMYFUNCTION("""COMPUTED_VALUE"""),"http://www.riss.kr/link?id=S63540")</f>
        <v>http://www.riss.kr/link?id=S63540</v>
      </c>
      <c r="H98" s="24" t="str">
        <f ca="1">IFERROR(__xludf.DUMMYFUNCTION("""COMPUTED_VALUE"""),"X")</f>
        <v>X</v>
      </c>
    </row>
    <row r="99" spans="1:8" ht="26.25" customHeight="1">
      <c r="A99" s="154">
        <f t="shared" ca="1" si="0"/>
        <v>96</v>
      </c>
      <c r="B99" s="19" t="str">
        <f ca="1">IFERROR(__xludf.DUMMYFUNCTION("""COMPUTED_VALUE"""),"表面と眞空")</f>
        <v>表面と眞空</v>
      </c>
      <c r="C99" s="19" t="str">
        <f ca="1">IFERROR(__xludf.DUMMYFUNCTION("""COMPUTED_VALUE"""),"日本表面科学会")</f>
        <v>日本表面科学会</v>
      </c>
      <c r="D99" s="20" t="str">
        <f ca="1">IFERROR(__xludf.DUMMYFUNCTION("""COMPUTED_VALUE"""),"2433-5835")</f>
        <v>2433-5835</v>
      </c>
      <c r="E99" s="39" t="str">
        <f ca="1">IFERROR(__xludf.DUMMYFUNCTION("""COMPUTED_VALUE"""),"2010-2019")</f>
        <v>2010-2019</v>
      </c>
      <c r="F99" s="206" t="str">
        <f ca="1">IFERROR(__xludf.DUMMYFUNCTION("""COMPUTED_VALUE"""),"-")</f>
        <v>-</v>
      </c>
      <c r="G99" s="116" t="str">
        <f ca="1">IFERROR(__xludf.DUMMYFUNCTION("""COMPUTED_VALUE"""),"http://www.riss.kr/link?id=S61680")</f>
        <v>http://www.riss.kr/link?id=S61680</v>
      </c>
      <c r="H99" s="24" t="str">
        <f ca="1">IFERROR(__xludf.DUMMYFUNCTION("""COMPUTED_VALUE"""),"O")</f>
        <v>O</v>
      </c>
    </row>
    <row r="100" spans="1:8" ht="26.25" customHeight="1">
      <c r="A100" s="154">
        <f t="shared" ca="1" si="0"/>
        <v>97</v>
      </c>
      <c r="B100" s="19" t="str">
        <f ca="1">IFERROR(__xludf.DUMMYFUNCTION("""COMPUTED_VALUE"""),"表面技術")</f>
        <v>表面技術</v>
      </c>
      <c r="C100" s="19" t="str">
        <f ca="1">IFERROR(__xludf.DUMMYFUNCTION("""COMPUTED_VALUE"""),"Surface Finishing Society of Japan")</f>
        <v>Surface Finishing Society of Japan</v>
      </c>
      <c r="D100" s="20" t="str">
        <f ca="1">IFERROR(__xludf.DUMMYFUNCTION("""COMPUTED_VALUE"""),"0915-1869")</f>
        <v>0915-1869</v>
      </c>
      <c r="E100" s="39" t="str">
        <f ca="1">IFERROR(__xludf.DUMMYFUNCTION("""COMPUTED_VALUE"""),"1989-2004, 2010-2021")</f>
        <v>1989-2004, 2010-2021</v>
      </c>
      <c r="F100" s="206" t="str">
        <f ca="1">IFERROR(__xludf.DUMMYFUNCTION("""COMPUTED_VALUE"""),"-")</f>
        <v>-</v>
      </c>
      <c r="G100" s="116" t="str">
        <f ca="1">IFERROR(__xludf.DUMMYFUNCTION("""COMPUTED_VALUE"""),"http://www.riss.kr/link?id=S413798")</f>
        <v>http://www.riss.kr/link?id=S413798</v>
      </c>
      <c r="H100" s="24" t="str">
        <f ca="1">IFERROR(__xludf.DUMMYFUNCTION("""COMPUTED_VALUE"""),"O")</f>
        <v>O</v>
      </c>
    </row>
    <row r="101" spans="1:8" ht="26.25" customHeight="1">
      <c r="A101" s="154">
        <f t="shared" ca="1" si="0"/>
        <v>98</v>
      </c>
      <c r="B101" s="19" t="str">
        <f ca="1">IFERROR(__xludf.DUMMYFUNCTION("""COMPUTED_VALUE"""),"現代化學")</f>
        <v>現代化學</v>
      </c>
      <c r="C101" s="19" t="str">
        <f ca="1">IFERROR(__xludf.DUMMYFUNCTION("""COMPUTED_VALUE"""),"Tokyo Kagaku Dojin")</f>
        <v>Tokyo Kagaku Dojin</v>
      </c>
      <c r="D101" s="20" t="str">
        <f ca="1">IFERROR(__xludf.DUMMYFUNCTION("""COMPUTED_VALUE"""),"0386-961X")</f>
        <v>0386-961X</v>
      </c>
      <c r="E101" s="39" t="str">
        <f ca="1">IFERROR(__xludf.DUMMYFUNCTION("""COMPUTED_VALUE"""),"1974-2021")</f>
        <v>1974-2021</v>
      </c>
      <c r="F101" s="206" t="str">
        <f ca="1">IFERROR(__xludf.DUMMYFUNCTION("""COMPUTED_VALUE"""),"-")</f>
        <v>-</v>
      </c>
      <c r="G101" s="116" t="str">
        <f ca="1">IFERROR(__xludf.DUMMYFUNCTION("""COMPUTED_VALUE"""),"http://www.riss.kr/link?id=S58112")</f>
        <v>http://www.riss.kr/link?id=S58112</v>
      </c>
      <c r="H101" s="24" t="str">
        <f ca="1">IFERROR(__xludf.DUMMYFUNCTION("""COMPUTED_VALUE"""),"O")</f>
        <v>O</v>
      </c>
    </row>
    <row r="102" spans="1:8" ht="26.25" customHeight="1">
      <c r="A102" s="154">
        <f t="shared" ca="1" si="0"/>
        <v>99</v>
      </c>
      <c r="B102" s="19" t="str">
        <f ca="1">IFERROR(__xludf.DUMMYFUNCTION("""COMPUTED_VALUE"""),"化學工學")</f>
        <v>化學工學</v>
      </c>
      <c r="C102" s="115" t="str">
        <f ca="1">IFERROR(__xludf.DUMMYFUNCTION("""COMPUTED_VALUE"""),"Society of Chemical Engineers, Japan")</f>
        <v>Society of Chemical Engineers, Japan</v>
      </c>
      <c r="D102" s="20" t="str">
        <f ca="1">IFERROR(__xludf.DUMMYFUNCTION("""COMPUTED_VALUE"""),"0375-9253")</f>
        <v>0375-9253</v>
      </c>
      <c r="E102" s="39" t="str">
        <f ca="1">IFERROR(__xludf.DUMMYFUNCTION("""COMPUTED_VALUE"""),"1962-1963, 1974-1975, 1982-2021")</f>
        <v>1962-1963, 1974-1975, 1982-2021</v>
      </c>
      <c r="F102" s="206" t="str">
        <f ca="1">IFERROR(__xludf.DUMMYFUNCTION("""COMPUTED_VALUE"""),"-")</f>
        <v>-</v>
      </c>
      <c r="G102" s="23" t="str">
        <f ca="1">IFERROR(__xludf.DUMMYFUNCTION("""COMPUTED_VALUE"""),"http://www.riss.kr/link?id=S35578")</f>
        <v>http://www.riss.kr/link?id=S35578</v>
      </c>
      <c r="H102" s="24" t="str">
        <f ca="1">IFERROR(__xludf.DUMMYFUNCTION("""COMPUTED_VALUE"""),"O")</f>
        <v>O</v>
      </c>
    </row>
    <row r="103" spans="1:8" ht="26.25" customHeight="1">
      <c r="A103" s="154">
        <f t="shared" ca="1" si="0"/>
        <v>100</v>
      </c>
      <c r="B103" s="19" t="str">
        <f ca="1">IFERROR(__xludf.DUMMYFUNCTION("""COMPUTED_VALUE"""),"化學工學論文集")</f>
        <v>化學工學論文集</v>
      </c>
      <c r="C103" s="115" t="str">
        <f ca="1">IFERROR(__xludf.DUMMYFUNCTION("""COMPUTED_VALUE"""),"Society of Chemical Engineers, Japan")</f>
        <v>Society of Chemical Engineers, Japan</v>
      </c>
      <c r="D103" s="20" t="str">
        <f ca="1">IFERROR(__xludf.DUMMYFUNCTION("""COMPUTED_VALUE"""),"0386-216X")</f>
        <v>0386-216X</v>
      </c>
      <c r="E103" s="39" t="str">
        <f ca="1">IFERROR(__xludf.DUMMYFUNCTION("""COMPUTED_VALUE"""),"1982-2021")</f>
        <v>1982-2021</v>
      </c>
      <c r="F103" s="206" t="str">
        <f ca="1">IFERROR(__xludf.DUMMYFUNCTION("""COMPUTED_VALUE"""),"SCIE, SCOPUS")</f>
        <v>SCIE, SCOPUS</v>
      </c>
      <c r="G103" s="23" t="str">
        <f ca="1">IFERROR(__xludf.DUMMYFUNCTION("""COMPUTED_VALUE"""),"http://www.riss.kr/link?id=S20109")</f>
        <v>http://www.riss.kr/link?id=S20109</v>
      </c>
      <c r="H103" s="24" t="str">
        <f ca="1">IFERROR(__xludf.DUMMYFUNCTION("""COMPUTED_VALUE"""),"O")</f>
        <v>O</v>
      </c>
    </row>
    <row r="104" spans="1:8" ht="26.25" customHeight="1">
      <c r="A104" s="211">
        <f t="shared" ca="1" si="0"/>
        <v>101</v>
      </c>
      <c r="B104" s="118" t="str">
        <f ca="1">IFERROR(__xludf.DUMMYFUNCTION("""COMPUTED_VALUE"""),"化學裝置")</f>
        <v>化學裝置</v>
      </c>
      <c r="C104" s="241" t="str">
        <f ca="1">IFERROR(__xludf.DUMMYFUNCTION("""COMPUTED_VALUE"""),"工業調査會")</f>
        <v>工業調査會</v>
      </c>
      <c r="D104" s="119" t="str">
        <f ca="1">IFERROR(__xludf.DUMMYFUNCTION("""COMPUTED_VALUE"""),"0368-4849")</f>
        <v>0368-4849</v>
      </c>
      <c r="E104" s="212" t="str">
        <f ca="1">IFERROR(__xludf.DUMMYFUNCTION("""COMPUTED_VALUE"""),"1959-1960, 1963, 1966, 1970-2020")</f>
        <v>1959-1960, 1963, 1966, 1970-2020</v>
      </c>
      <c r="F104" s="213" t="str">
        <f ca="1">IFERROR(__xludf.DUMMYFUNCTION("""COMPUTED_VALUE"""),"-")</f>
        <v>-</v>
      </c>
      <c r="G104" s="187" t="str">
        <f ca="1">IFERROR(__xludf.DUMMYFUNCTION("""COMPUTED_VALUE"""),"http://www.riss.kr/link?id=S40112")</f>
        <v>http://www.riss.kr/link?id=S40112</v>
      </c>
      <c r="H104" s="165" t="str">
        <f ca="1">IFERROR(__xludf.DUMMYFUNCTION("""COMPUTED_VALUE"""),"X")</f>
        <v>X</v>
      </c>
    </row>
    <row r="105" spans="1:8" ht="16.5" customHeight="1">
      <c r="A105" s="46" t="str">
        <f t="shared" si="0"/>
        <v/>
      </c>
      <c r="B105" s="215"/>
      <c r="C105" s="215"/>
      <c r="D105" s="1"/>
      <c r="E105" s="216"/>
      <c r="F105" s="217"/>
      <c r="G105" s="108"/>
      <c r="H105" s="1"/>
    </row>
    <row r="106" spans="1:8" ht="16.5" customHeight="1">
      <c r="A106" s="46" t="str">
        <f t="shared" si="0"/>
        <v/>
      </c>
      <c r="B106" s="215"/>
      <c r="C106" s="215"/>
      <c r="D106" s="231"/>
      <c r="E106" s="216"/>
      <c r="F106" s="217"/>
      <c r="G106" s="108"/>
      <c r="H106" s="1"/>
    </row>
    <row r="107" spans="1:8" ht="16.5" customHeight="1">
      <c r="A107" s="46" t="str">
        <f t="shared" si="0"/>
        <v/>
      </c>
      <c r="B107" s="221"/>
      <c r="C107" s="215"/>
      <c r="D107" s="1"/>
      <c r="E107" s="216"/>
      <c r="F107" s="217"/>
      <c r="G107" s="108"/>
      <c r="H107" s="1"/>
    </row>
    <row r="108" spans="1:8" ht="16.5" customHeight="1">
      <c r="A108" s="46" t="str">
        <f t="shared" si="0"/>
        <v/>
      </c>
      <c r="B108" s="215"/>
      <c r="C108" s="215"/>
      <c r="D108" s="232"/>
      <c r="E108" s="216"/>
      <c r="F108" s="217"/>
      <c r="G108" s="108"/>
      <c r="H108" s="1"/>
    </row>
    <row r="109" spans="1:8" ht="16.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</row>
    <row r="110" spans="1:8" ht="16.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</row>
    <row r="111" spans="1:8" ht="16.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</row>
    <row r="112" spans="1:8" ht="16.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</row>
    <row r="113" spans="1:8" ht="16.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</row>
    <row r="114" spans="1:8" ht="16.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</row>
    <row r="115" spans="1:8" ht="16.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</row>
    <row r="116" spans="1:8" ht="16.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</row>
    <row r="117" spans="1:8" ht="16.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</row>
    <row r="118" spans="1:8" ht="16.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</row>
    <row r="119" spans="1:8" ht="16.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</row>
    <row r="120" spans="1:8" ht="16.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</row>
    <row r="121" spans="1:8" ht="16.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</row>
    <row r="122" spans="1:8" ht="16.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</row>
    <row r="123" spans="1:8" ht="16.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</row>
    <row r="124" spans="1:8" ht="16.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</row>
    <row r="125" spans="1:8" ht="16.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</row>
    <row r="126" spans="1:8" ht="16.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</row>
    <row r="127" spans="1:8" ht="16.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</row>
    <row r="128" spans="1:8" ht="16.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</row>
    <row r="129" spans="1:9" ht="16.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</row>
    <row r="130" spans="1:9" ht="16.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</row>
    <row r="131" spans="1:9" ht="16.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</row>
    <row r="132" spans="1:9" ht="16.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</row>
    <row r="133" spans="1:9" ht="16.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</row>
    <row r="134" spans="1:9" ht="16.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</row>
    <row r="135" spans="1:9" ht="16.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</row>
    <row r="136" spans="1:9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9" ht="16.5" customHeight="1">
      <c r="A138" s="46"/>
      <c r="F138" s="167"/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 display="http://www.riss.kr/link?id=S16981"/>
    <hyperlink ref="G5" r:id="rId2" display="http://www.riss.kr/link?id=S11574113"/>
    <hyperlink ref="G6" r:id="rId3" display="http://www.riss.kr/link?id=S14693"/>
    <hyperlink ref="G7" r:id="rId4" display="http://www.riss.kr/link?id=S407270"/>
    <hyperlink ref="G8" r:id="rId5" display="http://www.riss.kr/link?id=S400756"/>
    <hyperlink ref="G9" r:id="rId6" display="http://www.riss.kr/link?id=S411913"/>
    <hyperlink ref="G10" r:id="rId7" display="http://www.riss.kr/link?id=S12866"/>
    <hyperlink ref="G11" r:id="rId8" display="http://www.riss.kr/link?id=S410185"/>
    <hyperlink ref="G12" r:id="rId9" display="http://www.riss.kr/link?id=S29005"/>
    <hyperlink ref="G13" r:id="rId10" display="http://www.riss.kr/link?id=S85045"/>
    <hyperlink ref="G14" r:id="rId11" display="http://www.riss.kr/link?id=S17152"/>
    <hyperlink ref="G15" r:id="rId12" display="http://www.riss.kr/link?id=S417040"/>
    <hyperlink ref="G16" r:id="rId13" display="http://www.riss.kr/link?id=S17150"/>
    <hyperlink ref="G17" r:id="rId14" display="http://www.riss.kr/link?id=S409678"/>
    <hyperlink ref="G18" r:id="rId15" display="http://www.riss.kr/link?id=S414399"/>
    <hyperlink ref="G19" r:id="rId16" display="http://www.riss.kr/link?id=S16440"/>
    <hyperlink ref="G20" r:id="rId17" display="http://www.riss.kr/link?id=S17146"/>
    <hyperlink ref="G21" r:id="rId18" display="http://www.riss.kr/link?id=S5004"/>
    <hyperlink ref="G22" r:id="rId19" display="http://www.riss.kr/link?id=S15648"/>
    <hyperlink ref="G23" r:id="rId20" display="http://www.riss.kr/link?id=S15647"/>
    <hyperlink ref="G24" r:id="rId21" display="http://www.riss.kr/link?id=S400897"/>
    <hyperlink ref="G25" r:id="rId22" display="http://www.riss.kr/link?id=S60957"/>
    <hyperlink ref="G26" r:id="rId23" display="http://www.riss.kr/link?id=S57569"/>
    <hyperlink ref="G27" r:id="rId24" display="http://www.riss.kr/link?id=S17133"/>
    <hyperlink ref="G28" r:id="rId25" display="http://www.riss.kr/link?id=S17067"/>
    <hyperlink ref="G29" r:id="rId26" display="http://www.riss.kr/link?id=S15636"/>
    <hyperlink ref="G30" r:id="rId27" display="http://www.riss.kr/link?id=S17074"/>
    <hyperlink ref="G31" r:id="rId28" display="http://www.riss.kr/link?id=S143666"/>
    <hyperlink ref="G32" r:id="rId29" display="http://www.riss.kr/link?id=S31000325"/>
    <hyperlink ref="G33" r:id="rId30" display="http://www.riss.kr/link?id=S405428"/>
    <hyperlink ref="G34" r:id="rId31" display="http://www.riss.kr/link?id=S20010150"/>
    <hyperlink ref="G35" r:id="rId32" display="http://www.riss.kr/link?id=S16191"/>
    <hyperlink ref="G36" r:id="rId33" display="http://www.riss.kr/link?id=S11574028"/>
    <hyperlink ref="G37" r:id="rId34" display="http://www.riss.kr/link?id=S403172"/>
    <hyperlink ref="G38" r:id="rId35" display="http://www.riss.kr/link?id=S115378"/>
    <hyperlink ref="G39" r:id="rId36" display="http://www.riss.kr/link?id=S29360"/>
    <hyperlink ref="G40" r:id="rId37" display="http://www.riss.kr/link?id=S418665"/>
    <hyperlink ref="G41" r:id="rId38" display="http://www.riss.kr/link?id=S30006261"/>
    <hyperlink ref="G42" r:id="rId39" display="http://www.riss.kr/link?id=S401790"/>
    <hyperlink ref="G43" r:id="rId40" display="http://www.riss.kr/link?id=S60899"/>
    <hyperlink ref="G44" r:id="rId41" display="http://www.riss.kr/link?id=S405313"/>
    <hyperlink ref="G45" r:id="rId42" display="http://www.riss.kr/link?id=S61261"/>
    <hyperlink ref="G46" r:id="rId43" display="http://www.riss.kr/link?id=S408353"/>
    <hyperlink ref="G47" r:id="rId44" display="http://www.riss.kr/link?id=S21308"/>
    <hyperlink ref="G48" r:id="rId45" display="http://www.riss.kr/link?id=S31004980"/>
    <hyperlink ref="G49" r:id="rId46" display="http://www.riss.kr/link?id=S13020"/>
    <hyperlink ref="G50" r:id="rId47" display="http://www.riss.kr/link?id=S12896"/>
    <hyperlink ref="G51" r:id="rId48" display="http://www.riss.kr/link?id=S90023891"/>
    <hyperlink ref="G52" r:id="rId49" display="http://www.riss.kr/link?id=S90023890"/>
    <hyperlink ref="G53" r:id="rId50" display="http://www.riss.kr/link?id=S90023683"/>
    <hyperlink ref="G54" r:id="rId51" display="http://www.riss.kr/link?id=S14024"/>
    <hyperlink ref="G55" r:id="rId52" display="http://www.riss.kr/link?id=S28470"/>
    <hyperlink ref="G56" r:id="rId53" display="http://www.riss.kr/link?id=S15539"/>
    <hyperlink ref="G57" r:id="rId54" display="http://www.riss.kr/link?id=S17078"/>
    <hyperlink ref="G58" r:id="rId55" display="http://www.riss.kr/link?id=S14916"/>
    <hyperlink ref="G59" r:id="rId56" display="http://www.riss.kr/link?id=S410763"/>
    <hyperlink ref="G60" r:id="rId57" display="http://www.riss.kr/link?id=S24599"/>
    <hyperlink ref="G61" r:id="rId58" display="http://www.riss.kr/link?id=S31013729"/>
    <hyperlink ref="C62" r:id="rId59" display="http://scientific.net/"/>
    <hyperlink ref="G62" r:id="rId60" display="http://www.riss.kr/link?id=S22129"/>
    <hyperlink ref="G63" r:id="rId61" display="http://www.riss.kr/link?id=S28468"/>
    <hyperlink ref="G64" r:id="rId62" display="http://www.riss.kr/link?id=S14360"/>
    <hyperlink ref="G65" r:id="rId63" display="http://www.riss.kr/link?id=S415066"/>
    <hyperlink ref="G66" r:id="rId64" display="http://www.riss.kr/link?id=S58540"/>
    <hyperlink ref="G67" r:id="rId65" display="http://www.riss.kr/link?id=S403127"/>
    <hyperlink ref="G68" r:id="rId66" display="http://www.riss.kr/link?id=S20010854"/>
    <hyperlink ref="G69" r:id="rId67" display="http://www.riss.kr/link?id=S29121"/>
    <hyperlink ref="G70" r:id="rId68" display="http://www.riss.kr/link?id=S28226"/>
    <hyperlink ref="G71" r:id="rId69" display="http://www.riss.kr/link?id=S13936"/>
    <hyperlink ref="G72" r:id="rId70" display="http://www.riss.kr/link?id=S90009235"/>
    <hyperlink ref="G73" r:id="rId71" display="http://www.riss.kr/link?id=S17042"/>
    <hyperlink ref="G74" r:id="rId72" display="http://www.riss.kr/link?id=S411588"/>
    <hyperlink ref="G75" r:id="rId73" display="http://www.riss.kr/link?id=S13243"/>
    <hyperlink ref="G76" r:id="rId74" display="http://www.riss.kr/link?id=S11574226"/>
    <hyperlink ref="G77" r:id="rId75" display="http://www.riss.kr/link?id=S39035"/>
    <hyperlink ref="G78" r:id="rId76" display="http://www.riss.kr/link?id=S12821"/>
    <hyperlink ref="G79" r:id="rId77" display="http://www.riss.kr/link?id=S402100"/>
    <hyperlink ref="G80" r:id="rId78" display="http://www.riss.kr/link?id=S413600"/>
    <hyperlink ref="G81" r:id="rId79" display="http://www.riss.kr/link?id=S20012183"/>
    <hyperlink ref="G82" r:id="rId80" display="http://www.riss.kr/link?id=S17031"/>
    <hyperlink ref="G83" r:id="rId81" display="http://www.riss.kr/link?id=S12262"/>
    <hyperlink ref="G84" r:id="rId82" display="http://www.riss.kr/link?id=S68638"/>
    <hyperlink ref="G85" r:id="rId83" display="http://www.riss.kr/link?id=S407398"/>
    <hyperlink ref="G86" r:id="rId84" display="http://www.riss.kr/link?id=S415882"/>
    <hyperlink ref="G87" r:id="rId85" display="http://www.riss.kr/link?id=S115630"/>
    <hyperlink ref="G88" r:id="rId86" display="http://www.riss.kr/link?id=S30007494"/>
    <hyperlink ref="G89" r:id="rId87" display="http://www.riss.kr/link?id=S86061"/>
    <hyperlink ref="G90" r:id="rId88" display="http://www.riss.kr/link?id=S411666"/>
    <hyperlink ref="G91" r:id="rId89" display="http://www.riss.kr/link?id=S20095138"/>
    <hyperlink ref="G92" r:id="rId90" display="http://www.riss.kr/link?id=S48720"/>
    <hyperlink ref="G93" r:id="rId91" display="http://www.riss.kr/link?id=S41124"/>
    <hyperlink ref="G94" r:id="rId92" display="http://www.riss.kr/link?id=S54489"/>
    <hyperlink ref="G95" r:id="rId93" display="http://www.riss.kr/link?id=S93244"/>
    <hyperlink ref="G96" r:id="rId94" display="http://www.riss.kr/link?id=S6194"/>
    <hyperlink ref="G97" r:id="rId95" display="http://www.riss.kr/link?id=S416788"/>
    <hyperlink ref="G98" r:id="rId96" display="http://www.riss.kr/link?id=S63540"/>
    <hyperlink ref="G99" r:id="rId97" display="http://www.riss.kr/link?id=S61680"/>
    <hyperlink ref="G100" r:id="rId98" display="http://www.riss.kr/link?id=S413798"/>
    <hyperlink ref="G101" r:id="rId99" display="http://www.riss.kr/link?id=S58112"/>
    <hyperlink ref="G102" r:id="rId100" display="http://www.riss.kr/link?id=S35578"/>
    <hyperlink ref="G103" r:id="rId101" display="http://www.riss.kr/link?id=S20109"/>
    <hyperlink ref="G104" r:id="rId102" display="http://www.riss.kr/link?id=S40112"/>
  </hyperlink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1000"/>
  <sheetViews>
    <sheetView workbookViewId="0"/>
  </sheetViews>
  <sheetFormatPr defaultColWidth="12.625" defaultRowHeight="15" customHeight="1"/>
  <cols>
    <col min="12" max="12" width="39.625" customWidth="1"/>
  </cols>
  <sheetData>
    <row r="1" spans="1:15" ht="26.25" customHeight="1">
      <c r="A1" s="18" t="s">
        <v>81</v>
      </c>
      <c r="B1" s="31" t="s">
        <v>1016</v>
      </c>
      <c r="C1" s="19" t="s">
        <v>83</v>
      </c>
      <c r="D1" s="20" t="s">
        <v>1017</v>
      </c>
      <c r="E1" s="32" t="s">
        <v>5057</v>
      </c>
      <c r="F1" s="33" t="s">
        <v>42</v>
      </c>
      <c r="G1" s="23" t="s">
        <v>1019</v>
      </c>
      <c r="H1" s="24"/>
      <c r="I1" s="243" t="str">
        <f t="shared" ref="I1:I342" si="0">IF(D1=N1,"OK","NO")</f>
        <v>OK</v>
      </c>
      <c r="K1" s="244" t="s">
        <v>87</v>
      </c>
      <c r="L1" s="245" t="s">
        <v>1016</v>
      </c>
      <c r="M1" s="246" t="s">
        <v>1441</v>
      </c>
      <c r="N1" s="247" t="s">
        <v>1017</v>
      </c>
      <c r="O1" s="248"/>
    </row>
    <row r="2" spans="1:15" ht="26.25" customHeight="1">
      <c r="A2" s="18" t="s">
        <v>37</v>
      </c>
      <c r="B2" s="19" t="s">
        <v>298</v>
      </c>
      <c r="C2" s="19" t="s">
        <v>299</v>
      </c>
      <c r="D2" s="20" t="s">
        <v>300</v>
      </c>
      <c r="E2" s="32" t="s">
        <v>5003</v>
      </c>
      <c r="F2" s="22" t="s">
        <v>31</v>
      </c>
      <c r="G2" s="23" t="s">
        <v>302</v>
      </c>
      <c r="H2" s="24"/>
      <c r="I2" s="243" t="str">
        <f t="shared" si="0"/>
        <v>OK</v>
      </c>
      <c r="K2" s="249" t="s">
        <v>4337</v>
      </c>
      <c r="L2" s="250" t="s">
        <v>4349</v>
      </c>
      <c r="M2" s="250" t="s">
        <v>4350</v>
      </c>
      <c r="N2" s="251" t="s">
        <v>300</v>
      </c>
      <c r="O2" s="251"/>
    </row>
    <row r="3" spans="1:15" ht="26.25" customHeight="1">
      <c r="A3" s="18" t="s">
        <v>175</v>
      </c>
      <c r="B3" s="31" t="s">
        <v>323</v>
      </c>
      <c r="C3" s="19" t="s">
        <v>324</v>
      </c>
      <c r="D3" s="20" t="s">
        <v>325</v>
      </c>
      <c r="E3" s="32" t="s">
        <v>3834</v>
      </c>
      <c r="F3" s="33" t="s">
        <v>42</v>
      </c>
      <c r="G3" s="23" t="s">
        <v>327</v>
      </c>
      <c r="H3" s="24"/>
      <c r="I3" s="243" t="str">
        <f t="shared" si="0"/>
        <v>OK</v>
      </c>
      <c r="K3" s="252" t="s">
        <v>87</v>
      </c>
      <c r="L3" s="253" t="s">
        <v>323</v>
      </c>
      <c r="M3" s="254" t="s">
        <v>324</v>
      </c>
      <c r="N3" s="255" t="s">
        <v>325</v>
      </c>
      <c r="O3" s="248"/>
    </row>
    <row r="4" spans="1:15" ht="26.25" customHeight="1">
      <c r="A4" s="18" t="s">
        <v>27</v>
      </c>
      <c r="B4" s="19" t="s">
        <v>2410</v>
      </c>
      <c r="C4" s="19" t="s">
        <v>2411</v>
      </c>
      <c r="D4" s="20" t="s">
        <v>2412</v>
      </c>
      <c r="E4" s="32" t="s">
        <v>178</v>
      </c>
      <c r="F4" s="22" t="s">
        <v>42</v>
      </c>
      <c r="G4" s="23" t="s">
        <v>2413</v>
      </c>
      <c r="H4" s="24"/>
      <c r="I4" s="243" t="str">
        <f t="shared" si="0"/>
        <v>OK</v>
      </c>
      <c r="K4" s="249" t="s">
        <v>4337</v>
      </c>
      <c r="L4" s="250" t="s">
        <v>4502</v>
      </c>
      <c r="M4" s="250" t="s">
        <v>4503</v>
      </c>
      <c r="N4" s="251" t="s">
        <v>2412</v>
      </c>
      <c r="O4" s="251"/>
    </row>
    <row r="5" spans="1:15" ht="26.25" customHeight="1">
      <c r="A5" s="18" t="s">
        <v>105</v>
      </c>
      <c r="B5" s="31" t="s">
        <v>3306</v>
      </c>
      <c r="C5" s="19" t="s">
        <v>2636</v>
      </c>
      <c r="D5" s="20" t="s">
        <v>3307</v>
      </c>
      <c r="E5" s="21" t="s">
        <v>5058</v>
      </c>
      <c r="F5" s="33" t="s">
        <v>42</v>
      </c>
      <c r="G5" s="23" t="s">
        <v>3309</v>
      </c>
      <c r="H5" s="34"/>
      <c r="I5" s="243" t="str">
        <f t="shared" si="0"/>
        <v>OK</v>
      </c>
      <c r="K5" s="252" t="s">
        <v>87</v>
      </c>
      <c r="L5" s="253" t="s">
        <v>4861</v>
      </c>
      <c r="M5" s="254" t="s">
        <v>361</v>
      </c>
      <c r="N5" s="255" t="s">
        <v>3307</v>
      </c>
      <c r="O5" s="251"/>
    </row>
    <row r="6" spans="1:15" ht="26.25" customHeight="1">
      <c r="A6" s="18" t="s">
        <v>105</v>
      </c>
      <c r="B6" s="31" t="s">
        <v>3310</v>
      </c>
      <c r="C6" s="19" t="s">
        <v>3046</v>
      </c>
      <c r="D6" s="20" t="s">
        <v>3311</v>
      </c>
      <c r="E6" s="21" t="s">
        <v>5059</v>
      </c>
      <c r="F6" s="33" t="s">
        <v>42</v>
      </c>
      <c r="G6" s="23" t="s">
        <v>3313</v>
      </c>
      <c r="H6" s="24"/>
      <c r="I6" s="243" t="str">
        <f t="shared" si="0"/>
        <v>OK</v>
      </c>
      <c r="K6" s="252" t="s">
        <v>87</v>
      </c>
      <c r="L6" s="253" t="s">
        <v>4863</v>
      </c>
      <c r="M6" s="254" t="s">
        <v>3046</v>
      </c>
      <c r="N6" s="255" t="s">
        <v>3311</v>
      </c>
      <c r="O6" s="251"/>
    </row>
    <row r="7" spans="1:15" ht="26.25" customHeight="1">
      <c r="A7" s="18" t="s">
        <v>105</v>
      </c>
      <c r="B7" s="19" t="s">
        <v>2428</v>
      </c>
      <c r="C7" s="19" t="s">
        <v>2429</v>
      </c>
      <c r="D7" s="20" t="s">
        <v>2430</v>
      </c>
      <c r="E7" s="32" t="s">
        <v>5049</v>
      </c>
      <c r="F7" s="33" t="s">
        <v>63</v>
      </c>
      <c r="G7" s="23" t="s">
        <v>2432</v>
      </c>
      <c r="H7" s="24"/>
      <c r="I7" s="243" t="str">
        <f t="shared" si="0"/>
        <v>OK</v>
      </c>
      <c r="K7" s="249" t="s">
        <v>4337</v>
      </c>
      <c r="L7" s="250" t="s">
        <v>4454</v>
      </c>
      <c r="M7" s="250" t="s">
        <v>4455</v>
      </c>
      <c r="N7" s="251" t="s">
        <v>2430</v>
      </c>
      <c r="O7" s="251"/>
    </row>
    <row r="8" spans="1:15" ht="26.25" customHeight="1">
      <c r="A8" s="18" t="s">
        <v>105</v>
      </c>
      <c r="B8" s="31" t="s">
        <v>380</v>
      </c>
      <c r="C8" s="19" t="s">
        <v>381</v>
      </c>
      <c r="D8" s="20" t="s">
        <v>382</v>
      </c>
      <c r="E8" s="21" t="s">
        <v>5060</v>
      </c>
      <c r="F8" s="33" t="s">
        <v>42</v>
      </c>
      <c r="G8" s="23" t="s">
        <v>384</v>
      </c>
      <c r="H8" s="24"/>
      <c r="I8" s="243" t="str">
        <f t="shared" si="0"/>
        <v>OK</v>
      </c>
      <c r="K8" s="252" t="s">
        <v>87</v>
      </c>
      <c r="L8" s="253" t="s">
        <v>380</v>
      </c>
      <c r="M8" s="254" t="s">
        <v>4865</v>
      </c>
      <c r="N8" s="255" t="s">
        <v>382</v>
      </c>
      <c r="O8" s="251"/>
    </row>
    <row r="9" spans="1:15" ht="26.25" customHeight="1">
      <c r="A9" s="18" t="s">
        <v>105</v>
      </c>
      <c r="B9" s="89" t="s">
        <v>2518</v>
      </c>
      <c r="C9" s="89" t="s">
        <v>2175</v>
      </c>
      <c r="D9" s="90" t="s">
        <v>2519</v>
      </c>
      <c r="E9" s="256" t="s">
        <v>52</v>
      </c>
      <c r="F9" s="33" t="s">
        <v>42</v>
      </c>
      <c r="G9" s="257" t="s">
        <v>2520</v>
      </c>
      <c r="H9" s="24"/>
      <c r="I9" s="243" t="str">
        <f t="shared" si="0"/>
        <v>OK</v>
      </c>
      <c r="K9" s="252" t="s">
        <v>87</v>
      </c>
      <c r="L9" s="258" t="s">
        <v>4915</v>
      </c>
      <c r="M9" s="259" t="s">
        <v>4916</v>
      </c>
      <c r="N9" s="260" t="s">
        <v>2519</v>
      </c>
      <c r="O9" s="251"/>
    </row>
    <row r="10" spans="1:15" ht="26.25" customHeight="1">
      <c r="A10" s="18" t="s">
        <v>13</v>
      </c>
      <c r="B10" s="19" t="s">
        <v>3318</v>
      </c>
      <c r="C10" s="19" t="s">
        <v>3319</v>
      </c>
      <c r="D10" s="20" t="s">
        <v>3320</v>
      </c>
      <c r="E10" s="32" t="s">
        <v>4960</v>
      </c>
      <c r="F10" s="33" t="s">
        <v>53</v>
      </c>
      <c r="G10" s="23" t="s">
        <v>3321</v>
      </c>
      <c r="H10" s="24"/>
      <c r="I10" s="243" t="str">
        <f t="shared" si="0"/>
        <v>OK</v>
      </c>
      <c r="K10" s="252" t="s">
        <v>87</v>
      </c>
      <c r="L10" s="258" t="s">
        <v>4871</v>
      </c>
      <c r="M10" s="259" t="s">
        <v>4872</v>
      </c>
      <c r="N10" s="260" t="s">
        <v>3320</v>
      </c>
      <c r="O10" s="251"/>
    </row>
    <row r="11" spans="1:15" ht="26.25" customHeight="1">
      <c r="A11" s="18" t="s">
        <v>13</v>
      </c>
      <c r="B11" s="19" t="s">
        <v>487</v>
      </c>
      <c r="C11" s="19" t="s">
        <v>488</v>
      </c>
      <c r="D11" s="20" t="s">
        <v>489</v>
      </c>
      <c r="E11" s="32" t="s">
        <v>4952</v>
      </c>
      <c r="F11" s="22" t="s">
        <v>63</v>
      </c>
      <c r="G11" s="23" t="s">
        <v>491</v>
      </c>
      <c r="H11" s="24"/>
      <c r="I11" s="243" t="str">
        <f t="shared" si="0"/>
        <v>OK</v>
      </c>
      <c r="K11" s="249" t="s">
        <v>4337</v>
      </c>
      <c r="L11" s="250" t="s">
        <v>487</v>
      </c>
      <c r="M11" s="250" t="s">
        <v>4358</v>
      </c>
      <c r="N11" s="251" t="s">
        <v>489</v>
      </c>
      <c r="O11" s="251"/>
    </row>
    <row r="12" spans="1:15" ht="26.25" customHeight="1">
      <c r="A12" s="18" t="s">
        <v>13</v>
      </c>
      <c r="B12" s="19" t="s">
        <v>3640</v>
      </c>
      <c r="C12" s="19" t="s">
        <v>2015</v>
      </c>
      <c r="D12" s="20" t="s">
        <v>3641</v>
      </c>
      <c r="E12" s="32" t="s">
        <v>4965</v>
      </c>
      <c r="F12" s="22" t="s">
        <v>53</v>
      </c>
      <c r="G12" s="23" t="s">
        <v>3643</v>
      </c>
      <c r="H12" s="34"/>
      <c r="I12" s="243" t="str">
        <f t="shared" si="0"/>
        <v>OK</v>
      </c>
      <c r="K12" s="249" t="s">
        <v>4617</v>
      </c>
      <c r="L12" s="250" t="s">
        <v>4624</v>
      </c>
      <c r="M12" s="250" t="s">
        <v>1740</v>
      </c>
      <c r="N12" s="251" t="s">
        <v>3641</v>
      </c>
      <c r="O12" s="251"/>
    </row>
    <row r="13" spans="1:15" ht="26.25" customHeight="1">
      <c r="A13" s="18" t="s">
        <v>13</v>
      </c>
      <c r="B13" s="19" t="s">
        <v>502</v>
      </c>
      <c r="C13" s="19" t="s">
        <v>503</v>
      </c>
      <c r="D13" s="20" t="s">
        <v>504</v>
      </c>
      <c r="E13" s="32" t="s">
        <v>4953</v>
      </c>
      <c r="F13" s="22" t="s">
        <v>18</v>
      </c>
      <c r="G13" s="23" t="s">
        <v>506</v>
      </c>
      <c r="H13" s="24"/>
      <c r="I13" s="243" t="str">
        <f t="shared" si="0"/>
        <v>OK</v>
      </c>
      <c r="K13" s="249" t="s">
        <v>4337</v>
      </c>
      <c r="L13" s="250" t="s">
        <v>502</v>
      </c>
      <c r="M13" s="250" t="s">
        <v>4360</v>
      </c>
      <c r="N13" s="251" t="s">
        <v>504</v>
      </c>
      <c r="O13" s="251"/>
    </row>
    <row r="14" spans="1:15" ht="26.25" customHeight="1">
      <c r="A14" s="18" t="s">
        <v>13</v>
      </c>
      <c r="B14" s="19" t="s">
        <v>3322</v>
      </c>
      <c r="C14" s="19" t="s">
        <v>3323</v>
      </c>
      <c r="D14" s="20" t="s">
        <v>3324</v>
      </c>
      <c r="E14" s="32" t="s">
        <v>3775</v>
      </c>
      <c r="F14" s="22" t="s">
        <v>2552</v>
      </c>
      <c r="G14" s="23" t="s">
        <v>3325</v>
      </c>
      <c r="H14" s="24"/>
      <c r="I14" s="243" t="str">
        <f t="shared" si="0"/>
        <v>OK</v>
      </c>
      <c r="K14" s="249" t="s">
        <v>4337</v>
      </c>
      <c r="L14" s="250" t="s">
        <v>4362</v>
      </c>
      <c r="M14" s="250" t="s">
        <v>1021</v>
      </c>
      <c r="N14" s="251" t="s">
        <v>3324</v>
      </c>
      <c r="O14" s="251"/>
    </row>
    <row r="15" spans="1:15" ht="26.25" customHeight="1">
      <c r="A15" s="18" t="s">
        <v>13</v>
      </c>
      <c r="B15" s="19" t="s">
        <v>510</v>
      </c>
      <c r="C15" s="19" t="s">
        <v>191</v>
      </c>
      <c r="D15" s="20" t="s">
        <v>511</v>
      </c>
      <c r="E15" s="32" t="s">
        <v>52</v>
      </c>
      <c r="F15" s="22" t="s">
        <v>18</v>
      </c>
      <c r="G15" s="23" t="s">
        <v>512</v>
      </c>
      <c r="H15" s="24"/>
      <c r="I15" s="243" t="str">
        <f t="shared" si="0"/>
        <v>OK</v>
      </c>
      <c r="K15" s="249" t="s">
        <v>4337</v>
      </c>
      <c r="L15" s="250" t="s">
        <v>4364</v>
      </c>
      <c r="M15" s="250" t="s">
        <v>255</v>
      </c>
      <c r="N15" s="251" t="s">
        <v>511</v>
      </c>
      <c r="O15" s="251"/>
    </row>
    <row r="16" spans="1:15" ht="26.25" customHeight="1">
      <c r="A16" s="18" t="s">
        <v>132</v>
      </c>
      <c r="B16" s="19" t="s">
        <v>931</v>
      </c>
      <c r="C16" s="19" t="s">
        <v>227</v>
      </c>
      <c r="D16" s="20" t="s">
        <v>932</v>
      </c>
      <c r="E16" s="32" t="s">
        <v>4975</v>
      </c>
      <c r="F16" s="22" t="s">
        <v>42</v>
      </c>
      <c r="G16" s="23" t="s">
        <v>934</v>
      </c>
      <c r="H16" s="24"/>
      <c r="I16" s="243" t="str">
        <f t="shared" si="0"/>
        <v>OK</v>
      </c>
      <c r="K16" s="249" t="s">
        <v>4337</v>
      </c>
      <c r="L16" s="250" t="s">
        <v>4378</v>
      </c>
      <c r="M16" s="250" t="s">
        <v>4379</v>
      </c>
      <c r="N16" s="251" t="s">
        <v>932</v>
      </c>
      <c r="O16" s="251"/>
    </row>
    <row r="17" spans="1:15" ht="26.25" customHeight="1">
      <c r="A17" s="18" t="s">
        <v>105</v>
      </c>
      <c r="B17" s="31" t="s">
        <v>815</v>
      </c>
      <c r="C17" s="19" t="s">
        <v>45</v>
      </c>
      <c r="D17" s="20" t="s">
        <v>816</v>
      </c>
      <c r="E17" s="21" t="s">
        <v>5061</v>
      </c>
      <c r="F17" s="33" t="s">
        <v>42</v>
      </c>
      <c r="G17" s="23" t="s">
        <v>818</v>
      </c>
      <c r="H17" s="34"/>
      <c r="I17" s="243" t="str">
        <f t="shared" si="0"/>
        <v>OK</v>
      </c>
      <c r="K17" s="252" t="s">
        <v>87</v>
      </c>
      <c r="L17" s="253" t="s">
        <v>815</v>
      </c>
      <c r="M17" s="254" t="s">
        <v>4877</v>
      </c>
      <c r="N17" s="255" t="s">
        <v>816</v>
      </c>
      <c r="O17" s="248"/>
    </row>
    <row r="18" spans="1:15" ht="26.25" customHeight="1">
      <c r="A18" s="18" t="s">
        <v>37</v>
      </c>
      <c r="B18" s="19" t="s">
        <v>827</v>
      </c>
      <c r="C18" s="19" t="s">
        <v>124</v>
      </c>
      <c r="D18" s="20" t="s">
        <v>828</v>
      </c>
      <c r="E18" s="32" t="s">
        <v>3736</v>
      </c>
      <c r="F18" s="22" t="s">
        <v>42</v>
      </c>
      <c r="G18" s="23" t="s">
        <v>829</v>
      </c>
      <c r="H18" s="24"/>
      <c r="I18" s="243" t="str">
        <f t="shared" si="0"/>
        <v>OK</v>
      </c>
      <c r="K18" s="249" t="s">
        <v>4337</v>
      </c>
      <c r="L18" s="250" t="s">
        <v>827</v>
      </c>
      <c r="M18" s="250" t="s">
        <v>361</v>
      </c>
      <c r="N18" s="251" t="s">
        <v>828</v>
      </c>
      <c r="O18" s="251"/>
    </row>
    <row r="19" spans="1:15" ht="26.25" customHeight="1">
      <c r="A19" s="18" t="s">
        <v>37</v>
      </c>
      <c r="B19" s="19" t="s">
        <v>860</v>
      </c>
      <c r="C19" s="19" t="s">
        <v>861</v>
      </c>
      <c r="D19" s="20" t="s">
        <v>862</v>
      </c>
      <c r="E19" s="32" t="s">
        <v>1990</v>
      </c>
      <c r="F19" s="22" t="s">
        <v>53</v>
      </c>
      <c r="G19" s="23" t="s">
        <v>864</v>
      </c>
      <c r="H19" s="24"/>
      <c r="I19" s="243" t="str">
        <f t="shared" si="0"/>
        <v>OK</v>
      </c>
      <c r="K19" s="249" t="s">
        <v>4617</v>
      </c>
      <c r="L19" s="250" t="s">
        <v>4740</v>
      </c>
      <c r="M19" s="250" t="s">
        <v>4741</v>
      </c>
      <c r="N19" s="251" t="s">
        <v>862</v>
      </c>
      <c r="O19" s="251"/>
    </row>
    <row r="20" spans="1:15" ht="26.25" customHeight="1">
      <c r="A20" s="18" t="s">
        <v>27</v>
      </c>
      <c r="B20" s="19" t="s">
        <v>880</v>
      </c>
      <c r="C20" s="19" t="s">
        <v>665</v>
      </c>
      <c r="D20" s="20" t="s">
        <v>881</v>
      </c>
      <c r="E20" s="32" t="s">
        <v>5041</v>
      </c>
      <c r="F20" s="22" t="s">
        <v>31</v>
      </c>
      <c r="G20" s="23" t="s">
        <v>883</v>
      </c>
      <c r="H20" s="24"/>
      <c r="I20" s="243" t="str">
        <f t="shared" si="0"/>
        <v>OK</v>
      </c>
      <c r="K20" s="249" t="s">
        <v>4337</v>
      </c>
      <c r="L20" s="250" t="s">
        <v>4370</v>
      </c>
      <c r="M20" s="250" t="s">
        <v>665</v>
      </c>
      <c r="N20" s="251" t="s">
        <v>881</v>
      </c>
      <c r="O20" s="251"/>
    </row>
    <row r="21" spans="1:15" ht="26.25" customHeight="1">
      <c r="A21" s="18" t="s">
        <v>27</v>
      </c>
      <c r="B21" s="31" t="s">
        <v>874</v>
      </c>
      <c r="C21" s="19" t="s">
        <v>673</v>
      </c>
      <c r="D21" s="20" t="s">
        <v>875</v>
      </c>
      <c r="E21" s="21" t="s">
        <v>5062</v>
      </c>
      <c r="F21" s="22" t="s">
        <v>42</v>
      </c>
      <c r="G21" s="23" t="s">
        <v>877</v>
      </c>
      <c r="H21" s="24"/>
      <c r="I21" s="243" t="str">
        <f t="shared" si="0"/>
        <v>OK</v>
      </c>
      <c r="K21" s="252" t="s">
        <v>87</v>
      </c>
      <c r="L21" s="261" t="s">
        <v>874</v>
      </c>
      <c r="M21" s="261" t="s">
        <v>4827</v>
      </c>
      <c r="N21" s="262" t="s">
        <v>875</v>
      </c>
      <c r="O21" s="251"/>
    </row>
    <row r="22" spans="1:15" ht="26.25" customHeight="1">
      <c r="A22" s="18" t="s">
        <v>27</v>
      </c>
      <c r="B22" s="19" t="s">
        <v>902</v>
      </c>
      <c r="C22" s="19" t="s">
        <v>903</v>
      </c>
      <c r="D22" s="20" t="s">
        <v>904</v>
      </c>
      <c r="E22" s="32" t="s">
        <v>178</v>
      </c>
      <c r="F22" s="22" t="s">
        <v>53</v>
      </c>
      <c r="G22" s="23" t="s">
        <v>906</v>
      </c>
      <c r="H22" s="24"/>
      <c r="I22" s="243" t="str">
        <f t="shared" si="0"/>
        <v>OK</v>
      </c>
      <c r="K22" s="249" t="s">
        <v>4337</v>
      </c>
      <c r="L22" s="250" t="s">
        <v>902</v>
      </c>
      <c r="M22" s="250" t="s">
        <v>903</v>
      </c>
      <c r="N22" s="251" t="s">
        <v>904</v>
      </c>
      <c r="O22" s="251"/>
    </row>
    <row r="23" spans="1:15" ht="26.25" customHeight="1">
      <c r="A23" s="18" t="s">
        <v>132</v>
      </c>
      <c r="B23" s="19" t="s">
        <v>1105</v>
      </c>
      <c r="C23" s="19" t="s">
        <v>1106</v>
      </c>
      <c r="D23" s="20" t="s">
        <v>1107</v>
      </c>
      <c r="E23" s="32" t="s">
        <v>4976</v>
      </c>
      <c r="F23" s="22" t="s">
        <v>42</v>
      </c>
      <c r="G23" s="23" t="s">
        <v>1109</v>
      </c>
      <c r="H23" s="34"/>
      <c r="I23" s="243" t="str">
        <f t="shared" si="0"/>
        <v>OK</v>
      </c>
      <c r="K23" s="249" t="s">
        <v>4337</v>
      </c>
      <c r="L23" s="250" t="s">
        <v>1105</v>
      </c>
      <c r="M23" s="250" t="s">
        <v>1133</v>
      </c>
      <c r="N23" s="251" t="s">
        <v>1107</v>
      </c>
      <c r="O23" s="251"/>
    </row>
    <row r="24" spans="1:15" ht="26.25" customHeight="1">
      <c r="A24" s="18" t="s">
        <v>13</v>
      </c>
      <c r="B24" s="19" t="s">
        <v>1142</v>
      </c>
      <c r="C24" s="19" t="s">
        <v>1143</v>
      </c>
      <c r="D24" s="20" t="s">
        <v>1144</v>
      </c>
      <c r="E24" s="32" t="s">
        <v>52</v>
      </c>
      <c r="F24" s="22" t="s">
        <v>53</v>
      </c>
      <c r="G24" s="23" t="s">
        <v>1145</v>
      </c>
      <c r="H24" s="24"/>
      <c r="I24" s="243" t="str">
        <f t="shared" si="0"/>
        <v>OK</v>
      </c>
      <c r="K24" s="249" t="s">
        <v>4337</v>
      </c>
      <c r="L24" s="250" t="s">
        <v>4387</v>
      </c>
      <c r="M24" s="250" t="s">
        <v>4388</v>
      </c>
      <c r="N24" s="251" t="s">
        <v>1144</v>
      </c>
      <c r="O24" s="251"/>
    </row>
    <row r="25" spans="1:15" ht="26.25" customHeight="1">
      <c r="A25" s="18" t="s">
        <v>13</v>
      </c>
      <c r="B25" s="19" t="s">
        <v>1168</v>
      </c>
      <c r="C25" s="19" t="s">
        <v>1169</v>
      </c>
      <c r="D25" s="20" t="s">
        <v>1170</v>
      </c>
      <c r="E25" s="32" t="s">
        <v>4954</v>
      </c>
      <c r="F25" s="22" t="s">
        <v>53</v>
      </c>
      <c r="G25" s="23" t="s">
        <v>1172</v>
      </c>
      <c r="H25" s="24"/>
      <c r="I25" s="243" t="str">
        <f t="shared" si="0"/>
        <v>OK</v>
      </c>
      <c r="K25" s="249" t="s">
        <v>4337</v>
      </c>
      <c r="L25" s="250" t="s">
        <v>1168</v>
      </c>
      <c r="M25" s="250" t="s">
        <v>1169</v>
      </c>
      <c r="N25" s="251" t="s">
        <v>1170</v>
      </c>
      <c r="O25" s="251"/>
    </row>
    <row r="26" spans="1:15" ht="26.25" customHeight="1">
      <c r="A26" s="18" t="s">
        <v>132</v>
      </c>
      <c r="B26" s="77" t="s">
        <v>1350</v>
      </c>
      <c r="C26" s="19" t="s">
        <v>277</v>
      </c>
      <c r="D26" s="20" t="s">
        <v>1351</v>
      </c>
      <c r="E26" s="32" t="s">
        <v>3775</v>
      </c>
      <c r="F26" s="22" t="s">
        <v>42</v>
      </c>
      <c r="G26" s="23" t="s">
        <v>1352</v>
      </c>
      <c r="H26" s="24"/>
      <c r="I26" s="243" t="str">
        <f t="shared" si="0"/>
        <v>OK</v>
      </c>
      <c r="K26" s="249" t="s">
        <v>4337</v>
      </c>
      <c r="L26" s="250" t="s">
        <v>4400</v>
      </c>
      <c r="M26" s="250" t="s">
        <v>196</v>
      </c>
      <c r="N26" s="251" t="s">
        <v>1351</v>
      </c>
      <c r="O26" s="251"/>
    </row>
    <row r="27" spans="1:15" ht="26.25" customHeight="1">
      <c r="A27" s="18" t="s">
        <v>105</v>
      </c>
      <c r="B27" s="31" t="s">
        <v>3349</v>
      </c>
      <c r="C27" s="19" t="s">
        <v>3350</v>
      </c>
      <c r="D27" s="20" t="s">
        <v>3351</v>
      </c>
      <c r="E27" s="21" t="s">
        <v>5063</v>
      </c>
      <c r="F27" s="33" t="s">
        <v>1086</v>
      </c>
      <c r="G27" s="23" t="s">
        <v>3353</v>
      </c>
      <c r="H27" s="24"/>
      <c r="I27" s="243" t="str">
        <f t="shared" si="0"/>
        <v>OK</v>
      </c>
      <c r="K27" s="252" t="s">
        <v>87</v>
      </c>
      <c r="L27" s="253" t="s">
        <v>4887</v>
      </c>
      <c r="M27" s="254" t="s">
        <v>4887</v>
      </c>
      <c r="N27" s="255" t="s">
        <v>3351</v>
      </c>
      <c r="O27" s="251"/>
    </row>
    <row r="28" spans="1:15" ht="26.25" customHeight="1">
      <c r="A28" s="18" t="s">
        <v>175</v>
      </c>
      <c r="B28" s="31" t="s">
        <v>3860</v>
      </c>
      <c r="C28" s="19" t="s">
        <v>3861</v>
      </c>
      <c r="D28" s="20" t="s">
        <v>3862</v>
      </c>
      <c r="E28" s="21" t="s">
        <v>5064</v>
      </c>
      <c r="F28" s="33" t="s">
        <v>53</v>
      </c>
      <c r="G28" s="23" t="s">
        <v>3864</v>
      </c>
      <c r="H28" s="24"/>
      <c r="I28" s="243" t="str">
        <f t="shared" si="0"/>
        <v>OK</v>
      </c>
      <c r="K28" s="252" t="s">
        <v>87</v>
      </c>
      <c r="L28" s="261" t="s">
        <v>4823</v>
      </c>
      <c r="M28" s="261" t="s">
        <v>4824</v>
      </c>
      <c r="N28" s="262" t="s">
        <v>3862</v>
      </c>
      <c r="O28" s="251"/>
    </row>
    <row r="29" spans="1:15" ht="26.25" customHeight="1">
      <c r="A29" s="18" t="s">
        <v>105</v>
      </c>
      <c r="B29" s="66" t="s">
        <v>1485</v>
      </c>
      <c r="C29" s="19" t="s">
        <v>1486</v>
      </c>
      <c r="D29" s="20" t="s">
        <v>1487</v>
      </c>
      <c r="E29" s="32" t="s">
        <v>52</v>
      </c>
      <c r="F29" s="33" t="s">
        <v>42</v>
      </c>
      <c r="G29" s="23" t="s">
        <v>1488</v>
      </c>
      <c r="H29" s="24"/>
      <c r="I29" s="243" t="str">
        <f t="shared" si="0"/>
        <v>OK</v>
      </c>
      <c r="K29" s="249" t="s">
        <v>4337</v>
      </c>
      <c r="L29" s="250" t="s">
        <v>1485</v>
      </c>
      <c r="M29" s="250" t="s">
        <v>1486</v>
      </c>
      <c r="N29" s="251" t="s">
        <v>1487</v>
      </c>
      <c r="O29" s="251"/>
    </row>
    <row r="30" spans="1:15" ht="26.25" customHeight="1">
      <c r="A30" s="67" t="s">
        <v>13</v>
      </c>
      <c r="B30" s="19" t="s">
        <v>1503</v>
      </c>
      <c r="C30" s="19" t="s">
        <v>199</v>
      </c>
      <c r="D30" s="20" t="s">
        <v>1504</v>
      </c>
      <c r="E30" s="32" t="s">
        <v>4955</v>
      </c>
      <c r="F30" s="22" t="s">
        <v>42</v>
      </c>
      <c r="G30" s="23" t="s">
        <v>1506</v>
      </c>
      <c r="H30" s="24"/>
      <c r="I30" s="243" t="str">
        <f t="shared" si="0"/>
        <v>OK</v>
      </c>
      <c r="K30" s="249" t="s">
        <v>4337</v>
      </c>
      <c r="L30" s="250" t="s">
        <v>1503</v>
      </c>
      <c r="M30" s="250" t="s">
        <v>199</v>
      </c>
      <c r="N30" s="263" t="s">
        <v>1504</v>
      </c>
      <c r="O30" s="251"/>
    </row>
    <row r="31" spans="1:15" ht="26.25" customHeight="1">
      <c r="A31" s="18" t="s">
        <v>37</v>
      </c>
      <c r="B31" s="19" t="s">
        <v>3470</v>
      </c>
      <c r="C31" s="19" t="s">
        <v>173</v>
      </c>
      <c r="D31" s="20" t="s">
        <v>3471</v>
      </c>
      <c r="E31" s="32" t="s">
        <v>178</v>
      </c>
      <c r="F31" s="22" t="s">
        <v>31</v>
      </c>
      <c r="G31" s="23" t="s">
        <v>3472</v>
      </c>
      <c r="H31" s="24"/>
      <c r="I31" s="243" t="str">
        <f t="shared" si="0"/>
        <v>OK</v>
      </c>
      <c r="K31" s="249" t="s">
        <v>4337</v>
      </c>
      <c r="L31" s="250" t="s">
        <v>3470</v>
      </c>
      <c r="M31" s="250" t="s">
        <v>361</v>
      </c>
      <c r="N31" s="251" t="s">
        <v>3471</v>
      </c>
      <c r="O31" s="248"/>
    </row>
    <row r="32" spans="1:15" ht="26.25" customHeight="1">
      <c r="A32" s="18" t="s">
        <v>248</v>
      </c>
      <c r="B32" s="19" t="s">
        <v>1730</v>
      </c>
      <c r="C32" s="19" t="s">
        <v>124</v>
      </c>
      <c r="D32" s="20" t="s">
        <v>1731</v>
      </c>
      <c r="E32" s="32" t="s">
        <v>5065</v>
      </c>
      <c r="F32" s="33" t="s">
        <v>42</v>
      </c>
      <c r="G32" s="23" t="s">
        <v>1733</v>
      </c>
      <c r="H32" s="24"/>
      <c r="I32" s="243" t="str">
        <f t="shared" si="0"/>
        <v>OK</v>
      </c>
      <c r="K32" s="249" t="s">
        <v>4337</v>
      </c>
      <c r="L32" s="250" t="s">
        <v>1730</v>
      </c>
      <c r="M32" s="250" t="s">
        <v>255</v>
      </c>
      <c r="N32" s="251" t="s">
        <v>1731</v>
      </c>
      <c r="O32" s="251"/>
    </row>
    <row r="33" spans="1:15" ht="26.25" customHeight="1">
      <c r="A33" s="18" t="s">
        <v>233</v>
      </c>
      <c r="B33" s="19" t="s">
        <v>4021</v>
      </c>
      <c r="C33" s="19" t="s">
        <v>4022</v>
      </c>
      <c r="D33" s="20" t="s">
        <v>4023</v>
      </c>
      <c r="E33" s="32" t="s">
        <v>5035</v>
      </c>
      <c r="F33" s="33" t="s">
        <v>53</v>
      </c>
      <c r="G33" s="23" t="s">
        <v>4025</v>
      </c>
      <c r="H33" s="24"/>
      <c r="I33" s="243" t="str">
        <f t="shared" si="0"/>
        <v>OK</v>
      </c>
      <c r="K33" s="249" t="s">
        <v>4617</v>
      </c>
      <c r="L33" s="250" t="s">
        <v>4701</v>
      </c>
      <c r="M33" s="250" t="s">
        <v>3474</v>
      </c>
      <c r="N33" s="251" t="s">
        <v>4023</v>
      </c>
      <c r="O33" s="251"/>
    </row>
    <row r="34" spans="1:15" ht="26.25" customHeight="1">
      <c r="A34" s="18" t="s">
        <v>13</v>
      </c>
      <c r="B34" s="19" t="s">
        <v>4188</v>
      </c>
      <c r="C34" s="19" t="s">
        <v>4180</v>
      </c>
      <c r="D34" s="20" t="s">
        <v>4189</v>
      </c>
      <c r="E34" s="32" t="s">
        <v>4972</v>
      </c>
      <c r="F34" s="33" t="s">
        <v>53</v>
      </c>
      <c r="G34" s="23" t="s">
        <v>4191</v>
      </c>
      <c r="H34" s="24"/>
      <c r="I34" s="243" t="str">
        <f t="shared" si="0"/>
        <v>OK</v>
      </c>
      <c r="K34" s="249" t="s">
        <v>4617</v>
      </c>
      <c r="L34" s="250" t="s">
        <v>4188</v>
      </c>
      <c r="M34" s="250" t="s">
        <v>4286</v>
      </c>
      <c r="N34" s="251" t="s">
        <v>4723</v>
      </c>
      <c r="O34" s="251"/>
    </row>
    <row r="35" spans="1:15" ht="26.25" customHeight="1">
      <c r="A35" s="18" t="s">
        <v>105</v>
      </c>
      <c r="B35" s="31" t="s">
        <v>3994</v>
      </c>
      <c r="C35" s="19" t="s">
        <v>3995</v>
      </c>
      <c r="D35" s="20" t="s">
        <v>3996</v>
      </c>
      <c r="E35" s="21" t="s">
        <v>4992</v>
      </c>
      <c r="F35" s="33" t="s">
        <v>53</v>
      </c>
      <c r="G35" s="23" t="s">
        <v>3997</v>
      </c>
      <c r="H35" s="24"/>
      <c r="I35" s="243" t="str">
        <f t="shared" si="0"/>
        <v>OK</v>
      </c>
      <c r="K35" s="252" t="s">
        <v>87</v>
      </c>
      <c r="L35" s="261" t="s">
        <v>4793</v>
      </c>
      <c r="M35" s="261" t="s">
        <v>4794</v>
      </c>
      <c r="N35" s="262" t="s">
        <v>3996</v>
      </c>
      <c r="O35" s="251"/>
    </row>
    <row r="36" spans="1:15" ht="26.25" customHeight="1">
      <c r="A36" s="18" t="s">
        <v>132</v>
      </c>
      <c r="B36" s="19" t="s">
        <v>3973</v>
      </c>
      <c r="C36" s="19" t="s">
        <v>3964</v>
      </c>
      <c r="D36" s="20" t="s">
        <v>3974</v>
      </c>
      <c r="E36" s="32" t="s">
        <v>4996</v>
      </c>
      <c r="F36" s="33" t="s">
        <v>53</v>
      </c>
      <c r="G36" s="23" t="s">
        <v>3976</v>
      </c>
      <c r="H36" s="24"/>
      <c r="I36" s="243" t="str">
        <f t="shared" si="0"/>
        <v>OK</v>
      </c>
      <c r="K36" s="249" t="s">
        <v>4617</v>
      </c>
      <c r="L36" s="250" t="s">
        <v>3973</v>
      </c>
      <c r="M36" s="250" t="s">
        <v>4686</v>
      </c>
      <c r="N36" s="251" t="s">
        <v>3974</v>
      </c>
      <c r="O36" s="251"/>
    </row>
    <row r="37" spans="1:15" ht="26.25" customHeight="1">
      <c r="A37" s="18" t="s">
        <v>132</v>
      </c>
      <c r="B37" s="19" t="s">
        <v>3895</v>
      </c>
      <c r="C37" s="19" t="s">
        <v>3896</v>
      </c>
      <c r="D37" s="20" t="s">
        <v>3897</v>
      </c>
      <c r="E37" s="32" t="s">
        <v>1990</v>
      </c>
      <c r="F37" s="22" t="s">
        <v>63</v>
      </c>
      <c r="G37" s="23" t="s">
        <v>3898</v>
      </c>
      <c r="H37" s="24"/>
      <c r="I37" s="243" t="str">
        <f t="shared" si="0"/>
        <v>OK</v>
      </c>
      <c r="K37" s="249" t="s">
        <v>4617</v>
      </c>
      <c r="L37" s="250" t="s">
        <v>4680</v>
      </c>
      <c r="M37" s="250" t="s">
        <v>4681</v>
      </c>
      <c r="N37" s="251" t="s">
        <v>3897</v>
      </c>
      <c r="O37" s="251"/>
    </row>
    <row r="38" spans="1:15" ht="26.25" customHeight="1">
      <c r="A38" s="18" t="s">
        <v>37</v>
      </c>
      <c r="B38" s="19" t="s">
        <v>2765</v>
      </c>
      <c r="C38" s="19" t="s">
        <v>2766</v>
      </c>
      <c r="D38" s="20" t="s">
        <v>2767</v>
      </c>
      <c r="E38" s="32" t="s">
        <v>5017</v>
      </c>
      <c r="F38" s="22" t="s">
        <v>42</v>
      </c>
      <c r="G38" s="23" t="s">
        <v>2769</v>
      </c>
      <c r="H38" s="24"/>
      <c r="I38" s="243" t="str">
        <f t="shared" si="0"/>
        <v>OK</v>
      </c>
      <c r="K38" s="249" t="s">
        <v>4617</v>
      </c>
      <c r="L38" s="250" t="s">
        <v>4688</v>
      </c>
      <c r="M38" s="250" t="s">
        <v>4689</v>
      </c>
      <c r="N38" s="251" t="s">
        <v>2767</v>
      </c>
      <c r="O38" s="251"/>
    </row>
    <row r="39" spans="1:15" ht="26.25" customHeight="1">
      <c r="A39" s="18" t="s">
        <v>248</v>
      </c>
      <c r="B39" s="31" t="s">
        <v>1923</v>
      </c>
      <c r="C39" s="19" t="s">
        <v>1338</v>
      </c>
      <c r="D39" s="20" t="s">
        <v>1924</v>
      </c>
      <c r="E39" s="21" t="s">
        <v>5066</v>
      </c>
      <c r="F39" s="33" t="s">
        <v>31</v>
      </c>
      <c r="G39" s="23" t="s">
        <v>1926</v>
      </c>
      <c r="H39" s="24"/>
      <c r="I39" s="243" t="str">
        <f t="shared" si="0"/>
        <v>OK</v>
      </c>
      <c r="K39" s="252" t="s">
        <v>87</v>
      </c>
      <c r="L39" s="261" t="s">
        <v>4833</v>
      </c>
      <c r="M39" s="261" t="s">
        <v>4834</v>
      </c>
      <c r="N39" s="262" t="s">
        <v>1924</v>
      </c>
      <c r="O39" s="251"/>
    </row>
    <row r="40" spans="1:15" ht="26.25" customHeight="1">
      <c r="A40" s="18" t="s">
        <v>175</v>
      </c>
      <c r="B40" s="31" t="s">
        <v>3982</v>
      </c>
      <c r="C40" s="19" t="s">
        <v>3983</v>
      </c>
      <c r="D40" s="20" t="s">
        <v>3984</v>
      </c>
      <c r="E40" s="21" t="s">
        <v>5067</v>
      </c>
      <c r="F40" s="33" t="s">
        <v>63</v>
      </c>
      <c r="G40" s="23" t="s">
        <v>3986</v>
      </c>
      <c r="H40" s="24"/>
      <c r="I40" s="243" t="str">
        <f t="shared" si="0"/>
        <v>OK</v>
      </c>
      <c r="K40" s="252" t="s">
        <v>87</v>
      </c>
      <c r="L40" s="261" t="s">
        <v>4790</v>
      </c>
      <c r="M40" s="261" t="s">
        <v>4791</v>
      </c>
      <c r="N40" s="264" t="s">
        <v>3984</v>
      </c>
      <c r="O40" s="251"/>
    </row>
    <row r="41" spans="1:15" ht="26.25" customHeight="1">
      <c r="A41" s="18" t="s">
        <v>867</v>
      </c>
      <c r="B41" s="31" t="s">
        <v>3880</v>
      </c>
      <c r="C41" s="19" t="s">
        <v>3881</v>
      </c>
      <c r="D41" s="20" t="s">
        <v>3882</v>
      </c>
      <c r="E41" s="21" t="s">
        <v>5068</v>
      </c>
      <c r="F41" s="33" t="s">
        <v>53</v>
      </c>
      <c r="G41" s="23" t="s">
        <v>3884</v>
      </c>
      <c r="H41" s="24"/>
      <c r="I41" s="243" t="str">
        <f t="shared" si="0"/>
        <v>OK</v>
      </c>
      <c r="K41" s="252" t="s">
        <v>87</v>
      </c>
      <c r="L41" s="261" t="s">
        <v>4817</v>
      </c>
      <c r="M41" s="261" t="s">
        <v>4818</v>
      </c>
      <c r="N41" s="262" t="s">
        <v>3882</v>
      </c>
      <c r="O41" s="251"/>
    </row>
    <row r="42" spans="1:15" ht="26.25" customHeight="1">
      <c r="A42" s="18" t="s">
        <v>867</v>
      </c>
      <c r="B42" s="19" t="s">
        <v>3990</v>
      </c>
      <c r="C42" s="19" t="s">
        <v>3991</v>
      </c>
      <c r="D42" s="20" t="s">
        <v>3992</v>
      </c>
      <c r="E42" s="32" t="s">
        <v>178</v>
      </c>
      <c r="F42" s="33" t="s">
        <v>42</v>
      </c>
      <c r="G42" s="23" t="s">
        <v>3993</v>
      </c>
      <c r="H42" s="24"/>
      <c r="I42" s="243" t="str">
        <f t="shared" si="0"/>
        <v>OK</v>
      </c>
      <c r="K42" s="249" t="s">
        <v>4617</v>
      </c>
      <c r="L42" s="250" t="s">
        <v>3990</v>
      </c>
      <c r="M42" s="250" t="s">
        <v>4697</v>
      </c>
      <c r="N42" s="250" t="s">
        <v>3992</v>
      </c>
      <c r="O42" s="251"/>
    </row>
    <row r="43" spans="1:15" ht="26.25" customHeight="1">
      <c r="A43" s="18" t="s">
        <v>27</v>
      </c>
      <c r="B43" s="19" t="s">
        <v>3372</v>
      </c>
      <c r="C43" s="19" t="s">
        <v>124</v>
      </c>
      <c r="D43" s="20" t="s">
        <v>3373</v>
      </c>
      <c r="E43" s="32" t="s">
        <v>52</v>
      </c>
      <c r="F43" s="22" t="s">
        <v>42</v>
      </c>
      <c r="G43" s="23" t="s">
        <v>3374</v>
      </c>
      <c r="H43" s="24"/>
      <c r="I43" s="243" t="str">
        <f t="shared" si="0"/>
        <v>OK</v>
      </c>
      <c r="K43" s="249" t="s">
        <v>4337</v>
      </c>
      <c r="L43" s="250" t="s">
        <v>3372</v>
      </c>
      <c r="M43" s="250" t="s">
        <v>255</v>
      </c>
      <c r="N43" s="251" t="s">
        <v>3373</v>
      </c>
      <c r="O43" s="251"/>
    </row>
    <row r="44" spans="1:15" ht="26.25" customHeight="1">
      <c r="A44" s="18" t="s">
        <v>132</v>
      </c>
      <c r="B44" s="19" t="s">
        <v>2003</v>
      </c>
      <c r="C44" s="19" t="s">
        <v>2004</v>
      </c>
      <c r="D44" s="20" t="s">
        <v>2005</v>
      </c>
      <c r="E44" s="32" t="s">
        <v>4978</v>
      </c>
      <c r="F44" s="22" t="s">
        <v>42</v>
      </c>
      <c r="G44" s="23" t="s">
        <v>2007</v>
      </c>
      <c r="H44" s="24"/>
      <c r="I44" s="243" t="str">
        <f t="shared" si="0"/>
        <v>OK</v>
      </c>
      <c r="K44" s="249" t="s">
        <v>4337</v>
      </c>
      <c r="L44" s="250" t="s">
        <v>2003</v>
      </c>
      <c r="M44" s="250" t="s">
        <v>5069</v>
      </c>
      <c r="N44" s="251" t="s">
        <v>2005</v>
      </c>
      <c r="O44" s="251"/>
    </row>
    <row r="45" spans="1:15" ht="26.25" customHeight="1">
      <c r="A45" s="18" t="s">
        <v>37</v>
      </c>
      <c r="B45" s="19" t="s">
        <v>2045</v>
      </c>
      <c r="C45" s="19" t="s">
        <v>141</v>
      </c>
      <c r="D45" s="20" t="s">
        <v>2046</v>
      </c>
      <c r="E45" s="32" t="s">
        <v>5009</v>
      </c>
      <c r="F45" s="22" t="s">
        <v>42</v>
      </c>
      <c r="G45" s="23" t="s">
        <v>2048</v>
      </c>
      <c r="H45" s="24"/>
      <c r="I45" s="243" t="str">
        <f t="shared" si="0"/>
        <v>OK</v>
      </c>
      <c r="K45" s="249" t="s">
        <v>4337</v>
      </c>
      <c r="L45" s="250" t="s">
        <v>2045</v>
      </c>
      <c r="M45" s="250" t="s">
        <v>558</v>
      </c>
      <c r="N45" s="251" t="s">
        <v>2046</v>
      </c>
      <c r="O45" s="248"/>
    </row>
    <row r="46" spans="1:15" ht="26.25" customHeight="1">
      <c r="A46" s="18" t="s">
        <v>27</v>
      </c>
      <c r="B46" s="19" t="s">
        <v>2049</v>
      </c>
      <c r="C46" s="19" t="s">
        <v>2050</v>
      </c>
      <c r="D46" s="20" t="s">
        <v>2051</v>
      </c>
      <c r="E46" s="32" t="s">
        <v>4966</v>
      </c>
      <c r="F46" s="22" t="s">
        <v>31</v>
      </c>
      <c r="G46" s="23" t="s">
        <v>2053</v>
      </c>
      <c r="H46" s="24"/>
      <c r="I46" s="243" t="str">
        <f t="shared" si="0"/>
        <v>OK</v>
      </c>
      <c r="K46" s="249" t="s">
        <v>4617</v>
      </c>
      <c r="L46" s="250" t="s">
        <v>4745</v>
      </c>
      <c r="M46" s="250" t="s">
        <v>4733</v>
      </c>
      <c r="N46" s="251" t="s">
        <v>2051</v>
      </c>
      <c r="O46" s="251"/>
    </row>
    <row r="47" spans="1:15" ht="26.25" customHeight="1">
      <c r="A47" s="18" t="s">
        <v>37</v>
      </c>
      <c r="B47" s="19" t="s">
        <v>2060</v>
      </c>
      <c r="C47" s="19" t="s">
        <v>141</v>
      </c>
      <c r="D47" s="20" t="s">
        <v>2061</v>
      </c>
      <c r="E47" s="32" t="s">
        <v>5010</v>
      </c>
      <c r="F47" s="22" t="s">
        <v>42</v>
      </c>
      <c r="G47" s="23" t="s">
        <v>2063</v>
      </c>
      <c r="H47" s="24"/>
      <c r="I47" s="243" t="str">
        <f t="shared" si="0"/>
        <v>OK</v>
      </c>
      <c r="K47" s="249" t="s">
        <v>4337</v>
      </c>
      <c r="L47" s="250" t="s">
        <v>2060</v>
      </c>
      <c r="M47" s="250" t="s">
        <v>558</v>
      </c>
      <c r="N47" s="251" t="s">
        <v>2061</v>
      </c>
      <c r="O47" s="251"/>
    </row>
    <row r="48" spans="1:15" ht="26.25" customHeight="1">
      <c r="A48" s="18" t="s">
        <v>175</v>
      </c>
      <c r="B48" s="31" t="s">
        <v>3385</v>
      </c>
      <c r="C48" s="19" t="s">
        <v>3386</v>
      </c>
      <c r="D48" s="20" t="s">
        <v>3387</v>
      </c>
      <c r="E48" s="21" t="s">
        <v>5070</v>
      </c>
      <c r="F48" s="33" t="s">
        <v>42</v>
      </c>
      <c r="G48" s="23" t="s">
        <v>3388</v>
      </c>
      <c r="H48" s="24"/>
      <c r="I48" s="243" t="str">
        <f t="shared" si="0"/>
        <v>OK</v>
      </c>
      <c r="K48" s="252" t="s">
        <v>87</v>
      </c>
      <c r="L48" s="261" t="s">
        <v>5071</v>
      </c>
      <c r="M48" s="261" t="s">
        <v>4841</v>
      </c>
      <c r="N48" s="262" t="s">
        <v>3387</v>
      </c>
      <c r="O48" s="251"/>
    </row>
    <row r="49" spans="1:15" ht="26.25" customHeight="1">
      <c r="A49" s="18" t="s">
        <v>132</v>
      </c>
      <c r="B49" s="19" t="s">
        <v>2159</v>
      </c>
      <c r="C49" s="19" t="s">
        <v>447</v>
      </c>
      <c r="D49" s="20" t="s">
        <v>2160</v>
      </c>
      <c r="E49" s="32" t="s">
        <v>4980</v>
      </c>
      <c r="F49" s="22" t="s">
        <v>42</v>
      </c>
      <c r="G49" s="23" t="s">
        <v>2162</v>
      </c>
      <c r="H49" s="24"/>
      <c r="I49" s="243" t="str">
        <f t="shared" si="0"/>
        <v>OK</v>
      </c>
      <c r="K49" s="249" t="s">
        <v>4337</v>
      </c>
      <c r="L49" s="250" t="s">
        <v>2159</v>
      </c>
      <c r="M49" s="250" t="s">
        <v>5069</v>
      </c>
      <c r="N49" s="251" t="s">
        <v>2160</v>
      </c>
      <c r="O49" s="251"/>
    </row>
    <row r="50" spans="1:15" ht="26.25" customHeight="1">
      <c r="A50" s="18" t="s">
        <v>248</v>
      </c>
      <c r="B50" s="19" t="s">
        <v>2171</v>
      </c>
      <c r="C50" s="19" t="s">
        <v>124</v>
      </c>
      <c r="D50" s="20" t="s">
        <v>2172</v>
      </c>
      <c r="E50" s="32" t="s">
        <v>52</v>
      </c>
      <c r="F50" s="33" t="s">
        <v>42</v>
      </c>
      <c r="G50" s="23" t="s">
        <v>2173</v>
      </c>
      <c r="H50" s="24"/>
      <c r="I50" s="243" t="str">
        <f t="shared" si="0"/>
        <v>OK</v>
      </c>
      <c r="K50" s="249" t="s">
        <v>4337</v>
      </c>
      <c r="L50" s="250" t="s">
        <v>2171</v>
      </c>
      <c r="M50" s="250" t="s">
        <v>255</v>
      </c>
      <c r="N50" s="251" t="s">
        <v>2172</v>
      </c>
      <c r="O50" s="251"/>
    </row>
    <row r="51" spans="1:15" ht="26.25" customHeight="1">
      <c r="A51" s="64" t="s">
        <v>37</v>
      </c>
      <c r="B51" s="19" t="s">
        <v>2238</v>
      </c>
      <c r="C51" s="19" t="s">
        <v>277</v>
      </c>
      <c r="D51" s="20" t="s">
        <v>2239</v>
      </c>
      <c r="E51" s="32" t="s">
        <v>5011</v>
      </c>
      <c r="F51" s="22" t="s">
        <v>42</v>
      </c>
      <c r="G51" s="23" t="s">
        <v>2240</v>
      </c>
      <c r="H51" s="24"/>
      <c r="I51" s="243" t="str">
        <f t="shared" si="0"/>
        <v>OK</v>
      </c>
      <c r="K51" s="249" t="s">
        <v>4337</v>
      </c>
      <c r="L51" s="250" t="s">
        <v>4487</v>
      </c>
      <c r="M51" s="250" t="s">
        <v>196</v>
      </c>
      <c r="N51" s="251" t="s">
        <v>2239</v>
      </c>
      <c r="O51" s="248"/>
    </row>
    <row r="52" spans="1:15" ht="26.25" customHeight="1">
      <c r="A52" s="18" t="s">
        <v>105</v>
      </c>
      <c r="B52" s="31" t="s">
        <v>2310</v>
      </c>
      <c r="C52" s="19" t="s">
        <v>2311</v>
      </c>
      <c r="D52" s="20" t="s">
        <v>2312</v>
      </c>
      <c r="E52" s="32" t="s">
        <v>3736</v>
      </c>
      <c r="F52" s="33" t="s">
        <v>42</v>
      </c>
      <c r="G52" s="23" t="s">
        <v>2313</v>
      </c>
      <c r="H52" s="24"/>
      <c r="I52" s="243" t="str">
        <f t="shared" si="0"/>
        <v>OK</v>
      </c>
      <c r="K52" s="252" t="s">
        <v>87</v>
      </c>
      <c r="L52" s="253" t="s">
        <v>2310</v>
      </c>
      <c r="M52" s="254" t="s">
        <v>45</v>
      </c>
      <c r="N52" s="255" t="s">
        <v>2312</v>
      </c>
      <c r="O52" s="251"/>
    </row>
    <row r="53" spans="1:15" ht="26.25" customHeight="1">
      <c r="A53" s="18" t="s">
        <v>132</v>
      </c>
      <c r="B53" s="19" t="s">
        <v>2356</v>
      </c>
      <c r="C53" s="19" t="s">
        <v>124</v>
      </c>
      <c r="D53" s="20" t="s">
        <v>2357</v>
      </c>
      <c r="E53" s="32" t="s">
        <v>4983</v>
      </c>
      <c r="F53" s="22" t="s">
        <v>42</v>
      </c>
      <c r="G53" s="23" t="s">
        <v>2359</v>
      </c>
      <c r="H53" s="24"/>
      <c r="I53" s="243" t="str">
        <f t="shared" si="0"/>
        <v>OK</v>
      </c>
      <c r="K53" s="249" t="s">
        <v>4337</v>
      </c>
      <c r="L53" s="250" t="s">
        <v>2356</v>
      </c>
      <c r="M53" s="250" t="s">
        <v>255</v>
      </c>
      <c r="N53" s="251" t="s">
        <v>2357</v>
      </c>
      <c r="O53" s="248"/>
    </row>
    <row r="54" spans="1:15" ht="26.25" customHeight="1">
      <c r="A54" s="18" t="s">
        <v>1375</v>
      </c>
      <c r="B54" s="19" t="s">
        <v>2380</v>
      </c>
      <c r="C54" s="19" t="s">
        <v>2377</v>
      </c>
      <c r="D54" s="20" t="s">
        <v>2381</v>
      </c>
      <c r="E54" s="32" t="s">
        <v>4992</v>
      </c>
      <c r="F54" s="22" t="s">
        <v>31</v>
      </c>
      <c r="G54" s="23" t="s">
        <v>2383</v>
      </c>
      <c r="H54" s="24"/>
      <c r="I54" s="243" t="str">
        <f t="shared" si="0"/>
        <v>OK</v>
      </c>
      <c r="K54" s="249" t="s">
        <v>4337</v>
      </c>
      <c r="L54" s="250" t="s">
        <v>2380</v>
      </c>
      <c r="M54" s="250" t="s">
        <v>2377</v>
      </c>
      <c r="N54" s="251" t="s">
        <v>2381</v>
      </c>
      <c r="O54" s="251"/>
    </row>
    <row r="55" spans="1:15" ht="26.25" customHeight="1">
      <c r="A55" s="18" t="s">
        <v>175</v>
      </c>
      <c r="B55" s="31" t="s">
        <v>4281</v>
      </c>
      <c r="C55" s="19" t="s">
        <v>4282</v>
      </c>
      <c r="D55" s="20" t="s">
        <v>4283</v>
      </c>
      <c r="E55" s="21" t="s">
        <v>1990</v>
      </c>
      <c r="F55" s="33" t="s">
        <v>53</v>
      </c>
      <c r="G55" s="23" t="s">
        <v>4284</v>
      </c>
      <c r="H55" s="24"/>
      <c r="I55" s="243" t="str">
        <f t="shared" si="0"/>
        <v>OK</v>
      </c>
      <c r="K55" s="252" t="s">
        <v>87</v>
      </c>
      <c r="L55" s="261" t="s">
        <v>4811</v>
      </c>
      <c r="M55" s="261" t="s">
        <v>4812</v>
      </c>
      <c r="N55" s="262" t="s">
        <v>4283</v>
      </c>
      <c r="O55" s="251"/>
    </row>
    <row r="56" spans="1:15" ht="26.25" customHeight="1">
      <c r="A56" s="18" t="s">
        <v>13</v>
      </c>
      <c r="B56" s="19" t="s">
        <v>3624</v>
      </c>
      <c r="C56" s="19" t="s">
        <v>3625</v>
      </c>
      <c r="D56" s="20" t="s">
        <v>3626</v>
      </c>
      <c r="E56" s="32" t="s">
        <v>4962</v>
      </c>
      <c r="F56" s="22" t="s">
        <v>53</v>
      </c>
      <c r="G56" s="23" t="s">
        <v>3628</v>
      </c>
      <c r="H56" s="24"/>
      <c r="I56" s="243" t="str">
        <f t="shared" si="0"/>
        <v>OK</v>
      </c>
      <c r="K56" s="249" t="s">
        <v>4617</v>
      </c>
      <c r="L56" s="250" t="s">
        <v>3624</v>
      </c>
      <c r="M56" s="250" t="s">
        <v>4620</v>
      </c>
      <c r="N56" s="251" t="s">
        <v>3626</v>
      </c>
      <c r="O56" s="251"/>
    </row>
    <row r="57" spans="1:15" ht="26.25" customHeight="1">
      <c r="A57" s="18" t="s">
        <v>13</v>
      </c>
      <c r="B57" s="19" t="s">
        <v>3704</v>
      </c>
      <c r="C57" s="19" t="s">
        <v>3705</v>
      </c>
      <c r="D57" s="20" t="s">
        <v>3706</v>
      </c>
      <c r="E57" s="32" t="s">
        <v>178</v>
      </c>
      <c r="F57" s="22" t="s">
        <v>53</v>
      </c>
      <c r="G57" s="23" t="s">
        <v>3707</v>
      </c>
      <c r="H57" s="24"/>
      <c r="I57" s="243" t="str">
        <f t="shared" si="0"/>
        <v>OK</v>
      </c>
      <c r="K57" s="249" t="s">
        <v>4617</v>
      </c>
      <c r="L57" s="250" t="s">
        <v>3704</v>
      </c>
      <c r="M57" s="250" t="s">
        <v>4638</v>
      </c>
      <c r="N57" s="251" t="s">
        <v>3706</v>
      </c>
      <c r="O57" s="251"/>
    </row>
    <row r="58" spans="1:15" ht="26.25" customHeight="1">
      <c r="A58" s="18" t="s">
        <v>132</v>
      </c>
      <c r="B58" s="19" t="s">
        <v>2566</v>
      </c>
      <c r="C58" s="19" t="s">
        <v>370</v>
      </c>
      <c r="D58" s="20" t="s">
        <v>2567</v>
      </c>
      <c r="E58" s="32" t="s">
        <v>4984</v>
      </c>
      <c r="F58" s="22" t="s">
        <v>53</v>
      </c>
      <c r="G58" s="23" t="s">
        <v>2569</v>
      </c>
      <c r="H58" s="24"/>
      <c r="I58" s="243" t="str">
        <f t="shared" si="0"/>
        <v>OK</v>
      </c>
      <c r="K58" s="249" t="s">
        <v>4337</v>
      </c>
      <c r="L58" s="250" t="s">
        <v>2566</v>
      </c>
      <c r="M58" s="250" t="s">
        <v>1028</v>
      </c>
      <c r="N58" s="251" t="s">
        <v>2567</v>
      </c>
      <c r="O58" s="251"/>
    </row>
    <row r="59" spans="1:15" ht="26.25" customHeight="1">
      <c r="A59" s="18" t="s">
        <v>13</v>
      </c>
      <c r="B59" s="19" t="s">
        <v>2574</v>
      </c>
      <c r="C59" s="19" t="s">
        <v>199</v>
      </c>
      <c r="D59" s="20" t="s">
        <v>2575</v>
      </c>
      <c r="E59" s="32" t="s">
        <v>52</v>
      </c>
      <c r="F59" s="22" t="s">
        <v>42</v>
      </c>
      <c r="G59" s="23" t="s">
        <v>2576</v>
      </c>
      <c r="H59" s="24"/>
      <c r="I59" s="243" t="str">
        <f t="shared" si="0"/>
        <v>OK</v>
      </c>
      <c r="K59" s="249" t="s">
        <v>4337</v>
      </c>
      <c r="L59" s="250" t="s">
        <v>2574</v>
      </c>
      <c r="M59" s="250" t="s">
        <v>199</v>
      </c>
      <c r="N59" s="251" t="s">
        <v>2575</v>
      </c>
      <c r="O59" s="251"/>
    </row>
    <row r="60" spans="1:15" ht="26.25" customHeight="1">
      <c r="A60" s="18" t="s">
        <v>37</v>
      </c>
      <c r="B60" s="19" t="s">
        <v>2602</v>
      </c>
      <c r="C60" s="19" t="s">
        <v>2603</v>
      </c>
      <c r="D60" s="20" t="s">
        <v>2604</v>
      </c>
      <c r="E60" s="32" t="s">
        <v>186</v>
      </c>
      <c r="F60" s="22" t="s">
        <v>42</v>
      </c>
      <c r="G60" s="23" t="s">
        <v>2605</v>
      </c>
      <c r="H60" s="24"/>
      <c r="I60" s="243" t="str">
        <f t="shared" si="0"/>
        <v>OK</v>
      </c>
      <c r="K60" s="252" t="s">
        <v>87</v>
      </c>
      <c r="L60" s="258" t="s">
        <v>4918</v>
      </c>
      <c r="M60" s="259" t="s">
        <v>4919</v>
      </c>
      <c r="N60" s="260" t="s">
        <v>2604</v>
      </c>
      <c r="O60" s="251"/>
    </row>
    <row r="61" spans="1:15" ht="26.25" customHeight="1">
      <c r="A61" s="18" t="s">
        <v>37</v>
      </c>
      <c r="B61" s="19" t="s">
        <v>2616</v>
      </c>
      <c r="C61" s="19" t="s">
        <v>2617</v>
      </c>
      <c r="D61" s="20" t="s">
        <v>2618</v>
      </c>
      <c r="E61" s="32" t="s">
        <v>2705</v>
      </c>
      <c r="F61" s="22" t="s">
        <v>31</v>
      </c>
      <c r="G61" s="23" t="s">
        <v>2619</v>
      </c>
      <c r="H61" s="24"/>
      <c r="I61" s="243" t="str">
        <f t="shared" si="0"/>
        <v>OK</v>
      </c>
      <c r="K61" s="249" t="s">
        <v>4337</v>
      </c>
      <c r="L61" s="250" t="s">
        <v>2616</v>
      </c>
      <c r="M61" s="250" t="s">
        <v>4522</v>
      </c>
      <c r="N61" s="251" t="s">
        <v>2618</v>
      </c>
      <c r="O61" s="251"/>
    </row>
    <row r="62" spans="1:15" ht="26.25" customHeight="1">
      <c r="A62" s="18" t="s">
        <v>105</v>
      </c>
      <c r="B62" s="31" t="s">
        <v>2635</v>
      </c>
      <c r="C62" s="19" t="s">
        <v>2636</v>
      </c>
      <c r="D62" s="20" t="s">
        <v>2637</v>
      </c>
      <c r="E62" s="21" t="s">
        <v>5072</v>
      </c>
      <c r="F62" s="33" t="s">
        <v>63</v>
      </c>
      <c r="G62" s="23" t="s">
        <v>2639</v>
      </c>
      <c r="H62" s="24"/>
      <c r="I62" s="243" t="str">
        <f t="shared" si="0"/>
        <v>OK</v>
      </c>
      <c r="K62" s="252" t="s">
        <v>87</v>
      </c>
      <c r="L62" s="253" t="s">
        <v>2635</v>
      </c>
      <c r="M62" s="254" t="s">
        <v>361</v>
      </c>
      <c r="N62" s="255" t="s">
        <v>2637</v>
      </c>
      <c r="O62" s="265"/>
    </row>
    <row r="63" spans="1:15" ht="26.25" customHeight="1">
      <c r="A63" s="18" t="s">
        <v>37</v>
      </c>
      <c r="B63" s="19" t="s">
        <v>2707</v>
      </c>
      <c r="C63" s="19" t="s">
        <v>1804</v>
      </c>
      <c r="D63" s="20" t="s">
        <v>2708</v>
      </c>
      <c r="E63" s="32" t="s">
        <v>5016</v>
      </c>
      <c r="F63" s="22" t="s">
        <v>53</v>
      </c>
      <c r="G63" s="23" t="s">
        <v>2710</v>
      </c>
      <c r="H63" s="24"/>
      <c r="I63" s="243" t="str">
        <f t="shared" si="0"/>
        <v>OK</v>
      </c>
      <c r="K63" s="249" t="s">
        <v>4337</v>
      </c>
      <c r="L63" s="250" t="s">
        <v>2707</v>
      </c>
      <c r="M63" s="250" t="s">
        <v>896</v>
      </c>
      <c r="N63" s="251" t="s">
        <v>2708</v>
      </c>
      <c r="O63" s="266"/>
    </row>
    <row r="64" spans="1:15" ht="26.25" customHeight="1">
      <c r="A64" s="18" t="s">
        <v>27</v>
      </c>
      <c r="B64" s="31" t="s">
        <v>2813</v>
      </c>
      <c r="C64" s="19" t="s">
        <v>124</v>
      </c>
      <c r="D64" s="20" t="s">
        <v>2814</v>
      </c>
      <c r="E64" s="21" t="s">
        <v>5073</v>
      </c>
      <c r="F64" s="22" t="s">
        <v>42</v>
      </c>
      <c r="G64" s="23" t="s">
        <v>2816</v>
      </c>
      <c r="H64" s="24"/>
      <c r="I64" s="243" t="str">
        <f t="shared" si="0"/>
        <v>OK</v>
      </c>
      <c r="K64" s="252" t="s">
        <v>87</v>
      </c>
      <c r="L64" s="253" t="s">
        <v>2813</v>
      </c>
      <c r="M64" s="254" t="s">
        <v>361</v>
      </c>
      <c r="N64" s="255" t="s">
        <v>2814</v>
      </c>
      <c r="O64" s="266"/>
    </row>
    <row r="65" spans="1:15" ht="26.25" customHeight="1">
      <c r="A65" s="18" t="s">
        <v>175</v>
      </c>
      <c r="B65" s="31" t="s">
        <v>3869</v>
      </c>
      <c r="C65" s="19" t="s">
        <v>673</v>
      </c>
      <c r="D65" s="20" t="s">
        <v>3870</v>
      </c>
      <c r="E65" s="21" t="s">
        <v>5074</v>
      </c>
      <c r="F65" s="33" t="s">
        <v>42</v>
      </c>
      <c r="G65" s="23" t="s">
        <v>3872</v>
      </c>
      <c r="H65" s="24"/>
      <c r="I65" s="243" t="str">
        <f t="shared" si="0"/>
        <v>OK</v>
      </c>
      <c r="K65" s="252" t="s">
        <v>87</v>
      </c>
      <c r="L65" s="261" t="s">
        <v>4826</v>
      </c>
      <c r="M65" s="261" t="s">
        <v>4827</v>
      </c>
      <c r="N65" s="262" t="s">
        <v>3870</v>
      </c>
      <c r="O65" s="266"/>
    </row>
    <row r="66" spans="1:15" ht="26.25" customHeight="1">
      <c r="A66" s="18" t="s">
        <v>105</v>
      </c>
      <c r="B66" s="31" t="s">
        <v>2471</v>
      </c>
      <c r="C66" s="19" t="s">
        <v>2472</v>
      </c>
      <c r="D66" s="20" t="s">
        <v>2473</v>
      </c>
      <c r="E66" s="21" t="s">
        <v>5075</v>
      </c>
      <c r="F66" s="33" t="s">
        <v>42</v>
      </c>
      <c r="G66" s="23" t="s">
        <v>2475</v>
      </c>
      <c r="H66" s="24"/>
      <c r="I66" s="243" t="str">
        <f t="shared" si="0"/>
        <v>OK</v>
      </c>
      <c r="K66" s="252" t="s">
        <v>87</v>
      </c>
      <c r="L66" s="261" t="s">
        <v>2471</v>
      </c>
      <c r="M66" s="261" t="s">
        <v>4843</v>
      </c>
      <c r="N66" s="262" t="s">
        <v>2473</v>
      </c>
      <c r="O66" s="266"/>
    </row>
    <row r="67" spans="1:15" ht="26.25" customHeight="1">
      <c r="A67" s="18" t="s">
        <v>27</v>
      </c>
      <c r="B67" s="19" t="s">
        <v>3743</v>
      </c>
      <c r="C67" s="19" t="s">
        <v>3744</v>
      </c>
      <c r="D67" s="20" t="s">
        <v>3745</v>
      </c>
      <c r="E67" s="32" t="s">
        <v>52</v>
      </c>
      <c r="F67" s="33" t="s">
        <v>53</v>
      </c>
      <c r="G67" s="23" t="s">
        <v>3746</v>
      </c>
      <c r="H67" s="24"/>
      <c r="I67" s="243" t="str">
        <f t="shared" si="0"/>
        <v>OK</v>
      </c>
      <c r="K67" s="249" t="s">
        <v>4617</v>
      </c>
      <c r="L67" s="250" t="s">
        <v>3743</v>
      </c>
      <c r="M67" s="250" t="s">
        <v>4648</v>
      </c>
      <c r="N67" s="251" t="s">
        <v>3745</v>
      </c>
      <c r="O67" s="266"/>
    </row>
    <row r="68" spans="1:15" ht="26.25" customHeight="1">
      <c r="A68" s="18" t="s">
        <v>105</v>
      </c>
      <c r="B68" s="19" t="s">
        <v>3050</v>
      </c>
      <c r="C68" s="19" t="s">
        <v>196</v>
      </c>
      <c r="D68" s="20" t="s">
        <v>3051</v>
      </c>
      <c r="E68" s="32" t="s">
        <v>4957</v>
      </c>
      <c r="F68" s="33" t="s">
        <v>42</v>
      </c>
      <c r="G68" s="23" t="s">
        <v>3052</v>
      </c>
      <c r="H68" s="24"/>
      <c r="I68" s="243" t="str">
        <f t="shared" si="0"/>
        <v>OK</v>
      </c>
      <c r="K68" s="249" t="s">
        <v>4337</v>
      </c>
      <c r="L68" s="250" t="s">
        <v>4581</v>
      </c>
      <c r="M68" s="250" t="s">
        <v>4582</v>
      </c>
      <c r="N68" s="251" t="s">
        <v>3051</v>
      </c>
      <c r="O68" s="266"/>
    </row>
    <row r="69" spans="1:15" ht="26.25" customHeight="1">
      <c r="A69" s="18" t="s">
        <v>105</v>
      </c>
      <c r="B69" s="31" t="s">
        <v>3109</v>
      </c>
      <c r="C69" s="19" t="s">
        <v>2164</v>
      </c>
      <c r="D69" s="20" t="s">
        <v>3110</v>
      </c>
      <c r="E69" s="21" t="s">
        <v>5076</v>
      </c>
      <c r="F69" s="33" t="s">
        <v>31</v>
      </c>
      <c r="G69" s="23" t="s">
        <v>3112</v>
      </c>
      <c r="H69" s="24"/>
      <c r="I69" s="243" t="str">
        <f t="shared" si="0"/>
        <v>OK</v>
      </c>
      <c r="K69" s="252" t="s">
        <v>87</v>
      </c>
      <c r="L69" s="253" t="s">
        <v>4926</v>
      </c>
      <c r="M69" s="254" t="s">
        <v>4927</v>
      </c>
      <c r="N69" s="255" t="s">
        <v>3110</v>
      </c>
      <c r="O69" s="266"/>
    </row>
    <row r="70" spans="1:15" ht="26.25" customHeight="1">
      <c r="A70" s="18" t="s">
        <v>37</v>
      </c>
      <c r="B70" s="19" t="s">
        <v>3802</v>
      </c>
      <c r="C70" s="19" t="s">
        <v>3803</v>
      </c>
      <c r="D70" s="20" t="s">
        <v>3804</v>
      </c>
      <c r="E70" s="32" t="s">
        <v>5024</v>
      </c>
      <c r="F70" s="33" t="s">
        <v>53</v>
      </c>
      <c r="G70" s="23" t="s">
        <v>3806</v>
      </c>
      <c r="H70" s="24"/>
      <c r="I70" s="243" t="str">
        <f t="shared" si="0"/>
        <v>OK</v>
      </c>
      <c r="K70" s="249" t="s">
        <v>4617</v>
      </c>
      <c r="L70" s="250" t="s">
        <v>4663</v>
      </c>
      <c r="M70" s="250" t="s">
        <v>4664</v>
      </c>
      <c r="N70" s="251" t="s">
        <v>3804</v>
      </c>
      <c r="O70" s="266"/>
    </row>
    <row r="71" spans="1:15" ht="26.25" customHeight="1">
      <c r="A71" s="18" t="s">
        <v>37</v>
      </c>
      <c r="B71" s="19" t="s">
        <v>3807</v>
      </c>
      <c r="C71" s="19" t="s">
        <v>3808</v>
      </c>
      <c r="D71" s="20" t="s">
        <v>3809</v>
      </c>
      <c r="E71" s="32" t="s">
        <v>5025</v>
      </c>
      <c r="F71" s="22" t="s">
        <v>31</v>
      </c>
      <c r="G71" s="23" t="s">
        <v>3811</v>
      </c>
      <c r="H71" s="24"/>
      <c r="I71" s="243" t="str">
        <f t="shared" si="0"/>
        <v>OK</v>
      </c>
      <c r="K71" s="249" t="s">
        <v>4617</v>
      </c>
      <c r="L71" s="250" t="s">
        <v>4666</v>
      </c>
      <c r="M71" s="250" t="s">
        <v>4667</v>
      </c>
      <c r="N71" s="251" t="s">
        <v>3809</v>
      </c>
      <c r="O71" s="266"/>
    </row>
    <row r="72" spans="1:15" ht="26.25" customHeight="1">
      <c r="A72" s="18" t="s">
        <v>132</v>
      </c>
      <c r="B72" s="19" t="s">
        <v>3817</v>
      </c>
      <c r="C72" s="19" t="s">
        <v>3818</v>
      </c>
      <c r="D72" s="20" t="s">
        <v>3819</v>
      </c>
      <c r="E72" s="32" t="s">
        <v>4994</v>
      </c>
      <c r="F72" s="33" t="s">
        <v>53</v>
      </c>
      <c r="G72" s="23" t="s">
        <v>3821</v>
      </c>
      <c r="H72" s="24"/>
      <c r="I72" s="243" t="str">
        <f t="shared" si="0"/>
        <v>OK</v>
      </c>
      <c r="K72" s="249" t="s">
        <v>4617</v>
      </c>
      <c r="L72" s="250" t="s">
        <v>3817</v>
      </c>
      <c r="M72" s="250" t="s">
        <v>4669</v>
      </c>
      <c r="N72" s="251" t="s">
        <v>3819</v>
      </c>
      <c r="O72" s="266"/>
    </row>
    <row r="73" spans="1:15" ht="26.25" customHeight="1">
      <c r="A73" s="18" t="s">
        <v>3194</v>
      </c>
      <c r="B73" s="19" t="s">
        <v>3228</v>
      </c>
      <c r="C73" s="19" t="s">
        <v>3229</v>
      </c>
      <c r="D73" s="20" t="s">
        <v>3230</v>
      </c>
      <c r="E73" s="32" t="s">
        <v>52</v>
      </c>
      <c r="F73" s="33" t="s">
        <v>2018</v>
      </c>
      <c r="G73" s="23" t="s">
        <v>3231</v>
      </c>
      <c r="H73" s="24"/>
      <c r="I73" s="243" t="str">
        <f t="shared" si="0"/>
        <v>OK</v>
      </c>
      <c r="K73" s="249" t="s">
        <v>4337</v>
      </c>
      <c r="L73" s="250" t="s">
        <v>3228</v>
      </c>
      <c r="M73" s="250" t="s">
        <v>361</v>
      </c>
      <c r="N73" s="251" t="s">
        <v>3230</v>
      </c>
      <c r="O73" s="266"/>
    </row>
    <row r="74" spans="1:15" ht="26.25" customHeight="1">
      <c r="A74" s="18" t="s">
        <v>27</v>
      </c>
      <c r="B74" s="19" t="s">
        <v>3263</v>
      </c>
      <c r="C74" s="19" t="s">
        <v>3264</v>
      </c>
      <c r="D74" s="20" t="s">
        <v>3265</v>
      </c>
      <c r="E74" s="32" t="s">
        <v>4144</v>
      </c>
      <c r="F74" s="22" t="s">
        <v>53</v>
      </c>
      <c r="G74" s="23" t="s">
        <v>3267</v>
      </c>
      <c r="H74" s="24"/>
      <c r="I74" s="243" t="str">
        <f t="shared" si="0"/>
        <v>OK</v>
      </c>
      <c r="K74" s="249" t="s">
        <v>4617</v>
      </c>
      <c r="L74" s="250" t="s">
        <v>4646</v>
      </c>
      <c r="M74" s="250" t="s">
        <v>4647</v>
      </c>
      <c r="N74" s="251" t="s">
        <v>3265</v>
      </c>
      <c r="O74" s="266"/>
    </row>
    <row r="75" spans="1:15" ht="26.25" customHeight="1">
      <c r="A75" s="18" t="s">
        <v>1368</v>
      </c>
      <c r="B75" s="19" t="s">
        <v>3280</v>
      </c>
      <c r="C75" s="19" t="s">
        <v>332</v>
      </c>
      <c r="D75" s="20" t="s">
        <v>3281</v>
      </c>
      <c r="E75" s="32" t="s">
        <v>52</v>
      </c>
      <c r="F75" s="33" t="s">
        <v>3282</v>
      </c>
      <c r="G75" s="23" t="s">
        <v>3283</v>
      </c>
      <c r="H75" s="24"/>
      <c r="I75" s="243" t="str">
        <f t="shared" si="0"/>
        <v>OK</v>
      </c>
      <c r="K75" s="249" t="s">
        <v>4337</v>
      </c>
      <c r="L75" s="250" t="s">
        <v>3280</v>
      </c>
      <c r="M75" s="250" t="s">
        <v>332</v>
      </c>
      <c r="N75" s="251" t="s">
        <v>3281</v>
      </c>
      <c r="O75" s="266"/>
    </row>
    <row r="76" spans="1:15" ht="26.25" customHeight="1">
      <c r="A76" s="18" t="s">
        <v>248</v>
      </c>
      <c r="B76" s="19" t="s">
        <v>3284</v>
      </c>
      <c r="C76" s="19" t="s">
        <v>3285</v>
      </c>
      <c r="D76" s="20" t="s">
        <v>3286</v>
      </c>
      <c r="E76" s="32" t="s">
        <v>5077</v>
      </c>
      <c r="F76" s="33" t="s">
        <v>42</v>
      </c>
      <c r="G76" s="23" t="s">
        <v>3287</v>
      </c>
      <c r="H76" s="24"/>
      <c r="I76" s="243" t="str">
        <f t="shared" si="0"/>
        <v>OK</v>
      </c>
      <c r="K76" s="249" t="s">
        <v>4337</v>
      </c>
      <c r="L76" s="250" t="s">
        <v>3284</v>
      </c>
      <c r="M76" s="250" t="s">
        <v>255</v>
      </c>
      <c r="N76" s="251" t="s">
        <v>3286</v>
      </c>
      <c r="O76" s="266"/>
    </row>
    <row r="77" spans="1:15" ht="26.25" customHeight="1">
      <c r="A77" s="18" t="s">
        <v>37</v>
      </c>
      <c r="B77" s="19" t="s">
        <v>3411</v>
      </c>
      <c r="C77" s="19" t="s">
        <v>499</v>
      </c>
      <c r="D77" s="20" t="s">
        <v>3412</v>
      </c>
      <c r="E77" s="32" t="s">
        <v>4144</v>
      </c>
      <c r="F77" s="22" t="s">
        <v>42</v>
      </c>
      <c r="G77" s="23" t="s">
        <v>3413</v>
      </c>
      <c r="H77" s="24"/>
      <c r="I77" s="243" t="str">
        <f t="shared" si="0"/>
        <v>OK</v>
      </c>
      <c r="K77" s="249" t="s">
        <v>4337</v>
      </c>
      <c r="L77" s="250" t="s">
        <v>4500</v>
      </c>
      <c r="M77" s="250" t="s">
        <v>255</v>
      </c>
      <c r="N77" s="251" t="s">
        <v>3412</v>
      </c>
      <c r="O77" s="267"/>
    </row>
    <row r="78" spans="1:15" ht="26.25" customHeight="1">
      <c r="A78" s="18" t="s">
        <v>37</v>
      </c>
      <c r="B78" s="19" t="s">
        <v>3291</v>
      </c>
      <c r="C78" s="19" t="s">
        <v>141</v>
      </c>
      <c r="D78" s="20" t="s">
        <v>3292</v>
      </c>
      <c r="E78" s="32" t="s">
        <v>4960</v>
      </c>
      <c r="F78" s="22" t="s">
        <v>42</v>
      </c>
      <c r="G78" s="23" t="s">
        <v>3293</v>
      </c>
      <c r="H78" s="34"/>
      <c r="I78" s="243" t="str">
        <f t="shared" si="0"/>
        <v>OK</v>
      </c>
      <c r="K78" s="249" t="s">
        <v>4337</v>
      </c>
      <c r="L78" s="250" t="s">
        <v>3291</v>
      </c>
      <c r="M78" s="250" t="s">
        <v>558</v>
      </c>
      <c r="N78" s="251" t="s">
        <v>3292</v>
      </c>
      <c r="O78" s="267"/>
    </row>
    <row r="79" spans="1:15" ht="26.25" customHeight="1">
      <c r="A79" s="18" t="s">
        <v>132</v>
      </c>
      <c r="B79" s="19" t="s">
        <v>3499</v>
      </c>
      <c r="C79" s="19" t="s">
        <v>124</v>
      </c>
      <c r="D79" s="20" t="s">
        <v>3500</v>
      </c>
      <c r="E79" s="32" t="s">
        <v>52</v>
      </c>
      <c r="F79" s="22" t="s">
        <v>42</v>
      </c>
      <c r="G79" s="23" t="s">
        <v>3501</v>
      </c>
      <c r="H79" s="24"/>
      <c r="I79" s="243" t="str">
        <f t="shared" si="0"/>
        <v>OK</v>
      </c>
      <c r="K79" s="249" t="s">
        <v>4337</v>
      </c>
      <c r="L79" s="250" t="s">
        <v>3499</v>
      </c>
      <c r="M79" s="250" t="s">
        <v>255</v>
      </c>
      <c r="N79" s="251" t="s">
        <v>3500</v>
      </c>
      <c r="O79" s="267"/>
    </row>
    <row r="80" spans="1:15" ht="26.25" customHeight="1">
      <c r="A80" s="18" t="s">
        <v>132</v>
      </c>
      <c r="B80" s="19" t="s">
        <v>3536</v>
      </c>
      <c r="C80" s="19" t="s">
        <v>3537</v>
      </c>
      <c r="D80" s="20" t="s">
        <v>3538</v>
      </c>
      <c r="E80" s="32" t="s">
        <v>4990</v>
      </c>
      <c r="F80" s="22" t="s">
        <v>42</v>
      </c>
      <c r="G80" s="23" t="s">
        <v>3540</v>
      </c>
      <c r="H80" s="34"/>
      <c r="I80" s="243" t="str">
        <f t="shared" si="0"/>
        <v>OK</v>
      </c>
      <c r="K80" s="249" t="s">
        <v>4337</v>
      </c>
      <c r="L80" s="250" t="s">
        <v>3536</v>
      </c>
      <c r="M80" s="250" t="s">
        <v>3537</v>
      </c>
      <c r="N80" s="251" t="s">
        <v>3538</v>
      </c>
      <c r="O80" s="267"/>
    </row>
    <row r="81" spans="1:15" ht="26.25" customHeight="1">
      <c r="A81" s="18" t="s">
        <v>175</v>
      </c>
      <c r="B81" s="31" t="s">
        <v>3855</v>
      </c>
      <c r="C81" s="19" t="s">
        <v>3856</v>
      </c>
      <c r="D81" s="20" t="s">
        <v>3857</v>
      </c>
      <c r="E81" s="21" t="s">
        <v>5078</v>
      </c>
      <c r="F81" s="33" t="s">
        <v>53</v>
      </c>
      <c r="G81" s="23" t="s">
        <v>3859</v>
      </c>
      <c r="H81" s="24"/>
      <c r="I81" s="243" t="str">
        <f t="shared" si="0"/>
        <v>OK</v>
      </c>
      <c r="K81" s="252" t="s">
        <v>87</v>
      </c>
      <c r="L81" s="261" t="s">
        <v>4820</v>
      </c>
      <c r="M81" s="261" t="s">
        <v>4821</v>
      </c>
      <c r="N81" s="262" t="s">
        <v>3857</v>
      </c>
      <c r="O81" s="267"/>
    </row>
    <row r="82" spans="1:15" ht="26.25" customHeight="1">
      <c r="A82" s="18" t="s">
        <v>175</v>
      </c>
      <c r="B82" s="31" t="s">
        <v>420</v>
      </c>
      <c r="C82" s="19" t="s">
        <v>394</v>
      </c>
      <c r="D82" s="20" t="s">
        <v>421</v>
      </c>
      <c r="E82" s="21" t="s">
        <v>5079</v>
      </c>
      <c r="F82" s="33" t="s">
        <v>42</v>
      </c>
      <c r="G82" s="23" t="s">
        <v>423</v>
      </c>
      <c r="H82" s="24"/>
      <c r="I82" s="243" t="str">
        <f t="shared" si="0"/>
        <v>OK</v>
      </c>
      <c r="K82" s="252" t="s">
        <v>87</v>
      </c>
      <c r="L82" s="253" t="s">
        <v>420</v>
      </c>
      <c r="M82" s="254" t="s">
        <v>394</v>
      </c>
      <c r="N82" s="255" t="s">
        <v>421</v>
      </c>
      <c r="O82" s="267"/>
    </row>
    <row r="83" spans="1:15" ht="26.25" customHeight="1">
      <c r="A83" s="18" t="s">
        <v>105</v>
      </c>
      <c r="B83" s="31" t="s">
        <v>3314</v>
      </c>
      <c r="C83" s="19" t="s">
        <v>3206</v>
      </c>
      <c r="D83" s="20" t="s">
        <v>3315</v>
      </c>
      <c r="E83" s="21" t="s">
        <v>5080</v>
      </c>
      <c r="F83" s="33" t="s">
        <v>42</v>
      </c>
      <c r="G83" s="23" t="s">
        <v>3317</v>
      </c>
      <c r="H83" s="24"/>
      <c r="I83" s="243" t="str">
        <f t="shared" si="0"/>
        <v>OK</v>
      </c>
      <c r="K83" s="252" t="s">
        <v>87</v>
      </c>
      <c r="L83" s="253" t="s">
        <v>4867</v>
      </c>
      <c r="M83" s="254" t="s">
        <v>3206</v>
      </c>
      <c r="N83" s="255" t="s">
        <v>3315</v>
      </c>
      <c r="O83" s="267"/>
    </row>
    <row r="84" spans="1:15" ht="26.25" customHeight="1">
      <c r="A84" s="18" t="s">
        <v>37</v>
      </c>
      <c r="B84" s="19" t="s">
        <v>2119</v>
      </c>
      <c r="C84" s="19" t="s">
        <v>447</v>
      </c>
      <c r="D84" s="20" t="s">
        <v>2120</v>
      </c>
      <c r="E84" s="32" t="s">
        <v>4979</v>
      </c>
      <c r="F84" s="22" t="s">
        <v>42</v>
      </c>
      <c r="G84" s="23" t="s">
        <v>2122</v>
      </c>
      <c r="H84" s="24"/>
      <c r="I84" s="243" t="str">
        <f t="shared" si="0"/>
        <v>OK</v>
      </c>
      <c r="K84" s="249" t="s">
        <v>4337</v>
      </c>
      <c r="L84" s="250" t="s">
        <v>4473</v>
      </c>
      <c r="M84" s="250" t="s">
        <v>5069</v>
      </c>
      <c r="N84" s="251" t="s">
        <v>2120</v>
      </c>
      <c r="O84" s="267"/>
    </row>
    <row r="85" spans="1:15" ht="26.25" customHeight="1">
      <c r="A85" s="18" t="s">
        <v>132</v>
      </c>
      <c r="B85" s="19" t="s">
        <v>2348</v>
      </c>
      <c r="C85" s="19" t="s">
        <v>447</v>
      </c>
      <c r="D85" s="20" t="s">
        <v>2349</v>
      </c>
      <c r="E85" s="32" t="s">
        <v>4982</v>
      </c>
      <c r="F85" s="22" t="s">
        <v>42</v>
      </c>
      <c r="G85" s="23" t="s">
        <v>2351</v>
      </c>
      <c r="H85" s="24"/>
      <c r="I85" s="243" t="str">
        <f t="shared" si="0"/>
        <v>OK</v>
      </c>
      <c r="K85" s="249" t="s">
        <v>4337</v>
      </c>
      <c r="L85" s="250" t="s">
        <v>2348</v>
      </c>
      <c r="M85" s="250" t="s">
        <v>5069</v>
      </c>
      <c r="N85" s="251" t="s">
        <v>2349</v>
      </c>
      <c r="O85" s="267"/>
    </row>
    <row r="86" spans="1:15" ht="26.25" customHeight="1">
      <c r="A86" s="18" t="s">
        <v>37</v>
      </c>
      <c r="B86" s="19" t="s">
        <v>3379</v>
      </c>
      <c r="C86" s="19" t="s">
        <v>141</v>
      </c>
      <c r="D86" s="20" t="s">
        <v>3380</v>
      </c>
      <c r="E86" s="32" t="s">
        <v>5019</v>
      </c>
      <c r="F86" s="22" t="s">
        <v>42</v>
      </c>
      <c r="G86" s="23" t="s">
        <v>3382</v>
      </c>
      <c r="H86" s="24"/>
      <c r="I86" s="243" t="str">
        <f t="shared" si="0"/>
        <v>OK</v>
      </c>
      <c r="K86" s="249" t="s">
        <v>4337</v>
      </c>
      <c r="L86" s="250" t="s">
        <v>4468</v>
      </c>
      <c r="M86" s="250" t="s">
        <v>558</v>
      </c>
      <c r="N86" s="251" t="s">
        <v>3380</v>
      </c>
      <c r="O86" s="267"/>
    </row>
    <row r="87" spans="1:15" ht="26.25" customHeight="1">
      <c r="A87" s="18" t="s">
        <v>81</v>
      </c>
      <c r="B87" s="19" t="s">
        <v>3150</v>
      </c>
      <c r="C87" s="19" t="s">
        <v>1700</v>
      </c>
      <c r="D87" s="20" t="s">
        <v>3151</v>
      </c>
      <c r="E87" s="32" t="s">
        <v>178</v>
      </c>
      <c r="F87" s="33" t="s">
        <v>53</v>
      </c>
      <c r="G87" s="23" t="s">
        <v>3152</v>
      </c>
      <c r="H87" s="24"/>
      <c r="I87" s="243" t="str">
        <f t="shared" si="0"/>
        <v>OK</v>
      </c>
      <c r="K87" s="249" t="s">
        <v>4337</v>
      </c>
      <c r="L87" s="250" t="s">
        <v>4590</v>
      </c>
      <c r="M87" s="250" t="s">
        <v>34</v>
      </c>
      <c r="N87" s="251" t="s">
        <v>3151</v>
      </c>
      <c r="O87" s="267"/>
    </row>
    <row r="88" spans="1:15" ht="26.25" customHeight="1">
      <c r="A88" s="18" t="s">
        <v>248</v>
      </c>
      <c r="B88" s="19" t="s">
        <v>2149</v>
      </c>
      <c r="C88" s="19" t="s">
        <v>447</v>
      </c>
      <c r="D88" s="20" t="s">
        <v>2150</v>
      </c>
      <c r="E88" s="32" t="s">
        <v>5081</v>
      </c>
      <c r="F88" s="33" t="s">
        <v>42</v>
      </c>
      <c r="G88" s="23" t="s">
        <v>2152</v>
      </c>
      <c r="H88" s="24"/>
      <c r="I88" s="243" t="str">
        <f t="shared" si="0"/>
        <v>OK</v>
      </c>
      <c r="K88" s="249" t="s">
        <v>4337</v>
      </c>
      <c r="L88" s="250" t="s">
        <v>2149</v>
      </c>
      <c r="M88" s="250" t="s">
        <v>5069</v>
      </c>
      <c r="N88" s="251" t="s">
        <v>2150</v>
      </c>
      <c r="O88" s="267"/>
    </row>
    <row r="89" spans="1:15" ht="26.25" customHeight="1">
      <c r="A89" s="18" t="s">
        <v>105</v>
      </c>
      <c r="B89" s="19" t="s">
        <v>1337</v>
      </c>
      <c r="C89" s="19" t="s">
        <v>1338</v>
      </c>
      <c r="D89" s="20" t="s">
        <v>1339</v>
      </c>
      <c r="E89" s="32" t="s">
        <v>4957</v>
      </c>
      <c r="F89" s="33" t="s">
        <v>42</v>
      </c>
      <c r="G89" s="23" t="s">
        <v>1340</v>
      </c>
      <c r="H89" s="24"/>
      <c r="I89" s="243" t="str">
        <f t="shared" si="0"/>
        <v>OK</v>
      </c>
      <c r="K89" s="249" t="s">
        <v>4337</v>
      </c>
      <c r="L89" s="250" t="s">
        <v>1337</v>
      </c>
      <c r="M89" s="250" t="s">
        <v>57</v>
      </c>
      <c r="N89" s="251" t="s">
        <v>1339</v>
      </c>
      <c r="O89" s="267"/>
    </row>
    <row r="90" spans="1:15" ht="26.25" customHeight="1">
      <c r="A90" s="18" t="s">
        <v>132</v>
      </c>
      <c r="B90" s="19" t="s">
        <v>1898</v>
      </c>
      <c r="C90" s="19" t="s">
        <v>1789</v>
      </c>
      <c r="D90" s="20" t="s">
        <v>1899</v>
      </c>
      <c r="E90" s="32" t="s">
        <v>52</v>
      </c>
      <c r="F90" s="22" t="s">
        <v>31</v>
      </c>
      <c r="G90" s="23" t="s">
        <v>1900</v>
      </c>
      <c r="H90" s="24"/>
      <c r="I90" s="243" t="str">
        <f t="shared" si="0"/>
        <v>OK</v>
      </c>
      <c r="K90" s="249" t="s">
        <v>4337</v>
      </c>
      <c r="L90" s="250" t="s">
        <v>1898</v>
      </c>
      <c r="M90" s="250" t="s">
        <v>1042</v>
      </c>
      <c r="N90" s="251" t="s">
        <v>1899</v>
      </c>
      <c r="O90" s="267"/>
    </row>
    <row r="91" spans="1:15" ht="26.25" customHeight="1">
      <c r="A91" s="18" t="s">
        <v>27</v>
      </c>
      <c r="B91" s="19" t="s">
        <v>1518</v>
      </c>
      <c r="C91" s="19" t="s">
        <v>124</v>
      </c>
      <c r="D91" s="20" t="s">
        <v>1519</v>
      </c>
      <c r="E91" s="32" t="s">
        <v>52</v>
      </c>
      <c r="F91" s="22" t="s">
        <v>42</v>
      </c>
      <c r="G91" s="23" t="s">
        <v>1520</v>
      </c>
      <c r="H91" s="24"/>
      <c r="I91" s="243" t="str">
        <f t="shared" si="0"/>
        <v>OK</v>
      </c>
      <c r="K91" s="249" t="s">
        <v>4337</v>
      </c>
      <c r="L91" s="250" t="s">
        <v>1518</v>
      </c>
      <c r="M91" s="250" t="s">
        <v>255</v>
      </c>
      <c r="N91" s="251" t="s">
        <v>1519</v>
      </c>
      <c r="O91" s="267"/>
    </row>
    <row r="92" spans="1:15" ht="26.25" customHeight="1">
      <c r="A92" s="18" t="s">
        <v>175</v>
      </c>
      <c r="B92" s="19" t="s">
        <v>2031</v>
      </c>
      <c r="C92" s="19" t="s">
        <v>447</v>
      </c>
      <c r="D92" s="20" t="s">
        <v>2032</v>
      </c>
      <c r="E92" s="32" t="s">
        <v>52</v>
      </c>
      <c r="F92" s="33" t="s">
        <v>42</v>
      </c>
      <c r="G92" s="23" t="s">
        <v>2033</v>
      </c>
      <c r="H92" s="24"/>
      <c r="I92" s="243" t="str">
        <f t="shared" si="0"/>
        <v>OK</v>
      </c>
      <c r="K92" s="249" t="s">
        <v>4337</v>
      </c>
      <c r="L92" s="250" t="s">
        <v>2031</v>
      </c>
      <c r="M92" s="250" t="s">
        <v>5069</v>
      </c>
      <c r="N92" s="251" t="s">
        <v>2032</v>
      </c>
      <c r="O92" s="267"/>
    </row>
    <row r="93" spans="1:15" ht="26.25" customHeight="1">
      <c r="A93" s="18" t="s">
        <v>37</v>
      </c>
      <c r="B93" s="31" t="s">
        <v>2360</v>
      </c>
      <c r="C93" s="19" t="s">
        <v>2361</v>
      </c>
      <c r="D93" s="20" t="s">
        <v>2362</v>
      </c>
      <c r="E93" s="21" t="s">
        <v>5065</v>
      </c>
      <c r="F93" s="22" t="s">
        <v>42</v>
      </c>
      <c r="G93" s="23" t="s">
        <v>2363</v>
      </c>
      <c r="H93" s="24"/>
      <c r="I93" s="243" t="str">
        <f t="shared" si="0"/>
        <v>OK</v>
      </c>
      <c r="K93" s="252" t="s">
        <v>87</v>
      </c>
      <c r="L93" s="253" t="s">
        <v>2360</v>
      </c>
      <c r="M93" s="254" t="s">
        <v>2501</v>
      </c>
      <c r="N93" s="255" t="s">
        <v>2362</v>
      </c>
      <c r="O93" s="176"/>
    </row>
    <row r="94" spans="1:15" ht="26.25" customHeight="1">
      <c r="A94" s="18" t="s">
        <v>27</v>
      </c>
      <c r="B94" s="19" t="s">
        <v>28</v>
      </c>
      <c r="C94" s="19" t="s">
        <v>29</v>
      </c>
      <c r="D94" s="20" t="s">
        <v>30</v>
      </c>
      <c r="E94" s="32" t="s">
        <v>3736</v>
      </c>
      <c r="F94" s="22" t="s">
        <v>31</v>
      </c>
      <c r="G94" s="23" t="s">
        <v>32</v>
      </c>
      <c r="H94" s="24"/>
      <c r="I94" s="243" t="str">
        <f t="shared" si="0"/>
        <v>OK</v>
      </c>
      <c r="K94" s="249" t="s">
        <v>4337</v>
      </c>
      <c r="L94" s="250" t="s">
        <v>28</v>
      </c>
      <c r="M94" s="250" t="s">
        <v>4338</v>
      </c>
      <c r="N94" s="251" t="s">
        <v>30</v>
      </c>
      <c r="O94" s="176"/>
    </row>
    <row r="95" spans="1:15" ht="26.25" customHeight="1">
      <c r="A95" s="18" t="s">
        <v>27</v>
      </c>
      <c r="B95" s="19" t="s">
        <v>3124</v>
      </c>
      <c r="C95" s="19" t="s">
        <v>124</v>
      </c>
      <c r="D95" s="20" t="s">
        <v>3125</v>
      </c>
      <c r="E95" s="32" t="s">
        <v>5049</v>
      </c>
      <c r="F95" s="22" t="s">
        <v>42</v>
      </c>
      <c r="G95" s="23" t="s">
        <v>3126</v>
      </c>
      <c r="H95" s="24"/>
      <c r="I95" s="243" t="str">
        <f t="shared" si="0"/>
        <v>OK</v>
      </c>
      <c r="K95" s="249" t="s">
        <v>4337</v>
      </c>
      <c r="L95" s="250" t="s">
        <v>4587</v>
      </c>
      <c r="M95" s="250" t="s">
        <v>255</v>
      </c>
      <c r="N95" s="251" t="s">
        <v>3125</v>
      </c>
      <c r="O95" s="176"/>
    </row>
    <row r="96" spans="1:15" ht="26.25" customHeight="1">
      <c r="A96" s="18" t="s">
        <v>105</v>
      </c>
      <c r="B96" s="31" t="s">
        <v>2423</v>
      </c>
      <c r="C96" s="19" t="s">
        <v>2424</v>
      </c>
      <c r="D96" s="20" t="s">
        <v>2425</v>
      </c>
      <c r="E96" s="21" t="s">
        <v>5082</v>
      </c>
      <c r="F96" s="33" t="s">
        <v>42</v>
      </c>
      <c r="G96" s="23" t="s">
        <v>2427</v>
      </c>
      <c r="H96" s="24"/>
      <c r="I96" s="243" t="str">
        <f t="shared" si="0"/>
        <v>OK</v>
      </c>
      <c r="K96" s="252" t="s">
        <v>87</v>
      </c>
      <c r="L96" s="253" t="s">
        <v>2423</v>
      </c>
      <c r="M96" s="254" t="s">
        <v>361</v>
      </c>
      <c r="N96" s="255" t="s">
        <v>2425</v>
      </c>
      <c r="O96" s="176"/>
    </row>
    <row r="97" spans="1:15" ht="26.25" customHeight="1">
      <c r="A97" s="18" t="s">
        <v>13</v>
      </c>
      <c r="B97" s="87" t="s">
        <v>1073</v>
      </c>
      <c r="C97" s="19" t="s">
        <v>60</v>
      </c>
      <c r="D97" s="20" t="s">
        <v>1074</v>
      </c>
      <c r="E97" s="32" t="s">
        <v>3775</v>
      </c>
      <c r="F97" s="22" t="s">
        <v>53</v>
      </c>
      <c r="G97" s="23" t="s">
        <v>1076</v>
      </c>
      <c r="H97" s="24"/>
      <c r="I97" s="243" t="str">
        <f t="shared" si="0"/>
        <v>OK</v>
      </c>
      <c r="K97" s="249" t="s">
        <v>4337</v>
      </c>
      <c r="L97" s="250" t="s">
        <v>1073</v>
      </c>
      <c r="M97" s="250" t="s">
        <v>60</v>
      </c>
      <c r="N97" s="251" t="s">
        <v>1074</v>
      </c>
      <c r="O97" s="176"/>
    </row>
    <row r="98" spans="1:15" ht="26.25" customHeight="1">
      <c r="A98" s="18" t="s">
        <v>37</v>
      </c>
      <c r="B98" s="19" t="s">
        <v>1976</v>
      </c>
      <c r="C98" s="19" t="s">
        <v>124</v>
      </c>
      <c r="D98" s="20" t="s">
        <v>1977</v>
      </c>
      <c r="E98" s="32" t="s">
        <v>52</v>
      </c>
      <c r="F98" s="22" t="s">
        <v>42</v>
      </c>
      <c r="G98" s="23" t="s">
        <v>1978</v>
      </c>
      <c r="H98" s="24"/>
      <c r="I98" s="243" t="str">
        <f t="shared" si="0"/>
        <v>OK</v>
      </c>
      <c r="K98" s="249" t="s">
        <v>4337</v>
      </c>
      <c r="L98" s="250" t="s">
        <v>4458</v>
      </c>
      <c r="M98" s="250" t="s">
        <v>255</v>
      </c>
      <c r="N98" s="251" t="s">
        <v>1977</v>
      </c>
      <c r="O98" s="176"/>
    </row>
    <row r="99" spans="1:15" ht="26.25" customHeight="1">
      <c r="A99" s="18" t="s">
        <v>27</v>
      </c>
      <c r="B99" s="19" t="s">
        <v>2876</v>
      </c>
      <c r="C99" s="19" t="s">
        <v>196</v>
      </c>
      <c r="D99" s="20" t="s">
        <v>2877</v>
      </c>
      <c r="E99" s="32" t="s">
        <v>4977</v>
      </c>
      <c r="F99" s="22" t="s">
        <v>42</v>
      </c>
      <c r="G99" s="23" t="s">
        <v>2878</v>
      </c>
      <c r="H99" s="24"/>
      <c r="I99" s="243" t="str">
        <f t="shared" si="0"/>
        <v>OK</v>
      </c>
      <c r="K99" s="249" t="s">
        <v>4337</v>
      </c>
      <c r="L99" s="250" t="s">
        <v>4545</v>
      </c>
      <c r="M99" s="250" t="s">
        <v>196</v>
      </c>
      <c r="N99" s="251" t="s">
        <v>2877</v>
      </c>
      <c r="O99" s="176"/>
    </row>
    <row r="100" spans="1:15" ht="26.25" customHeight="1">
      <c r="A100" s="18" t="s">
        <v>132</v>
      </c>
      <c r="B100" s="19" t="s">
        <v>3271</v>
      </c>
      <c r="C100" s="19" t="s">
        <v>3272</v>
      </c>
      <c r="D100" s="20" t="s">
        <v>3273</v>
      </c>
      <c r="E100" s="32" t="s">
        <v>52</v>
      </c>
      <c r="F100" s="22" t="s">
        <v>42</v>
      </c>
      <c r="G100" s="23" t="s">
        <v>3274</v>
      </c>
      <c r="H100" s="24"/>
      <c r="I100" s="243" t="str">
        <f t="shared" si="0"/>
        <v>OK</v>
      </c>
      <c r="K100" s="249" t="s">
        <v>4337</v>
      </c>
      <c r="L100" s="250" t="s">
        <v>4610</v>
      </c>
      <c r="M100" s="250" t="s">
        <v>3272</v>
      </c>
      <c r="N100" s="251" t="s">
        <v>3273</v>
      </c>
      <c r="O100" s="176"/>
    </row>
    <row r="101" spans="1:15" ht="26.25" customHeight="1">
      <c r="A101" s="18" t="s">
        <v>146</v>
      </c>
      <c r="B101" s="19" t="s">
        <v>2112</v>
      </c>
      <c r="C101" s="19" t="s">
        <v>447</v>
      </c>
      <c r="D101" s="20" t="s">
        <v>2113</v>
      </c>
      <c r="E101" s="32" t="s">
        <v>52</v>
      </c>
      <c r="F101" s="33" t="s">
        <v>42</v>
      </c>
      <c r="G101" s="23" t="s">
        <v>2114</v>
      </c>
      <c r="H101" s="24"/>
      <c r="I101" s="243" t="str">
        <f t="shared" si="0"/>
        <v>OK</v>
      </c>
      <c r="K101" s="249" t="s">
        <v>4337</v>
      </c>
      <c r="L101" s="250" t="s">
        <v>2112</v>
      </c>
      <c r="M101" s="250" t="s">
        <v>5069</v>
      </c>
      <c r="N101" s="251" t="s">
        <v>2113</v>
      </c>
      <c r="O101" s="176"/>
    </row>
    <row r="102" spans="1:15" ht="26.25" customHeight="1">
      <c r="A102" s="18" t="s">
        <v>146</v>
      </c>
      <c r="B102" s="19" t="s">
        <v>2384</v>
      </c>
      <c r="C102" s="19" t="s">
        <v>447</v>
      </c>
      <c r="D102" s="20" t="s">
        <v>2385</v>
      </c>
      <c r="E102" s="32" t="s">
        <v>52</v>
      </c>
      <c r="F102" s="33" t="s">
        <v>42</v>
      </c>
      <c r="G102" s="23" t="s">
        <v>2386</v>
      </c>
      <c r="H102" s="24"/>
      <c r="I102" s="243" t="str">
        <f t="shared" si="0"/>
        <v>OK</v>
      </c>
      <c r="K102" s="249" t="s">
        <v>4337</v>
      </c>
      <c r="L102" s="250" t="s">
        <v>2384</v>
      </c>
      <c r="M102" s="250" t="s">
        <v>5069</v>
      </c>
      <c r="N102" s="251" t="s">
        <v>2385</v>
      </c>
      <c r="O102" s="176"/>
    </row>
    <row r="103" spans="1:15" ht="26.25" customHeight="1">
      <c r="A103" s="18" t="s">
        <v>13</v>
      </c>
      <c r="B103" s="19" t="s">
        <v>1224</v>
      </c>
      <c r="C103" s="19" t="s">
        <v>1225</v>
      </c>
      <c r="D103" s="20" t="s">
        <v>1226</v>
      </c>
      <c r="E103" s="32" t="s">
        <v>52</v>
      </c>
      <c r="F103" s="22" t="s">
        <v>53</v>
      </c>
      <c r="G103" s="23" t="s">
        <v>1227</v>
      </c>
      <c r="H103" s="24"/>
      <c r="I103" s="243" t="str">
        <f t="shared" si="0"/>
        <v>OK</v>
      </c>
      <c r="K103" s="249" t="s">
        <v>4337</v>
      </c>
      <c r="L103" s="250" t="s">
        <v>4392</v>
      </c>
      <c r="M103" s="250" t="s">
        <v>1225</v>
      </c>
      <c r="N103" s="251" t="s">
        <v>1226</v>
      </c>
      <c r="O103" s="176"/>
    </row>
    <row r="104" spans="1:15" ht="26.25" customHeight="1">
      <c r="A104" s="18" t="s">
        <v>37</v>
      </c>
      <c r="B104" s="19" t="s">
        <v>3240</v>
      </c>
      <c r="C104" s="19" t="s">
        <v>1776</v>
      </c>
      <c r="D104" s="20" t="s">
        <v>3241</v>
      </c>
      <c r="E104" s="32" t="s">
        <v>52</v>
      </c>
      <c r="F104" s="22" t="s">
        <v>42</v>
      </c>
      <c r="G104" s="23" t="s">
        <v>3242</v>
      </c>
      <c r="H104" s="24"/>
      <c r="I104" s="243" t="str">
        <f t="shared" si="0"/>
        <v>OK</v>
      </c>
      <c r="K104" s="252" t="s">
        <v>87</v>
      </c>
      <c r="L104" s="258" t="s">
        <v>3240</v>
      </c>
      <c r="M104" s="259" t="s">
        <v>337</v>
      </c>
      <c r="N104" s="260" t="s">
        <v>3241</v>
      </c>
      <c r="O104" s="176"/>
    </row>
    <row r="105" spans="1:15" ht="26.25" customHeight="1">
      <c r="A105" s="18" t="s">
        <v>1197</v>
      </c>
      <c r="B105" s="19" t="s">
        <v>3524</v>
      </c>
      <c r="C105" s="19" t="s">
        <v>3525</v>
      </c>
      <c r="D105" s="20" t="s">
        <v>3526</v>
      </c>
      <c r="E105" s="32" t="s">
        <v>52</v>
      </c>
      <c r="F105" s="33" t="s">
        <v>42</v>
      </c>
      <c r="G105" s="23" t="s">
        <v>3527</v>
      </c>
      <c r="H105" s="24"/>
      <c r="I105" s="243" t="str">
        <f t="shared" si="0"/>
        <v>OK</v>
      </c>
      <c r="K105" s="249" t="s">
        <v>4337</v>
      </c>
      <c r="L105" s="250" t="s">
        <v>3524</v>
      </c>
      <c r="M105" s="250" t="s">
        <v>255</v>
      </c>
      <c r="N105" s="251" t="s">
        <v>3526</v>
      </c>
      <c r="O105" s="176"/>
    </row>
    <row r="106" spans="1:15" ht="26.25" customHeight="1">
      <c r="A106" s="18" t="s">
        <v>27</v>
      </c>
      <c r="B106" s="19" t="s">
        <v>2624</v>
      </c>
      <c r="C106" s="22" t="s">
        <v>440</v>
      </c>
      <c r="D106" s="20" t="s">
        <v>2625</v>
      </c>
      <c r="E106" s="32" t="s">
        <v>52</v>
      </c>
      <c r="F106" s="22" t="s">
        <v>63</v>
      </c>
      <c r="G106" s="23" t="s">
        <v>2626</v>
      </c>
      <c r="H106" s="24"/>
      <c r="I106" s="243" t="str">
        <f t="shared" si="0"/>
        <v>OK</v>
      </c>
      <c r="K106" s="249" t="s">
        <v>4337</v>
      </c>
      <c r="L106" s="250" t="s">
        <v>4526</v>
      </c>
      <c r="M106" s="250" t="s">
        <v>4345</v>
      </c>
      <c r="N106" s="251" t="s">
        <v>2625</v>
      </c>
      <c r="O106" s="176"/>
    </row>
    <row r="107" spans="1:15" ht="26.25" customHeight="1">
      <c r="A107" s="18" t="s">
        <v>27</v>
      </c>
      <c r="B107" s="19" t="s">
        <v>2540</v>
      </c>
      <c r="C107" s="19" t="s">
        <v>277</v>
      </c>
      <c r="D107" s="20" t="s">
        <v>2541</v>
      </c>
      <c r="E107" s="32" t="s">
        <v>2705</v>
      </c>
      <c r="F107" s="22" t="s">
        <v>42</v>
      </c>
      <c r="G107" s="23" t="s">
        <v>2542</v>
      </c>
      <c r="H107" s="24"/>
      <c r="I107" s="243" t="str">
        <f t="shared" si="0"/>
        <v>OK</v>
      </c>
      <c r="K107" s="249" t="s">
        <v>4337</v>
      </c>
      <c r="L107" s="250" t="s">
        <v>2540</v>
      </c>
      <c r="M107" s="250" t="s">
        <v>196</v>
      </c>
      <c r="N107" s="251" t="s">
        <v>2541</v>
      </c>
      <c r="O107" s="176"/>
    </row>
    <row r="108" spans="1:15" ht="26.25" customHeight="1">
      <c r="A108" s="18" t="s">
        <v>27</v>
      </c>
      <c r="B108" s="19" t="s">
        <v>841</v>
      </c>
      <c r="C108" s="19" t="s">
        <v>141</v>
      </c>
      <c r="D108" s="20" t="s">
        <v>842</v>
      </c>
      <c r="E108" s="32" t="s">
        <v>52</v>
      </c>
      <c r="F108" s="22" t="s">
        <v>42</v>
      </c>
      <c r="G108" s="23" t="s">
        <v>843</v>
      </c>
      <c r="H108" s="24"/>
      <c r="I108" s="243" t="str">
        <f t="shared" si="0"/>
        <v>OK</v>
      </c>
      <c r="K108" s="252" t="s">
        <v>87</v>
      </c>
      <c r="L108" s="258" t="s">
        <v>841</v>
      </c>
      <c r="M108" s="259" t="s">
        <v>1705</v>
      </c>
      <c r="N108" s="260" t="s">
        <v>842</v>
      </c>
      <c r="O108" s="176"/>
    </row>
    <row r="109" spans="1:15" ht="26.25" customHeight="1">
      <c r="A109" s="18" t="s">
        <v>13</v>
      </c>
      <c r="B109" s="19" t="s">
        <v>752</v>
      </c>
      <c r="C109" s="19" t="s">
        <v>753</v>
      </c>
      <c r="D109" s="20" t="s">
        <v>754</v>
      </c>
      <c r="E109" s="32" t="s">
        <v>52</v>
      </c>
      <c r="F109" s="22" t="s">
        <v>63</v>
      </c>
      <c r="G109" s="23" t="s">
        <v>755</v>
      </c>
      <c r="H109" s="24"/>
      <c r="I109" s="243" t="str">
        <f t="shared" si="0"/>
        <v>OK</v>
      </c>
      <c r="K109" s="249" t="s">
        <v>4337</v>
      </c>
      <c r="L109" s="250" t="s">
        <v>752</v>
      </c>
      <c r="M109" s="250" t="s">
        <v>753</v>
      </c>
      <c r="N109" s="251" t="s">
        <v>754</v>
      </c>
      <c r="O109" s="176"/>
    </row>
    <row r="110" spans="1:15" ht="26.25" customHeight="1">
      <c r="A110" s="18" t="s">
        <v>27</v>
      </c>
      <c r="B110" s="19" t="s">
        <v>898</v>
      </c>
      <c r="C110" s="19" t="s">
        <v>227</v>
      </c>
      <c r="D110" s="20" t="s">
        <v>899</v>
      </c>
      <c r="E110" s="32" t="s">
        <v>5043</v>
      </c>
      <c r="F110" s="22" t="s">
        <v>42</v>
      </c>
      <c r="G110" s="23" t="s">
        <v>901</v>
      </c>
      <c r="H110" s="24"/>
      <c r="I110" s="243" t="str">
        <f t="shared" si="0"/>
        <v>OK</v>
      </c>
      <c r="K110" s="249" t="s">
        <v>4337</v>
      </c>
      <c r="L110" s="250" t="s">
        <v>898</v>
      </c>
      <c r="M110" s="250" t="s">
        <v>4374</v>
      </c>
      <c r="N110" s="251" t="s">
        <v>899</v>
      </c>
      <c r="O110" s="176"/>
    </row>
    <row r="111" spans="1:15" ht="26.25" customHeight="1">
      <c r="A111" s="18" t="s">
        <v>37</v>
      </c>
      <c r="B111" s="19" t="s">
        <v>2621</v>
      </c>
      <c r="C111" s="19" t="s">
        <v>173</v>
      </c>
      <c r="D111" s="20" t="s">
        <v>2622</v>
      </c>
      <c r="E111" s="32" t="s">
        <v>178</v>
      </c>
      <c r="F111" s="22" t="s">
        <v>42</v>
      </c>
      <c r="G111" s="23" t="s">
        <v>2623</v>
      </c>
      <c r="H111" s="24"/>
      <c r="I111" s="243" t="str">
        <f t="shared" si="0"/>
        <v>OK</v>
      </c>
      <c r="K111" s="249" t="s">
        <v>4337</v>
      </c>
      <c r="L111" s="250" t="s">
        <v>4524</v>
      </c>
      <c r="M111" s="250" t="s">
        <v>361</v>
      </c>
      <c r="N111" s="251" t="s">
        <v>2622</v>
      </c>
      <c r="O111" s="176"/>
    </row>
    <row r="112" spans="1:15" ht="26.25" customHeight="1">
      <c r="A112" s="18" t="s">
        <v>27</v>
      </c>
      <c r="B112" s="19" t="s">
        <v>3236</v>
      </c>
      <c r="C112" s="19" t="s">
        <v>3237</v>
      </c>
      <c r="D112" s="20" t="s">
        <v>3238</v>
      </c>
      <c r="E112" s="32" t="s">
        <v>52</v>
      </c>
      <c r="F112" s="22" t="s">
        <v>42</v>
      </c>
      <c r="G112" s="23" t="s">
        <v>3239</v>
      </c>
      <c r="H112" s="24"/>
      <c r="I112" s="243" t="str">
        <f t="shared" si="0"/>
        <v>OK</v>
      </c>
      <c r="K112" s="249" t="s">
        <v>4337</v>
      </c>
      <c r="L112" s="250" t="s">
        <v>3236</v>
      </c>
      <c r="M112" s="250" t="s">
        <v>361</v>
      </c>
      <c r="N112" s="251" t="s">
        <v>3238</v>
      </c>
      <c r="O112" s="176"/>
    </row>
    <row r="113" spans="1:15" ht="26.25" customHeight="1">
      <c r="A113" s="18" t="s">
        <v>248</v>
      </c>
      <c r="B113" s="19" t="s">
        <v>1891</v>
      </c>
      <c r="C113" s="19" t="s">
        <v>1789</v>
      </c>
      <c r="D113" s="20" t="s">
        <v>1892</v>
      </c>
      <c r="E113" s="32" t="s">
        <v>52</v>
      </c>
      <c r="F113" s="33" t="s">
        <v>1893</v>
      </c>
      <c r="G113" s="23" t="s">
        <v>1894</v>
      </c>
      <c r="H113" s="24"/>
      <c r="I113" s="243" t="str">
        <f t="shared" si="0"/>
        <v>OK</v>
      </c>
      <c r="K113" s="249" t="s">
        <v>4337</v>
      </c>
      <c r="L113" s="250" t="s">
        <v>1891</v>
      </c>
      <c r="M113" s="250" t="s">
        <v>1042</v>
      </c>
      <c r="N113" s="251" t="s">
        <v>1892</v>
      </c>
      <c r="O113" s="176"/>
    </row>
    <row r="114" spans="1:15" ht="26.25" customHeight="1">
      <c r="A114" s="18" t="s">
        <v>132</v>
      </c>
      <c r="B114" s="19" t="s">
        <v>1788</v>
      </c>
      <c r="C114" s="19" t="s">
        <v>1789</v>
      </c>
      <c r="D114" s="20" t="s">
        <v>1790</v>
      </c>
      <c r="E114" s="32" t="s">
        <v>52</v>
      </c>
      <c r="F114" s="22" t="s">
        <v>31</v>
      </c>
      <c r="G114" s="23" t="s">
        <v>1791</v>
      </c>
      <c r="H114" s="24"/>
      <c r="I114" s="243" t="str">
        <f t="shared" si="0"/>
        <v>OK</v>
      </c>
      <c r="K114" s="249" t="s">
        <v>4337</v>
      </c>
      <c r="L114" s="250" t="s">
        <v>4434</v>
      </c>
      <c r="M114" s="250" t="s">
        <v>1042</v>
      </c>
      <c r="N114" s="251" t="s">
        <v>1790</v>
      </c>
      <c r="O114" s="176"/>
    </row>
    <row r="115" spans="1:15" ht="26.25" customHeight="1">
      <c r="A115" s="18" t="s">
        <v>105</v>
      </c>
      <c r="B115" s="19" t="s">
        <v>2844</v>
      </c>
      <c r="C115" s="19" t="s">
        <v>124</v>
      </c>
      <c r="D115" s="20" t="s">
        <v>2845</v>
      </c>
      <c r="E115" s="32" t="s">
        <v>4975</v>
      </c>
      <c r="F115" s="33" t="s">
        <v>42</v>
      </c>
      <c r="G115" s="23" t="s">
        <v>2846</v>
      </c>
      <c r="H115" s="24"/>
      <c r="I115" s="243" t="str">
        <f t="shared" si="0"/>
        <v>OK</v>
      </c>
      <c r="K115" s="249" t="s">
        <v>4337</v>
      </c>
      <c r="L115" s="250" t="s">
        <v>2844</v>
      </c>
      <c r="M115" s="250" t="s">
        <v>255</v>
      </c>
      <c r="N115" s="251" t="s">
        <v>2845</v>
      </c>
      <c r="O115" s="176"/>
    </row>
    <row r="116" spans="1:15" ht="26.25" customHeight="1">
      <c r="A116" s="18" t="s">
        <v>27</v>
      </c>
      <c r="B116" s="19" t="s">
        <v>2525</v>
      </c>
      <c r="C116" s="19" t="s">
        <v>124</v>
      </c>
      <c r="D116" s="20" t="s">
        <v>2526</v>
      </c>
      <c r="E116" s="32" t="s">
        <v>178</v>
      </c>
      <c r="F116" s="22" t="s">
        <v>42</v>
      </c>
      <c r="G116" s="23" t="s">
        <v>2527</v>
      </c>
      <c r="H116" s="24"/>
      <c r="I116" s="243" t="str">
        <f t="shared" si="0"/>
        <v>OK</v>
      </c>
      <c r="K116" s="249" t="s">
        <v>4337</v>
      </c>
      <c r="L116" s="250" t="s">
        <v>2525</v>
      </c>
      <c r="M116" s="250" t="s">
        <v>255</v>
      </c>
      <c r="N116" s="251" t="s">
        <v>2526</v>
      </c>
      <c r="O116" s="176"/>
    </row>
    <row r="117" spans="1:15" ht="26.25" customHeight="1">
      <c r="A117" s="18" t="s">
        <v>27</v>
      </c>
      <c r="B117" s="22" t="s">
        <v>226</v>
      </c>
      <c r="C117" s="19" t="s">
        <v>227</v>
      </c>
      <c r="D117" s="43" t="s">
        <v>228</v>
      </c>
      <c r="E117" s="44" t="s">
        <v>4956</v>
      </c>
      <c r="F117" s="22" t="s">
        <v>42</v>
      </c>
      <c r="G117" s="41" t="s">
        <v>230</v>
      </c>
      <c r="H117" s="24"/>
      <c r="I117" s="243" t="str">
        <f t="shared" si="0"/>
        <v>OK</v>
      </c>
      <c r="K117" s="252" t="s">
        <v>87</v>
      </c>
      <c r="L117" s="253" t="s">
        <v>4855</v>
      </c>
      <c r="M117" s="254" t="s">
        <v>255</v>
      </c>
      <c r="N117" s="255" t="s">
        <v>228</v>
      </c>
      <c r="O117" s="176"/>
    </row>
    <row r="118" spans="1:15" ht="26.25" customHeight="1">
      <c r="A118" s="18" t="s">
        <v>13</v>
      </c>
      <c r="B118" s="19" t="s">
        <v>4165</v>
      </c>
      <c r="C118" s="19" t="s">
        <v>4166</v>
      </c>
      <c r="D118" s="20" t="s">
        <v>4167</v>
      </c>
      <c r="E118" s="32" t="s">
        <v>4971</v>
      </c>
      <c r="F118" s="33" t="s">
        <v>53</v>
      </c>
      <c r="G118" s="23" t="s">
        <v>4169</v>
      </c>
      <c r="H118" s="24"/>
      <c r="I118" s="243" t="str">
        <f t="shared" si="0"/>
        <v>OK</v>
      </c>
      <c r="K118" s="249" t="s">
        <v>4617</v>
      </c>
      <c r="L118" s="250" t="s">
        <v>4165</v>
      </c>
      <c r="M118" s="250" t="s">
        <v>4719</v>
      </c>
      <c r="N118" s="251" t="s">
        <v>4167</v>
      </c>
      <c r="O118" s="176"/>
    </row>
    <row r="119" spans="1:15" ht="26.25" customHeight="1">
      <c r="A119" s="18" t="s">
        <v>105</v>
      </c>
      <c r="B119" s="31" t="s">
        <v>3785</v>
      </c>
      <c r="C119" s="19" t="s">
        <v>3786</v>
      </c>
      <c r="D119" s="20" t="s">
        <v>3787</v>
      </c>
      <c r="E119" s="21" t="s">
        <v>4995</v>
      </c>
      <c r="F119" s="33" t="s">
        <v>53</v>
      </c>
      <c r="G119" s="23" t="s">
        <v>3788</v>
      </c>
      <c r="H119" s="24"/>
      <c r="I119" s="243" t="str">
        <f t="shared" si="0"/>
        <v>OK</v>
      </c>
      <c r="K119" s="252" t="s">
        <v>87</v>
      </c>
      <c r="L119" s="261" t="s">
        <v>4808</v>
      </c>
      <c r="M119" s="261" t="s">
        <v>4809</v>
      </c>
      <c r="N119" s="262" t="s">
        <v>3787</v>
      </c>
      <c r="O119" s="176"/>
    </row>
    <row r="120" spans="1:15" ht="26.25" customHeight="1">
      <c r="A120" s="18" t="s">
        <v>132</v>
      </c>
      <c r="B120" s="19" t="s">
        <v>3726</v>
      </c>
      <c r="C120" s="19" t="s">
        <v>3727</v>
      </c>
      <c r="D120" s="20" t="s">
        <v>3728</v>
      </c>
      <c r="E120" s="32" t="s">
        <v>4993</v>
      </c>
      <c r="F120" s="22" t="s">
        <v>53</v>
      </c>
      <c r="G120" s="23" t="s">
        <v>3730</v>
      </c>
      <c r="H120" s="24"/>
      <c r="I120" s="243" t="str">
        <f t="shared" si="0"/>
        <v>OK</v>
      </c>
      <c r="K120" s="249" t="s">
        <v>4617</v>
      </c>
      <c r="L120" s="250" t="s">
        <v>3726</v>
      </c>
      <c r="M120" s="250" t="s">
        <v>4644</v>
      </c>
      <c r="N120" s="251" t="s">
        <v>3728</v>
      </c>
      <c r="O120" s="176"/>
    </row>
    <row r="121" spans="1:15" ht="26.25" customHeight="1">
      <c r="A121" s="18" t="s">
        <v>13</v>
      </c>
      <c r="B121" s="19" t="s">
        <v>3700</v>
      </c>
      <c r="C121" s="19" t="s">
        <v>3701</v>
      </c>
      <c r="D121" s="20" t="s">
        <v>3702</v>
      </c>
      <c r="E121" s="32" t="s">
        <v>3736</v>
      </c>
      <c r="F121" s="22" t="s">
        <v>53</v>
      </c>
      <c r="G121" s="23" t="s">
        <v>3703</v>
      </c>
      <c r="H121" s="24"/>
      <c r="I121" s="243" t="str">
        <f t="shared" si="0"/>
        <v>OK</v>
      </c>
      <c r="K121" s="249" t="s">
        <v>4617</v>
      </c>
      <c r="L121" s="250" t="s">
        <v>3700</v>
      </c>
      <c r="M121" s="250" t="s">
        <v>4636</v>
      </c>
      <c r="N121" s="251" t="s">
        <v>3702</v>
      </c>
      <c r="O121" s="176"/>
    </row>
    <row r="122" spans="1:15" ht="26.25" customHeight="1">
      <c r="A122" s="18" t="s">
        <v>867</v>
      </c>
      <c r="B122" s="31" t="s">
        <v>4002</v>
      </c>
      <c r="C122" s="19" t="s">
        <v>4003</v>
      </c>
      <c r="D122" s="20" t="s">
        <v>4004</v>
      </c>
      <c r="E122" s="21" t="s">
        <v>4966</v>
      </c>
      <c r="F122" s="33" t="s">
        <v>53</v>
      </c>
      <c r="G122" s="23" t="s">
        <v>4005</v>
      </c>
      <c r="H122" s="24"/>
      <c r="I122" s="243" t="str">
        <f t="shared" si="0"/>
        <v>OK</v>
      </c>
      <c r="K122" s="252" t="s">
        <v>87</v>
      </c>
      <c r="L122" s="261" t="s">
        <v>4796</v>
      </c>
      <c r="M122" s="261" t="s">
        <v>4797</v>
      </c>
      <c r="N122" s="262" t="s">
        <v>4004</v>
      </c>
      <c r="O122" s="176"/>
    </row>
    <row r="123" spans="1:15" ht="26.25" customHeight="1">
      <c r="A123" s="18" t="s">
        <v>867</v>
      </c>
      <c r="B123" s="31" t="s">
        <v>3558</v>
      </c>
      <c r="C123" s="19" t="s">
        <v>3559</v>
      </c>
      <c r="D123" s="20" t="s">
        <v>3560</v>
      </c>
      <c r="E123" s="21" t="s">
        <v>4975</v>
      </c>
      <c r="F123" s="33" t="s">
        <v>42</v>
      </c>
      <c r="G123" s="23" t="s">
        <v>3561</v>
      </c>
      <c r="H123" s="24"/>
      <c r="I123" s="243" t="str">
        <f t="shared" si="0"/>
        <v>OK</v>
      </c>
      <c r="K123" s="252" t="s">
        <v>87</v>
      </c>
      <c r="L123" s="261" t="s">
        <v>4845</v>
      </c>
      <c r="M123" s="261" t="s">
        <v>4846</v>
      </c>
      <c r="N123" s="262" t="s">
        <v>3560</v>
      </c>
      <c r="O123" s="176"/>
    </row>
    <row r="124" spans="1:15" ht="26.25" customHeight="1">
      <c r="A124" s="18" t="s">
        <v>132</v>
      </c>
      <c r="B124" s="19" t="s">
        <v>3926</v>
      </c>
      <c r="C124" s="19" t="s">
        <v>3927</v>
      </c>
      <c r="D124" s="20" t="s">
        <v>3928</v>
      </c>
      <c r="E124" s="32" t="s">
        <v>4995</v>
      </c>
      <c r="F124" s="33" t="s">
        <v>53</v>
      </c>
      <c r="G124" s="23" t="s">
        <v>3929</v>
      </c>
      <c r="H124" s="24"/>
      <c r="I124" s="243" t="str">
        <f t="shared" si="0"/>
        <v>OK</v>
      </c>
      <c r="K124" s="249" t="s">
        <v>4617</v>
      </c>
      <c r="L124" s="250" t="s">
        <v>4683</v>
      </c>
      <c r="M124" s="250" t="s">
        <v>4684</v>
      </c>
      <c r="N124" s="250" t="s">
        <v>3928</v>
      </c>
      <c r="O124" s="176"/>
    </row>
    <row r="125" spans="1:15" ht="26.25" customHeight="1">
      <c r="A125" s="18" t="s">
        <v>13</v>
      </c>
      <c r="B125" s="19" t="s">
        <v>810</v>
      </c>
      <c r="C125" s="19" t="s">
        <v>797</v>
      </c>
      <c r="D125" s="20" t="s">
        <v>811</v>
      </c>
      <c r="E125" s="32" t="s">
        <v>52</v>
      </c>
      <c r="F125" s="22" t="s">
        <v>42</v>
      </c>
      <c r="G125" s="23" t="s">
        <v>812</v>
      </c>
      <c r="H125" s="24"/>
      <c r="I125" s="243" t="str">
        <f t="shared" si="0"/>
        <v>OK</v>
      </c>
      <c r="K125" s="249" t="s">
        <v>4337</v>
      </c>
      <c r="L125" s="250" t="s">
        <v>810</v>
      </c>
      <c r="M125" s="250" t="s">
        <v>797</v>
      </c>
      <c r="N125" s="251" t="s">
        <v>811</v>
      </c>
      <c r="O125" s="176"/>
    </row>
    <row r="126" spans="1:15" ht="26.25" customHeight="1">
      <c r="A126" s="18" t="s">
        <v>233</v>
      </c>
      <c r="B126" s="19" t="s">
        <v>1895</v>
      </c>
      <c r="C126" s="19" t="s">
        <v>112</v>
      </c>
      <c r="D126" s="20" t="s">
        <v>1896</v>
      </c>
      <c r="E126" s="32" t="s">
        <v>52</v>
      </c>
      <c r="F126" s="22" t="s">
        <v>42</v>
      </c>
      <c r="G126" s="23" t="s">
        <v>1897</v>
      </c>
      <c r="H126" s="24"/>
      <c r="I126" s="243" t="str">
        <f t="shared" si="0"/>
        <v>OK</v>
      </c>
      <c r="K126" s="249" t="s">
        <v>4337</v>
      </c>
      <c r="L126" s="250" t="s">
        <v>1895</v>
      </c>
      <c r="M126" s="250" t="s">
        <v>112</v>
      </c>
      <c r="N126" s="251" t="s">
        <v>1896</v>
      </c>
      <c r="O126" s="176"/>
    </row>
    <row r="127" spans="1:15" ht="26.25" customHeight="1">
      <c r="A127" s="18" t="s">
        <v>27</v>
      </c>
      <c r="B127" s="19" t="s">
        <v>2344</v>
      </c>
      <c r="C127" s="19" t="s">
        <v>112</v>
      </c>
      <c r="D127" s="20" t="s">
        <v>2345</v>
      </c>
      <c r="E127" s="32" t="s">
        <v>178</v>
      </c>
      <c r="F127" s="22" t="s">
        <v>42</v>
      </c>
      <c r="G127" s="23" t="s">
        <v>2346</v>
      </c>
      <c r="H127" s="24"/>
      <c r="I127" s="243" t="str">
        <f t="shared" si="0"/>
        <v>OK</v>
      </c>
      <c r="K127" s="249" t="s">
        <v>4337</v>
      </c>
      <c r="L127" s="250" t="s">
        <v>2344</v>
      </c>
      <c r="M127" s="250" t="s">
        <v>112</v>
      </c>
      <c r="N127" s="251" t="s">
        <v>2345</v>
      </c>
      <c r="O127" s="176"/>
    </row>
    <row r="128" spans="1:15" ht="26.25" customHeight="1">
      <c r="A128" s="18" t="s">
        <v>37</v>
      </c>
      <c r="B128" s="19" t="s">
        <v>2671</v>
      </c>
      <c r="C128" s="19" t="s">
        <v>2667</v>
      </c>
      <c r="D128" s="20" t="s">
        <v>2672</v>
      </c>
      <c r="E128" s="32" t="s">
        <v>5014</v>
      </c>
      <c r="F128" s="22" t="s">
        <v>53</v>
      </c>
      <c r="G128" s="23" t="s">
        <v>2674</v>
      </c>
      <c r="H128" s="34"/>
      <c r="I128" s="243" t="str">
        <f t="shared" si="0"/>
        <v>OK</v>
      </c>
      <c r="K128" s="249" t="s">
        <v>4337</v>
      </c>
      <c r="L128" s="250" t="s">
        <v>2671</v>
      </c>
      <c r="M128" s="250" t="s">
        <v>2667</v>
      </c>
      <c r="N128" s="251" t="s">
        <v>2672</v>
      </c>
      <c r="O128" s="176"/>
    </row>
    <row r="129" spans="1:21" ht="26.25" customHeight="1">
      <c r="A129" s="18" t="s">
        <v>81</v>
      </c>
      <c r="B129" s="31" t="s">
        <v>82</v>
      </c>
      <c r="C129" s="19" t="s">
        <v>83</v>
      </c>
      <c r="D129" s="20" t="s">
        <v>84</v>
      </c>
      <c r="E129" s="32" t="s">
        <v>5011</v>
      </c>
      <c r="F129" s="33" t="s">
        <v>42</v>
      </c>
      <c r="G129" s="23" t="s">
        <v>86</v>
      </c>
      <c r="H129" s="24"/>
      <c r="I129" s="243" t="str">
        <f t="shared" si="0"/>
        <v>OK</v>
      </c>
      <c r="K129" s="252" t="s">
        <v>87</v>
      </c>
      <c r="L129" s="253" t="s">
        <v>82</v>
      </c>
      <c r="M129" s="254" t="s">
        <v>1441</v>
      </c>
      <c r="N129" s="255" t="s">
        <v>84</v>
      </c>
      <c r="O129" s="176"/>
    </row>
    <row r="130" spans="1:21" ht="26.25" customHeight="1">
      <c r="A130" s="18" t="s">
        <v>27</v>
      </c>
      <c r="B130" s="19" t="s">
        <v>890</v>
      </c>
      <c r="C130" s="19" t="s">
        <v>891</v>
      </c>
      <c r="D130" s="20" t="s">
        <v>892</v>
      </c>
      <c r="E130" s="32" t="s">
        <v>5042</v>
      </c>
      <c r="F130" s="22" t="s">
        <v>31</v>
      </c>
      <c r="G130" s="23" t="s">
        <v>894</v>
      </c>
      <c r="H130" s="24"/>
      <c r="I130" s="243" t="str">
        <f t="shared" si="0"/>
        <v>OK</v>
      </c>
      <c r="K130" s="249" t="s">
        <v>4337</v>
      </c>
      <c r="L130" s="250" t="s">
        <v>890</v>
      </c>
      <c r="M130" s="250" t="s">
        <v>4372</v>
      </c>
      <c r="N130" s="251" t="s">
        <v>892</v>
      </c>
      <c r="O130" s="176"/>
    </row>
    <row r="131" spans="1:21" ht="26.25" customHeight="1">
      <c r="A131" s="18" t="s">
        <v>105</v>
      </c>
      <c r="B131" s="31" t="s">
        <v>1009</v>
      </c>
      <c r="C131" s="19" t="s">
        <v>124</v>
      </c>
      <c r="D131" s="20" t="s">
        <v>1010</v>
      </c>
      <c r="E131" s="21" t="s">
        <v>4957</v>
      </c>
      <c r="F131" s="33" t="s">
        <v>42</v>
      </c>
      <c r="G131" s="23" t="s">
        <v>1012</v>
      </c>
      <c r="H131" s="24"/>
      <c r="I131" s="243" t="str">
        <f t="shared" si="0"/>
        <v>OK</v>
      </c>
      <c r="K131" s="252" t="s">
        <v>87</v>
      </c>
      <c r="L131" s="253" t="s">
        <v>4882</v>
      </c>
      <c r="M131" s="254" t="s">
        <v>361</v>
      </c>
      <c r="N131" s="255" t="s">
        <v>1010</v>
      </c>
      <c r="O131" s="176"/>
    </row>
    <row r="132" spans="1:21" ht="26.25" customHeight="1">
      <c r="A132" s="18" t="s">
        <v>105</v>
      </c>
      <c r="B132" s="31" t="s">
        <v>1003</v>
      </c>
      <c r="C132" s="19" t="s">
        <v>124</v>
      </c>
      <c r="D132" s="20" t="s">
        <v>1004</v>
      </c>
      <c r="E132" s="21" t="s">
        <v>5077</v>
      </c>
      <c r="F132" s="33" t="s">
        <v>42</v>
      </c>
      <c r="G132" s="23" t="s">
        <v>1006</v>
      </c>
      <c r="H132" s="24"/>
      <c r="I132" s="243" t="str">
        <f t="shared" si="0"/>
        <v>OK</v>
      </c>
      <c r="K132" s="252" t="s">
        <v>87</v>
      </c>
      <c r="L132" s="253" t="s">
        <v>4884</v>
      </c>
      <c r="M132" s="254" t="s">
        <v>361</v>
      </c>
      <c r="N132" s="255" t="s">
        <v>1004</v>
      </c>
      <c r="O132" s="176"/>
    </row>
    <row r="133" spans="1:21" ht="26.25" customHeight="1">
      <c r="A133" s="18" t="s">
        <v>105</v>
      </c>
      <c r="B133" s="31" t="s">
        <v>1541</v>
      </c>
      <c r="C133" s="19" t="s">
        <v>1542</v>
      </c>
      <c r="D133" s="20" t="s">
        <v>1543</v>
      </c>
      <c r="E133" s="21" t="s">
        <v>3736</v>
      </c>
      <c r="F133" s="33" t="s">
        <v>31</v>
      </c>
      <c r="G133" s="23" t="s">
        <v>1544</v>
      </c>
      <c r="H133" s="24"/>
      <c r="I133" s="243" t="str">
        <f t="shared" si="0"/>
        <v>OK</v>
      </c>
      <c r="K133" s="252" t="s">
        <v>87</v>
      </c>
      <c r="L133" s="253" t="s">
        <v>1541</v>
      </c>
      <c r="M133" s="254" t="s">
        <v>1541</v>
      </c>
      <c r="N133" s="255" t="s">
        <v>1543</v>
      </c>
      <c r="O133" s="176"/>
    </row>
    <row r="134" spans="1:21" ht="26.25" customHeight="1">
      <c r="A134" s="18" t="s">
        <v>132</v>
      </c>
      <c r="B134" s="19" t="s">
        <v>3781</v>
      </c>
      <c r="C134" s="19" t="s">
        <v>3782</v>
      </c>
      <c r="D134" s="20" t="s">
        <v>3783</v>
      </c>
      <c r="E134" s="32" t="s">
        <v>4966</v>
      </c>
      <c r="F134" s="22" t="s">
        <v>53</v>
      </c>
      <c r="G134" s="23" t="s">
        <v>3784</v>
      </c>
      <c r="H134" s="24"/>
      <c r="I134" s="243" t="str">
        <f t="shared" si="0"/>
        <v>OK</v>
      </c>
      <c r="K134" s="249" t="s">
        <v>4617</v>
      </c>
      <c r="L134" s="250" t="s">
        <v>4655</v>
      </c>
      <c r="M134" s="250" t="s">
        <v>4656</v>
      </c>
      <c r="N134" s="251" t="s">
        <v>3783</v>
      </c>
      <c r="O134" s="176"/>
    </row>
    <row r="135" spans="1:21" ht="26.25" customHeight="1">
      <c r="A135" s="18" t="s">
        <v>37</v>
      </c>
      <c r="B135" s="19" t="s">
        <v>3708</v>
      </c>
      <c r="C135" s="19" t="s">
        <v>3709</v>
      </c>
      <c r="D135" s="20" t="s">
        <v>3710</v>
      </c>
      <c r="E135" s="32" t="s">
        <v>5022</v>
      </c>
      <c r="F135" s="22" t="s">
        <v>53</v>
      </c>
      <c r="G135" s="23" t="s">
        <v>3712</v>
      </c>
      <c r="H135" s="24"/>
      <c r="I135" s="243" t="str">
        <f t="shared" si="0"/>
        <v>OK</v>
      </c>
      <c r="K135" s="249" t="s">
        <v>4617</v>
      </c>
      <c r="L135" s="250" t="s">
        <v>4640</v>
      </c>
      <c r="M135" s="250" t="s">
        <v>4641</v>
      </c>
      <c r="N135" s="251" t="s">
        <v>3710</v>
      </c>
      <c r="O135" s="176"/>
    </row>
    <row r="136" spans="1:21" ht="26.25" customHeight="1">
      <c r="A136" s="18" t="s">
        <v>37</v>
      </c>
      <c r="B136" s="19" t="s">
        <v>3797</v>
      </c>
      <c r="C136" s="19" t="s">
        <v>3798</v>
      </c>
      <c r="D136" s="20" t="s">
        <v>3799</v>
      </c>
      <c r="E136" s="32" t="s">
        <v>5023</v>
      </c>
      <c r="F136" s="33" t="s">
        <v>53</v>
      </c>
      <c r="G136" s="23" t="s">
        <v>3801</v>
      </c>
      <c r="H136" s="24"/>
      <c r="I136" s="243" t="str">
        <f t="shared" si="0"/>
        <v>OK</v>
      </c>
      <c r="K136" s="249" t="s">
        <v>4617</v>
      </c>
      <c r="L136" s="250" t="s">
        <v>4659</v>
      </c>
      <c r="M136" s="250" t="s">
        <v>313</v>
      </c>
      <c r="N136" s="251" t="s">
        <v>3799</v>
      </c>
      <c r="O136" s="176"/>
    </row>
    <row r="137" spans="1:21" ht="26.25" customHeight="1">
      <c r="A137" s="18" t="s">
        <v>1375</v>
      </c>
      <c r="B137" s="19" t="s">
        <v>3398</v>
      </c>
      <c r="C137" s="19" t="s">
        <v>45</v>
      </c>
      <c r="D137" s="20" t="s">
        <v>3399</v>
      </c>
      <c r="E137" s="32" t="s">
        <v>52</v>
      </c>
      <c r="F137" s="22" t="s">
        <v>42</v>
      </c>
      <c r="G137" s="23" t="s">
        <v>3400</v>
      </c>
      <c r="H137" s="24"/>
      <c r="I137" s="243" t="str">
        <f t="shared" si="0"/>
        <v>OK</v>
      </c>
      <c r="K137" s="252" t="s">
        <v>87</v>
      </c>
      <c r="L137" s="258" t="s">
        <v>3398</v>
      </c>
      <c r="M137" s="259" t="s">
        <v>45</v>
      </c>
      <c r="N137" s="260" t="s">
        <v>3399</v>
      </c>
      <c r="O137" s="176"/>
      <c r="P137" s="249" t="s">
        <v>4617</v>
      </c>
      <c r="Q137" s="250" t="s">
        <v>3789</v>
      </c>
      <c r="R137" s="250" t="s">
        <v>3790</v>
      </c>
      <c r="S137" s="251" t="s">
        <v>3791</v>
      </c>
      <c r="U137" s="123" t="s">
        <v>5083</v>
      </c>
    </row>
    <row r="138" spans="1:21" ht="26.25" customHeight="1">
      <c r="A138" s="18" t="s">
        <v>1368</v>
      </c>
      <c r="B138" s="19" t="s">
        <v>3026</v>
      </c>
      <c r="C138" s="19" t="s">
        <v>3027</v>
      </c>
      <c r="D138" s="20" t="s">
        <v>3028</v>
      </c>
      <c r="E138" s="32" t="s">
        <v>52</v>
      </c>
      <c r="F138" s="33" t="s">
        <v>53</v>
      </c>
      <c r="G138" s="23" t="s">
        <v>3029</v>
      </c>
      <c r="H138" s="24"/>
      <c r="I138" s="243" t="str">
        <f t="shared" si="0"/>
        <v>OK</v>
      </c>
      <c r="K138" s="249" t="s">
        <v>4337</v>
      </c>
      <c r="L138" s="250" t="s">
        <v>3026</v>
      </c>
      <c r="M138" s="250" t="s">
        <v>4578</v>
      </c>
      <c r="N138" s="251" t="s">
        <v>3028</v>
      </c>
      <c r="O138" s="176"/>
      <c r="P138" s="263" t="s">
        <v>4617</v>
      </c>
      <c r="Q138" s="268" t="s">
        <v>3634</v>
      </c>
      <c r="R138" s="250" t="s">
        <v>4622</v>
      </c>
      <c r="S138" s="251" t="s">
        <v>3636</v>
      </c>
    </row>
    <row r="139" spans="1:21" ht="26.25" customHeight="1">
      <c r="A139" s="18" t="s">
        <v>27</v>
      </c>
      <c r="B139" s="19" t="s">
        <v>4315</v>
      </c>
      <c r="C139" s="19" t="s">
        <v>2050</v>
      </c>
      <c r="D139" s="20" t="s">
        <v>4316</v>
      </c>
      <c r="E139" s="32" t="s">
        <v>5055</v>
      </c>
      <c r="F139" s="33" t="s">
        <v>53</v>
      </c>
      <c r="G139" s="23" t="s">
        <v>4318</v>
      </c>
      <c r="H139" s="24"/>
      <c r="I139" s="243" t="str">
        <f t="shared" si="0"/>
        <v>OK</v>
      </c>
      <c r="K139" s="249" t="s">
        <v>4617</v>
      </c>
      <c r="L139" s="250" t="s">
        <v>4732</v>
      </c>
      <c r="M139" s="250" t="s">
        <v>4733</v>
      </c>
      <c r="N139" s="251" t="s">
        <v>4316</v>
      </c>
      <c r="O139" s="176"/>
      <c r="Q139" s="268" t="s">
        <v>4207</v>
      </c>
      <c r="R139" s="250" t="s">
        <v>4208</v>
      </c>
      <c r="S139" s="251" t="s">
        <v>4209</v>
      </c>
    </row>
    <row r="140" spans="1:21" ht="26.25" customHeight="1">
      <c r="A140" s="18" t="s">
        <v>175</v>
      </c>
      <c r="B140" s="31" t="s">
        <v>3760</v>
      </c>
      <c r="C140" s="19" t="s">
        <v>3761</v>
      </c>
      <c r="D140" s="20" t="s">
        <v>3762</v>
      </c>
      <c r="E140" s="21" t="s">
        <v>4966</v>
      </c>
      <c r="F140" s="33" t="s">
        <v>53</v>
      </c>
      <c r="G140" s="23" t="s">
        <v>3763</v>
      </c>
      <c r="H140" s="24"/>
      <c r="I140" s="243" t="str">
        <f t="shared" si="0"/>
        <v>OK</v>
      </c>
      <c r="K140" s="252" t="s">
        <v>87</v>
      </c>
      <c r="L140" s="261" t="s">
        <v>3760</v>
      </c>
      <c r="M140" s="261" t="s">
        <v>4771</v>
      </c>
      <c r="N140" s="262" t="s">
        <v>3762</v>
      </c>
      <c r="O140" s="176"/>
      <c r="Q140" s="268" t="s">
        <v>4414</v>
      </c>
      <c r="R140" s="250" t="s">
        <v>255</v>
      </c>
      <c r="S140" s="251" t="s">
        <v>1608</v>
      </c>
    </row>
    <row r="141" spans="1:21" ht="26.25" customHeight="1">
      <c r="A141" s="18" t="s">
        <v>37</v>
      </c>
      <c r="B141" s="19" t="s">
        <v>3977</v>
      </c>
      <c r="C141" s="19" t="s">
        <v>3978</v>
      </c>
      <c r="D141" s="20" t="s">
        <v>3979</v>
      </c>
      <c r="E141" s="32" t="s">
        <v>5027</v>
      </c>
      <c r="F141" s="33" t="s">
        <v>53</v>
      </c>
      <c r="G141" s="23" t="s">
        <v>3981</v>
      </c>
      <c r="H141" s="24"/>
      <c r="I141" s="243" t="str">
        <f t="shared" si="0"/>
        <v>OK</v>
      </c>
      <c r="K141" s="249" t="s">
        <v>4617</v>
      </c>
      <c r="L141" s="250" t="s">
        <v>4693</v>
      </c>
      <c r="M141" s="250" t="s">
        <v>4694</v>
      </c>
      <c r="N141" s="251" t="s">
        <v>3979</v>
      </c>
      <c r="O141" s="176"/>
      <c r="Q141" s="268" t="s">
        <v>2887</v>
      </c>
      <c r="R141" s="250" t="s">
        <v>255</v>
      </c>
      <c r="S141" s="251" t="s">
        <v>2888</v>
      </c>
    </row>
    <row r="142" spans="1:21" ht="26.25" customHeight="1">
      <c r="A142" s="18" t="s">
        <v>132</v>
      </c>
      <c r="B142" s="19" t="s">
        <v>3669</v>
      </c>
      <c r="C142" s="19" t="s">
        <v>3670</v>
      </c>
      <c r="D142" s="20" t="s">
        <v>3671</v>
      </c>
      <c r="E142" s="32" t="s">
        <v>52</v>
      </c>
      <c r="F142" s="22" t="s">
        <v>53</v>
      </c>
      <c r="G142" s="23" t="s">
        <v>3672</v>
      </c>
      <c r="H142" s="24"/>
      <c r="I142" s="243" t="str">
        <f t="shared" si="0"/>
        <v>OK</v>
      </c>
      <c r="K142" s="249" t="s">
        <v>4617</v>
      </c>
      <c r="L142" s="250" t="s">
        <v>4633</v>
      </c>
      <c r="M142" s="250" t="s">
        <v>757</v>
      </c>
      <c r="N142" s="251" t="s">
        <v>3671</v>
      </c>
      <c r="O142" s="176"/>
      <c r="Q142" s="268" t="s">
        <v>4326</v>
      </c>
      <c r="R142" s="251" t="s">
        <v>4327</v>
      </c>
      <c r="S142" s="251" t="s">
        <v>4328</v>
      </c>
    </row>
    <row r="143" spans="1:21" ht="26.25" customHeight="1">
      <c r="A143" s="18" t="s">
        <v>132</v>
      </c>
      <c r="B143" s="19" t="s">
        <v>4047</v>
      </c>
      <c r="C143" s="19" t="s">
        <v>3042</v>
      </c>
      <c r="D143" s="20" t="s">
        <v>4048</v>
      </c>
      <c r="E143" s="32" t="s">
        <v>52</v>
      </c>
      <c r="F143" s="22" t="s">
        <v>53</v>
      </c>
      <c r="G143" s="23" t="s">
        <v>4049</v>
      </c>
      <c r="H143" s="24"/>
      <c r="I143" s="243" t="str">
        <f t="shared" si="0"/>
        <v>OK</v>
      </c>
      <c r="K143" s="249" t="s">
        <v>4617</v>
      </c>
      <c r="L143" s="250" t="s">
        <v>4047</v>
      </c>
      <c r="M143" s="250" t="s">
        <v>537</v>
      </c>
      <c r="N143" s="251" t="s">
        <v>4048</v>
      </c>
      <c r="Q143" s="268" t="s">
        <v>4673</v>
      </c>
      <c r="R143" s="250" t="s">
        <v>4674</v>
      </c>
      <c r="S143" s="269"/>
    </row>
    <row r="144" spans="1:21" ht="26.25" customHeight="1">
      <c r="A144" s="18" t="s">
        <v>132</v>
      </c>
      <c r="B144" s="19" t="s">
        <v>3583</v>
      </c>
      <c r="C144" s="19" t="s">
        <v>3584</v>
      </c>
      <c r="D144" s="20" t="s">
        <v>3585</v>
      </c>
      <c r="E144" s="32" t="s">
        <v>178</v>
      </c>
      <c r="F144" s="22" t="s">
        <v>53</v>
      </c>
      <c r="G144" s="23" t="s">
        <v>3586</v>
      </c>
      <c r="H144" s="24"/>
      <c r="I144" s="243" t="str">
        <f t="shared" si="0"/>
        <v>OK</v>
      </c>
      <c r="K144" s="249" t="s">
        <v>4617</v>
      </c>
      <c r="L144" s="250" t="s">
        <v>3583</v>
      </c>
      <c r="M144" s="250" t="s">
        <v>4761</v>
      </c>
      <c r="N144" s="251" t="s">
        <v>3585</v>
      </c>
      <c r="O144" s="176"/>
    </row>
    <row r="145" spans="1:15" ht="26.25" customHeight="1">
      <c r="A145" s="18" t="s">
        <v>132</v>
      </c>
      <c r="B145" s="19" t="s">
        <v>3618</v>
      </c>
      <c r="C145" s="19" t="s">
        <v>3584</v>
      </c>
      <c r="D145" s="20" t="s">
        <v>3619</v>
      </c>
      <c r="E145" s="32" t="s">
        <v>4144</v>
      </c>
      <c r="F145" s="22" t="s">
        <v>53</v>
      </c>
      <c r="G145" s="23" t="s">
        <v>3620</v>
      </c>
      <c r="H145" s="24"/>
      <c r="I145" s="243" t="str">
        <f t="shared" si="0"/>
        <v>OK</v>
      </c>
      <c r="K145" s="249" t="s">
        <v>4617</v>
      </c>
      <c r="L145" s="250" t="s">
        <v>3618</v>
      </c>
      <c r="M145" s="250" t="s">
        <v>1780</v>
      </c>
      <c r="N145" s="251" t="s">
        <v>3619</v>
      </c>
      <c r="O145" s="176"/>
    </row>
    <row r="146" spans="1:15" ht="26.25" customHeight="1">
      <c r="A146" s="18" t="s">
        <v>27</v>
      </c>
      <c r="B146" s="19" t="s">
        <v>4319</v>
      </c>
      <c r="C146" s="19" t="s">
        <v>2050</v>
      </c>
      <c r="D146" s="20" t="s">
        <v>4320</v>
      </c>
      <c r="E146" s="32" t="s">
        <v>4969</v>
      </c>
      <c r="F146" s="22" t="s">
        <v>42</v>
      </c>
      <c r="G146" s="23" t="s">
        <v>4321</v>
      </c>
      <c r="H146" s="24"/>
      <c r="I146" s="243" t="str">
        <f t="shared" si="0"/>
        <v>OK</v>
      </c>
      <c r="K146" s="249" t="s">
        <v>4617</v>
      </c>
      <c r="L146" s="250" t="s">
        <v>4735</v>
      </c>
      <c r="M146" s="250" t="s">
        <v>4733</v>
      </c>
      <c r="N146" s="251" t="s">
        <v>4320</v>
      </c>
      <c r="O146" s="176"/>
    </row>
    <row r="147" spans="1:15" ht="26.25" customHeight="1">
      <c r="A147" s="18" t="s">
        <v>13</v>
      </c>
      <c r="B147" s="19" t="s">
        <v>4170</v>
      </c>
      <c r="C147" s="19" t="s">
        <v>4171</v>
      </c>
      <c r="D147" s="20" t="s">
        <v>4172</v>
      </c>
      <c r="E147" s="32" t="s">
        <v>52</v>
      </c>
      <c r="F147" s="33" t="s">
        <v>53</v>
      </c>
      <c r="G147" s="23" t="s">
        <v>4173</v>
      </c>
      <c r="H147" s="24"/>
      <c r="I147" s="243" t="str">
        <f t="shared" si="0"/>
        <v>OK</v>
      </c>
      <c r="K147" s="249" t="s">
        <v>4617</v>
      </c>
      <c r="L147" s="250" t="s">
        <v>4170</v>
      </c>
      <c r="M147" s="250" t="s">
        <v>4721</v>
      </c>
      <c r="N147" s="251" t="s">
        <v>4172</v>
      </c>
      <c r="O147" s="176"/>
    </row>
    <row r="148" spans="1:15" ht="26.25" customHeight="1">
      <c r="A148" s="18" t="s">
        <v>132</v>
      </c>
      <c r="B148" s="19" t="s">
        <v>3614</v>
      </c>
      <c r="C148" s="19" t="s">
        <v>3615</v>
      </c>
      <c r="D148" s="20" t="s">
        <v>3616</v>
      </c>
      <c r="E148" s="32" t="s">
        <v>4957</v>
      </c>
      <c r="F148" s="22" t="s">
        <v>53</v>
      </c>
      <c r="G148" s="23" t="s">
        <v>3617</v>
      </c>
      <c r="H148" s="24"/>
      <c r="I148" s="243" t="str">
        <f t="shared" si="0"/>
        <v>OK</v>
      </c>
      <c r="K148" s="249" t="s">
        <v>4617</v>
      </c>
      <c r="L148" s="250" t="s">
        <v>3614</v>
      </c>
      <c r="M148" s="250" t="s">
        <v>4618</v>
      </c>
      <c r="N148" s="251" t="s">
        <v>3616</v>
      </c>
      <c r="O148" s="176"/>
    </row>
    <row r="149" spans="1:15" ht="26.25" customHeight="1">
      <c r="A149" s="18" t="s">
        <v>27</v>
      </c>
      <c r="B149" s="19" t="s">
        <v>4302</v>
      </c>
      <c r="C149" s="19" t="s">
        <v>4303</v>
      </c>
      <c r="D149" s="20" t="s">
        <v>4304</v>
      </c>
      <c r="E149" s="32" t="s">
        <v>1990</v>
      </c>
      <c r="F149" s="33" t="s">
        <v>53</v>
      </c>
      <c r="G149" s="23" t="s">
        <v>4305</v>
      </c>
      <c r="H149" s="24"/>
      <c r="I149" s="243" t="str">
        <f t="shared" si="0"/>
        <v>OK</v>
      </c>
      <c r="K149" s="249" t="s">
        <v>4617</v>
      </c>
      <c r="L149" s="250" t="s">
        <v>4729</v>
      </c>
      <c r="M149" s="250" t="s">
        <v>4730</v>
      </c>
      <c r="N149" s="250" t="s">
        <v>4304</v>
      </c>
      <c r="O149" s="176"/>
    </row>
    <row r="150" spans="1:15" ht="26.25" customHeight="1">
      <c r="A150" s="18" t="s">
        <v>175</v>
      </c>
      <c r="B150" s="31" t="s">
        <v>3903</v>
      </c>
      <c r="C150" s="19" t="s">
        <v>3904</v>
      </c>
      <c r="D150" s="20" t="s">
        <v>3905</v>
      </c>
      <c r="E150" s="21" t="s">
        <v>3834</v>
      </c>
      <c r="F150" s="33" t="s">
        <v>53</v>
      </c>
      <c r="G150" s="23" t="s">
        <v>3906</v>
      </c>
      <c r="H150" s="24"/>
      <c r="I150" s="243" t="str">
        <f t="shared" si="0"/>
        <v>OK</v>
      </c>
      <c r="K150" s="252" t="s">
        <v>87</v>
      </c>
      <c r="L150" s="261" t="s">
        <v>4776</v>
      </c>
      <c r="M150" s="261" t="s">
        <v>4777</v>
      </c>
      <c r="N150" s="262" t="s">
        <v>3905</v>
      </c>
      <c r="O150" s="176"/>
    </row>
    <row r="151" spans="1:15" ht="26.25" customHeight="1">
      <c r="A151" s="18" t="s">
        <v>27</v>
      </c>
      <c r="B151" s="19" t="s">
        <v>908</v>
      </c>
      <c r="C151" s="19" t="s">
        <v>909</v>
      </c>
      <c r="D151" s="20" t="s">
        <v>910</v>
      </c>
      <c r="E151" s="32" t="s">
        <v>3736</v>
      </c>
      <c r="F151" s="22" t="s">
        <v>53</v>
      </c>
      <c r="G151" s="23" t="s">
        <v>911</v>
      </c>
      <c r="H151" s="24"/>
      <c r="I151" s="243" t="str">
        <f t="shared" si="0"/>
        <v>OK</v>
      </c>
      <c r="K151" s="249" t="s">
        <v>4617</v>
      </c>
      <c r="L151" s="250" t="s">
        <v>4756</v>
      </c>
      <c r="M151" s="250" t="s">
        <v>4757</v>
      </c>
      <c r="N151" s="251" t="s">
        <v>910</v>
      </c>
      <c r="O151" s="176"/>
    </row>
    <row r="152" spans="1:15" ht="26.25" customHeight="1">
      <c r="A152" s="18" t="s">
        <v>132</v>
      </c>
      <c r="B152" s="19" t="s">
        <v>3723</v>
      </c>
      <c r="C152" s="19" t="s">
        <v>3676</v>
      </c>
      <c r="D152" s="20" t="s">
        <v>3724</v>
      </c>
      <c r="E152" s="32" t="s">
        <v>4992</v>
      </c>
      <c r="F152" s="22" t="s">
        <v>53</v>
      </c>
      <c r="G152" s="23" t="s">
        <v>3725</v>
      </c>
      <c r="H152" s="24"/>
      <c r="I152" s="243" t="str">
        <f t="shared" si="0"/>
        <v>OK</v>
      </c>
      <c r="K152" s="249" t="s">
        <v>4617</v>
      </c>
      <c r="L152" s="250" t="s">
        <v>3723</v>
      </c>
      <c r="M152" s="250" t="s">
        <v>1797</v>
      </c>
      <c r="N152" s="251" t="s">
        <v>3724</v>
      </c>
      <c r="O152" s="176"/>
    </row>
    <row r="153" spans="1:15" ht="26.25" customHeight="1">
      <c r="A153" s="18" t="s">
        <v>13</v>
      </c>
      <c r="B153" s="19" t="s">
        <v>3571</v>
      </c>
      <c r="C153" s="19" t="s">
        <v>3567</v>
      </c>
      <c r="D153" s="20" t="s">
        <v>3572</v>
      </c>
      <c r="E153" s="32" t="s">
        <v>4961</v>
      </c>
      <c r="F153" s="22" t="s">
        <v>53</v>
      </c>
      <c r="G153" s="23" t="s">
        <v>3574</v>
      </c>
      <c r="H153" s="24"/>
      <c r="I153" s="243" t="str">
        <f t="shared" si="0"/>
        <v>OK</v>
      </c>
      <c r="K153" s="249" t="s">
        <v>4617</v>
      </c>
      <c r="L153" s="250" t="s">
        <v>4759</v>
      </c>
      <c r="M153" s="250" t="s">
        <v>4760</v>
      </c>
      <c r="N153" s="251" t="s">
        <v>3572</v>
      </c>
      <c r="O153" s="176"/>
    </row>
    <row r="154" spans="1:15" ht="26.25" customHeight="1">
      <c r="A154" s="18" t="s">
        <v>13</v>
      </c>
      <c r="B154" s="19" t="s">
        <v>3595</v>
      </c>
      <c r="C154" s="19" t="s">
        <v>3596</v>
      </c>
      <c r="D154" s="20" t="s">
        <v>3597</v>
      </c>
      <c r="E154" s="32" t="s">
        <v>52</v>
      </c>
      <c r="F154" s="22" t="s">
        <v>53</v>
      </c>
      <c r="G154" s="23" t="s">
        <v>3598</v>
      </c>
      <c r="H154" s="24"/>
      <c r="I154" s="243" t="str">
        <f t="shared" si="0"/>
        <v>OK</v>
      </c>
      <c r="K154" s="249" t="s">
        <v>4617</v>
      </c>
      <c r="L154" s="250" t="s">
        <v>4762</v>
      </c>
      <c r="M154" s="250" t="s">
        <v>4763</v>
      </c>
      <c r="N154" s="250" t="s">
        <v>3597</v>
      </c>
      <c r="O154" s="176"/>
    </row>
    <row r="155" spans="1:15" ht="26.25" customHeight="1">
      <c r="A155" s="18" t="s">
        <v>146</v>
      </c>
      <c r="B155" s="19" t="s">
        <v>4161</v>
      </c>
      <c r="C155" s="19" t="s">
        <v>4162</v>
      </c>
      <c r="D155" s="20" t="s">
        <v>4163</v>
      </c>
      <c r="E155" s="32" t="s">
        <v>52</v>
      </c>
      <c r="F155" s="33" t="s">
        <v>53</v>
      </c>
      <c r="G155" s="23" t="s">
        <v>4164</v>
      </c>
      <c r="H155" s="24"/>
      <c r="I155" s="243" t="str">
        <f t="shared" si="0"/>
        <v>OK</v>
      </c>
      <c r="K155" s="249" t="s">
        <v>4617</v>
      </c>
      <c r="L155" s="250" t="s">
        <v>4716</v>
      </c>
      <c r="M155" s="250" t="s">
        <v>4717</v>
      </c>
      <c r="N155" s="251" t="s">
        <v>4163</v>
      </c>
      <c r="O155" s="176"/>
    </row>
    <row r="156" spans="1:15" ht="26.25" customHeight="1">
      <c r="A156" s="18" t="s">
        <v>13</v>
      </c>
      <c r="B156" s="19" t="s">
        <v>1426</v>
      </c>
      <c r="C156" s="19" t="s">
        <v>1427</v>
      </c>
      <c r="D156" s="20" t="s">
        <v>1428</v>
      </c>
      <c r="E156" s="32" t="s">
        <v>52</v>
      </c>
      <c r="F156" s="22" t="s">
        <v>53</v>
      </c>
      <c r="G156" s="23" t="s">
        <v>1429</v>
      </c>
      <c r="H156" s="24"/>
      <c r="I156" s="243" t="str">
        <f t="shared" si="0"/>
        <v>OK</v>
      </c>
      <c r="K156" s="249" t="s">
        <v>4617</v>
      </c>
      <c r="L156" s="250" t="s">
        <v>1426</v>
      </c>
      <c r="M156" s="250" t="s">
        <v>4743</v>
      </c>
      <c r="N156" s="251" t="s">
        <v>1428</v>
      </c>
      <c r="O156" s="176"/>
    </row>
    <row r="157" spans="1:15" ht="26.25" customHeight="1">
      <c r="A157" s="18" t="s">
        <v>13</v>
      </c>
      <c r="B157" s="19" t="s">
        <v>4126</v>
      </c>
      <c r="C157" s="19" t="s">
        <v>4127</v>
      </c>
      <c r="D157" s="20" t="s">
        <v>4128</v>
      </c>
      <c r="E157" s="32" t="s">
        <v>3736</v>
      </c>
      <c r="F157" s="33" t="s">
        <v>53</v>
      </c>
      <c r="G157" s="23" t="s">
        <v>4129</v>
      </c>
      <c r="H157" s="24"/>
      <c r="I157" s="243" t="str">
        <f t="shared" si="0"/>
        <v>OK</v>
      </c>
      <c r="K157" s="249" t="s">
        <v>4617</v>
      </c>
      <c r="L157" s="250" t="s">
        <v>4126</v>
      </c>
      <c r="M157" s="250" t="s">
        <v>4111</v>
      </c>
      <c r="N157" s="251" t="s">
        <v>4128</v>
      </c>
      <c r="O157" s="176"/>
    </row>
    <row r="158" spans="1:15" ht="26.25" customHeight="1">
      <c r="A158" s="18" t="s">
        <v>13</v>
      </c>
      <c r="B158" s="19" t="s">
        <v>14</v>
      </c>
      <c r="C158" s="19" t="s">
        <v>15</v>
      </c>
      <c r="D158" s="20" t="s">
        <v>16</v>
      </c>
      <c r="E158" s="32" t="s">
        <v>3736</v>
      </c>
      <c r="F158" s="22" t="s">
        <v>18</v>
      </c>
      <c r="G158" s="23" t="s">
        <v>19</v>
      </c>
      <c r="H158" s="24"/>
      <c r="I158" s="243" t="str">
        <f t="shared" si="0"/>
        <v>OK</v>
      </c>
      <c r="K158" s="249" t="s">
        <v>4617</v>
      </c>
      <c r="L158" s="250" t="s">
        <v>4737</v>
      </c>
      <c r="M158" s="250" t="s">
        <v>4738</v>
      </c>
      <c r="N158" s="251" t="s">
        <v>16</v>
      </c>
      <c r="O158" s="176"/>
    </row>
    <row r="159" spans="1:15" ht="26.25" customHeight="1">
      <c r="A159" s="18" t="s">
        <v>105</v>
      </c>
      <c r="B159" s="31" t="s">
        <v>4118</v>
      </c>
      <c r="C159" s="19" t="s">
        <v>4119</v>
      </c>
      <c r="D159" s="20" t="s">
        <v>4120</v>
      </c>
      <c r="E159" s="21" t="s">
        <v>5034</v>
      </c>
      <c r="F159" s="33" t="s">
        <v>53</v>
      </c>
      <c r="G159" s="23" t="s">
        <v>4121</v>
      </c>
      <c r="H159" s="24"/>
      <c r="I159" s="243" t="str">
        <f t="shared" si="0"/>
        <v>OK</v>
      </c>
      <c r="K159" s="252" t="s">
        <v>87</v>
      </c>
      <c r="L159" s="261" t="s">
        <v>4806</v>
      </c>
      <c r="M159" s="261" t="s">
        <v>4807</v>
      </c>
      <c r="N159" s="262" t="s">
        <v>4120</v>
      </c>
      <c r="O159" s="176"/>
    </row>
    <row r="160" spans="1:15" ht="26.25" customHeight="1">
      <c r="A160" s="18" t="s">
        <v>37</v>
      </c>
      <c r="B160" s="19" t="s">
        <v>3644</v>
      </c>
      <c r="C160" s="19" t="s">
        <v>3645</v>
      </c>
      <c r="D160" s="20" t="s">
        <v>3646</v>
      </c>
      <c r="E160" s="32" t="s">
        <v>5020</v>
      </c>
      <c r="F160" s="22" t="s">
        <v>53</v>
      </c>
      <c r="G160" s="23" t="s">
        <v>3648</v>
      </c>
      <c r="H160" s="24"/>
      <c r="I160" s="243" t="str">
        <f t="shared" si="0"/>
        <v>OK</v>
      </c>
      <c r="K160" s="249" t="s">
        <v>4617</v>
      </c>
      <c r="L160" s="250" t="s">
        <v>4626</v>
      </c>
      <c r="M160" s="250" t="s">
        <v>4627</v>
      </c>
      <c r="N160" s="251" t="s">
        <v>3646</v>
      </c>
      <c r="O160" s="176"/>
    </row>
    <row r="161" spans="1:15" ht="26.25" customHeight="1">
      <c r="A161" s="18" t="s">
        <v>37</v>
      </c>
      <c r="B161" s="19" t="s">
        <v>3675</v>
      </c>
      <c r="C161" s="19" t="s">
        <v>3676</v>
      </c>
      <c r="D161" s="20" t="s">
        <v>3677</v>
      </c>
      <c r="E161" s="32" t="s">
        <v>5021</v>
      </c>
      <c r="F161" s="22" t="s">
        <v>53</v>
      </c>
      <c r="G161" s="23" t="s">
        <v>3679</v>
      </c>
      <c r="H161" s="24"/>
      <c r="I161" s="243" t="str">
        <f t="shared" si="0"/>
        <v>OK</v>
      </c>
      <c r="K161" s="249" t="s">
        <v>4617</v>
      </c>
      <c r="L161" s="250" t="s">
        <v>3675</v>
      </c>
      <c r="M161" s="250" t="s">
        <v>1797</v>
      </c>
      <c r="N161" s="251" t="s">
        <v>3677</v>
      </c>
      <c r="O161" s="176"/>
    </row>
    <row r="162" spans="1:15" ht="26.25" customHeight="1">
      <c r="A162" s="18" t="s">
        <v>105</v>
      </c>
      <c r="B162" s="31" t="s">
        <v>4306</v>
      </c>
      <c r="C162" s="19" t="s">
        <v>4307</v>
      </c>
      <c r="D162" s="20" t="s">
        <v>4308</v>
      </c>
      <c r="E162" s="21" t="s">
        <v>5084</v>
      </c>
      <c r="F162" s="33" t="s">
        <v>53</v>
      </c>
      <c r="G162" s="23" t="s">
        <v>4310</v>
      </c>
      <c r="H162" s="24"/>
      <c r="I162" s="243" t="str">
        <f t="shared" si="0"/>
        <v>OK</v>
      </c>
      <c r="K162" s="252" t="s">
        <v>87</v>
      </c>
      <c r="L162" s="261" t="s">
        <v>4306</v>
      </c>
      <c r="M162" s="261" t="s">
        <v>4816</v>
      </c>
      <c r="N162" s="262" t="s">
        <v>4308</v>
      </c>
      <c r="O162" s="176"/>
    </row>
    <row r="163" spans="1:15" ht="26.25" customHeight="1">
      <c r="A163" s="18" t="s">
        <v>132</v>
      </c>
      <c r="B163" s="19" t="s">
        <v>3654</v>
      </c>
      <c r="C163" s="19" t="s">
        <v>3655</v>
      </c>
      <c r="D163" s="20" t="s">
        <v>3656</v>
      </c>
      <c r="E163" s="32" t="s">
        <v>4991</v>
      </c>
      <c r="F163" s="22" t="s">
        <v>53</v>
      </c>
      <c r="G163" s="23" t="s">
        <v>3658</v>
      </c>
      <c r="H163" s="24"/>
      <c r="I163" s="243" t="str">
        <f t="shared" si="0"/>
        <v>OK</v>
      </c>
      <c r="K163" s="249" t="s">
        <v>4617</v>
      </c>
      <c r="L163" s="250" t="s">
        <v>3654</v>
      </c>
      <c r="M163" s="250" t="s">
        <v>4629</v>
      </c>
      <c r="N163" s="251" t="s">
        <v>3656</v>
      </c>
      <c r="O163" s="176"/>
    </row>
    <row r="164" spans="1:15" ht="26.25" customHeight="1">
      <c r="A164" s="18" t="s">
        <v>27</v>
      </c>
      <c r="B164" s="19" t="s">
        <v>3664</v>
      </c>
      <c r="C164" s="19" t="s">
        <v>3665</v>
      </c>
      <c r="D164" s="20" t="s">
        <v>3666</v>
      </c>
      <c r="E164" s="32" t="s">
        <v>5050</v>
      </c>
      <c r="F164" s="22" t="s">
        <v>53</v>
      </c>
      <c r="G164" s="23" t="s">
        <v>3668</v>
      </c>
      <c r="H164" s="24"/>
      <c r="I164" s="243" t="str">
        <f t="shared" si="0"/>
        <v>OK</v>
      </c>
      <c r="K164" s="249" t="s">
        <v>4617</v>
      </c>
      <c r="L164" s="250" t="s">
        <v>3664</v>
      </c>
      <c r="M164" s="250" t="s">
        <v>4631</v>
      </c>
      <c r="N164" s="251" t="s">
        <v>3666</v>
      </c>
      <c r="O164" s="176"/>
    </row>
    <row r="165" spans="1:15" ht="26.25" customHeight="1">
      <c r="A165" s="18" t="s">
        <v>37</v>
      </c>
      <c r="B165" s="19" t="s">
        <v>4192</v>
      </c>
      <c r="C165" s="19" t="s">
        <v>4193</v>
      </c>
      <c r="D165" s="20" t="s">
        <v>4194</v>
      </c>
      <c r="E165" s="270" t="s">
        <v>5028</v>
      </c>
      <c r="F165" s="33" t="s">
        <v>53</v>
      </c>
      <c r="G165" s="271" t="s">
        <v>4196</v>
      </c>
      <c r="H165" s="24"/>
      <c r="I165" s="243" t="str">
        <f t="shared" si="0"/>
        <v>OK</v>
      </c>
      <c r="K165" s="249" t="s">
        <v>4617</v>
      </c>
      <c r="L165" s="250" t="s">
        <v>4192</v>
      </c>
      <c r="M165" s="250" t="s">
        <v>4193</v>
      </c>
      <c r="N165" s="250" t="s">
        <v>4194</v>
      </c>
      <c r="O165" s="176"/>
    </row>
    <row r="166" spans="1:15" ht="26.25" customHeight="1">
      <c r="A166" s="18" t="s">
        <v>13</v>
      </c>
      <c r="B166" s="19" t="s">
        <v>3756</v>
      </c>
      <c r="C166" s="19" t="s">
        <v>3757</v>
      </c>
      <c r="D166" s="20" t="s">
        <v>3758</v>
      </c>
      <c r="E166" s="32" t="s">
        <v>4966</v>
      </c>
      <c r="F166" s="33" t="s">
        <v>53</v>
      </c>
      <c r="G166" s="23" t="s">
        <v>3759</v>
      </c>
      <c r="H166" s="24"/>
      <c r="I166" s="243" t="str">
        <f t="shared" si="0"/>
        <v>OK</v>
      </c>
      <c r="K166" s="249" t="s">
        <v>4617</v>
      </c>
      <c r="L166" s="250" t="s">
        <v>4649</v>
      </c>
      <c r="M166" s="250" t="s">
        <v>4650</v>
      </c>
      <c r="N166" s="251" t="s">
        <v>3758</v>
      </c>
      <c r="O166" s="176"/>
    </row>
    <row r="167" spans="1:15" ht="26.25" customHeight="1">
      <c r="A167" s="18" t="s">
        <v>27</v>
      </c>
      <c r="B167" s="19" t="s">
        <v>781</v>
      </c>
      <c r="C167" s="19" t="s">
        <v>782</v>
      </c>
      <c r="D167" s="20" t="s">
        <v>783</v>
      </c>
      <c r="E167" s="32" t="s">
        <v>5039</v>
      </c>
      <c r="F167" s="22" t="s">
        <v>42</v>
      </c>
      <c r="G167" s="23" t="s">
        <v>785</v>
      </c>
      <c r="H167" s="24"/>
      <c r="I167" s="243" t="str">
        <f t="shared" si="0"/>
        <v>OK</v>
      </c>
      <c r="K167" s="249" t="s">
        <v>4617</v>
      </c>
      <c r="L167" s="250" t="s">
        <v>4652</v>
      </c>
      <c r="M167" s="250" t="s">
        <v>4653</v>
      </c>
      <c r="N167" s="251" t="s">
        <v>783</v>
      </c>
      <c r="O167" s="176"/>
    </row>
    <row r="168" spans="1:15" ht="26.25" customHeight="1">
      <c r="A168" s="18" t="s">
        <v>2181</v>
      </c>
      <c r="B168" s="31" t="s">
        <v>3946</v>
      </c>
      <c r="C168" s="19" t="s">
        <v>3947</v>
      </c>
      <c r="D168" s="20" t="s">
        <v>3948</v>
      </c>
      <c r="E168" s="21" t="s">
        <v>1990</v>
      </c>
      <c r="F168" s="33" t="s">
        <v>53</v>
      </c>
      <c r="G168" s="23" t="s">
        <v>3949</v>
      </c>
      <c r="H168" s="24"/>
      <c r="I168" s="243" t="str">
        <f t="shared" si="0"/>
        <v>OK</v>
      </c>
      <c r="K168" s="252" t="s">
        <v>87</v>
      </c>
      <c r="L168" s="261" t="s">
        <v>4787</v>
      </c>
      <c r="M168" s="261" t="s">
        <v>4788</v>
      </c>
      <c r="N168" s="262" t="s">
        <v>3948</v>
      </c>
      <c r="O168" s="176"/>
    </row>
    <row r="169" spans="1:15" ht="26.25" customHeight="1">
      <c r="A169" s="18" t="s">
        <v>867</v>
      </c>
      <c r="B169" s="31" t="s">
        <v>3836</v>
      </c>
      <c r="C169" s="19" t="s">
        <v>3837</v>
      </c>
      <c r="D169" s="20" t="s">
        <v>3838</v>
      </c>
      <c r="E169" s="21" t="s">
        <v>5085</v>
      </c>
      <c r="F169" s="33" t="s">
        <v>53</v>
      </c>
      <c r="G169" s="23" t="s">
        <v>3840</v>
      </c>
      <c r="H169" s="24"/>
      <c r="I169" s="243" t="str">
        <f t="shared" si="0"/>
        <v>OK</v>
      </c>
      <c r="K169" s="252" t="s">
        <v>87</v>
      </c>
      <c r="L169" s="261" t="s">
        <v>4773</v>
      </c>
      <c r="M169" s="261" t="s">
        <v>4774</v>
      </c>
      <c r="N169" s="262" t="s">
        <v>3838</v>
      </c>
      <c r="O169" s="176"/>
    </row>
    <row r="170" spans="1:15" ht="26.25" customHeight="1">
      <c r="A170" s="18" t="s">
        <v>105</v>
      </c>
      <c r="B170" s="31" t="s">
        <v>474</v>
      </c>
      <c r="C170" s="19" t="s">
        <v>124</v>
      </c>
      <c r="D170" s="20" t="s">
        <v>475</v>
      </c>
      <c r="E170" s="32" t="s">
        <v>52</v>
      </c>
      <c r="F170" s="33" t="s">
        <v>42</v>
      </c>
      <c r="G170" s="23" t="s">
        <v>476</v>
      </c>
      <c r="H170" s="24"/>
      <c r="I170" s="243" t="str">
        <f t="shared" si="0"/>
        <v>OK</v>
      </c>
      <c r="K170" s="252" t="s">
        <v>87</v>
      </c>
      <c r="L170" s="253" t="s">
        <v>474</v>
      </c>
      <c r="M170" s="254" t="s">
        <v>255</v>
      </c>
      <c r="N170" s="255" t="s">
        <v>475</v>
      </c>
      <c r="O170" s="176"/>
    </row>
    <row r="171" spans="1:15" ht="26.25" customHeight="1">
      <c r="A171" s="18" t="s">
        <v>132</v>
      </c>
      <c r="B171" s="19" t="s">
        <v>1361</v>
      </c>
      <c r="C171" s="19" t="s">
        <v>196</v>
      </c>
      <c r="D171" s="20" t="s">
        <v>1362</v>
      </c>
      <c r="E171" s="32" t="s">
        <v>4977</v>
      </c>
      <c r="F171" s="22" t="s">
        <v>42</v>
      </c>
      <c r="G171" s="23" t="s">
        <v>1364</v>
      </c>
      <c r="H171" s="24"/>
      <c r="I171" s="243" t="str">
        <f t="shared" si="0"/>
        <v>OK</v>
      </c>
      <c r="K171" s="249" t="s">
        <v>4337</v>
      </c>
      <c r="L171" s="250" t="s">
        <v>1361</v>
      </c>
      <c r="M171" s="250" t="s">
        <v>196</v>
      </c>
      <c r="N171" s="251" t="s">
        <v>1362</v>
      </c>
      <c r="O171" s="176"/>
    </row>
    <row r="172" spans="1:15" ht="26.25" customHeight="1">
      <c r="A172" s="18" t="s">
        <v>13</v>
      </c>
      <c r="B172" s="19" t="s">
        <v>2083</v>
      </c>
      <c r="C172" s="19" t="s">
        <v>939</v>
      </c>
      <c r="D172" s="20" t="s">
        <v>2084</v>
      </c>
      <c r="E172" s="32" t="s">
        <v>2485</v>
      </c>
      <c r="F172" s="22" t="s">
        <v>42</v>
      </c>
      <c r="G172" s="23" t="s">
        <v>2086</v>
      </c>
      <c r="H172" s="24"/>
      <c r="I172" s="243" t="str">
        <f t="shared" si="0"/>
        <v>OK</v>
      </c>
      <c r="K172" s="249" t="s">
        <v>4337</v>
      </c>
      <c r="L172" s="250" t="s">
        <v>2083</v>
      </c>
      <c r="M172" s="250" t="s">
        <v>1078</v>
      </c>
      <c r="N172" s="251" t="s">
        <v>2084</v>
      </c>
      <c r="O172" s="176"/>
    </row>
    <row r="173" spans="1:15" ht="26.25" customHeight="1">
      <c r="A173" s="18" t="s">
        <v>1197</v>
      </c>
      <c r="B173" s="19" t="s">
        <v>2127</v>
      </c>
      <c r="C173" s="19" t="s">
        <v>939</v>
      </c>
      <c r="D173" s="20" t="s">
        <v>2128</v>
      </c>
      <c r="E173" s="32" t="s">
        <v>5086</v>
      </c>
      <c r="F173" s="33" t="s">
        <v>42</v>
      </c>
      <c r="G173" s="23" t="s">
        <v>2130</v>
      </c>
      <c r="H173" s="24"/>
      <c r="I173" s="243" t="str">
        <f t="shared" si="0"/>
        <v>OK</v>
      </c>
      <c r="K173" s="249" t="s">
        <v>4337</v>
      </c>
      <c r="L173" s="250" t="s">
        <v>4476</v>
      </c>
      <c r="M173" s="250" t="s">
        <v>1078</v>
      </c>
      <c r="N173" s="251" t="s">
        <v>2128</v>
      </c>
      <c r="O173" s="176"/>
    </row>
    <row r="174" spans="1:15" ht="26.25" customHeight="1">
      <c r="A174" s="18" t="s">
        <v>132</v>
      </c>
      <c r="B174" s="19" t="s">
        <v>2123</v>
      </c>
      <c r="C174" s="19" t="s">
        <v>939</v>
      </c>
      <c r="D174" s="20" t="s">
        <v>2124</v>
      </c>
      <c r="E174" s="32" t="s">
        <v>4979</v>
      </c>
      <c r="F174" s="22" t="s">
        <v>42</v>
      </c>
      <c r="G174" s="23" t="s">
        <v>2125</v>
      </c>
      <c r="H174" s="24"/>
      <c r="I174" s="243" t="str">
        <f t="shared" si="0"/>
        <v>OK</v>
      </c>
      <c r="K174" s="249" t="s">
        <v>4337</v>
      </c>
      <c r="L174" s="250" t="s">
        <v>2123</v>
      </c>
      <c r="M174" s="250" t="s">
        <v>1078</v>
      </c>
      <c r="N174" s="251" t="s">
        <v>2124</v>
      </c>
      <c r="O174" s="176"/>
    </row>
    <row r="175" spans="1:15" ht="26.25" customHeight="1">
      <c r="A175" s="18" t="s">
        <v>146</v>
      </c>
      <c r="B175" s="19" t="s">
        <v>2108</v>
      </c>
      <c r="C175" s="19" t="s">
        <v>939</v>
      </c>
      <c r="D175" s="20" t="s">
        <v>2109</v>
      </c>
      <c r="E175" s="32" t="s">
        <v>5087</v>
      </c>
      <c r="F175" s="33" t="s">
        <v>42</v>
      </c>
      <c r="G175" s="23" t="s">
        <v>2111</v>
      </c>
      <c r="H175" s="24"/>
      <c r="I175" s="243" t="str">
        <f t="shared" si="0"/>
        <v>OK</v>
      </c>
      <c r="K175" s="249" t="s">
        <v>4337</v>
      </c>
      <c r="L175" s="250" t="s">
        <v>2108</v>
      </c>
      <c r="M175" s="250" t="s">
        <v>1078</v>
      </c>
      <c r="N175" s="251" t="s">
        <v>2109</v>
      </c>
      <c r="O175" s="176"/>
    </row>
    <row r="176" spans="1:15" ht="26.25" customHeight="1">
      <c r="A176" s="18" t="s">
        <v>248</v>
      </c>
      <c r="B176" s="19" t="s">
        <v>2168</v>
      </c>
      <c r="C176" s="19" t="s">
        <v>939</v>
      </c>
      <c r="D176" s="20" t="s">
        <v>2169</v>
      </c>
      <c r="E176" s="32" t="s">
        <v>4966</v>
      </c>
      <c r="F176" s="33" t="s">
        <v>42</v>
      </c>
      <c r="G176" s="23" t="s">
        <v>2170</v>
      </c>
      <c r="H176" s="24"/>
      <c r="I176" s="243" t="str">
        <f t="shared" si="0"/>
        <v>OK</v>
      </c>
      <c r="K176" s="249" t="s">
        <v>4337</v>
      </c>
      <c r="L176" s="250" t="s">
        <v>2168</v>
      </c>
      <c r="M176" s="250" t="s">
        <v>1078</v>
      </c>
      <c r="N176" s="251" t="s">
        <v>2169</v>
      </c>
      <c r="O176" s="176"/>
    </row>
    <row r="177" spans="1:15" ht="26.25" customHeight="1">
      <c r="A177" s="18" t="s">
        <v>13</v>
      </c>
      <c r="B177" s="19" t="s">
        <v>2392</v>
      </c>
      <c r="C177" s="19" t="s">
        <v>939</v>
      </c>
      <c r="D177" s="20" t="s">
        <v>2393</v>
      </c>
      <c r="E177" s="32" t="s">
        <v>4958</v>
      </c>
      <c r="F177" s="22" t="s">
        <v>42</v>
      </c>
      <c r="G177" s="23" t="s">
        <v>2395</v>
      </c>
      <c r="H177" s="24"/>
      <c r="I177" s="243" t="str">
        <f t="shared" si="0"/>
        <v>OK</v>
      </c>
      <c r="K177" s="249" t="s">
        <v>4337</v>
      </c>
      <c r="L177" s="250" t="s">
        <v>4498</v>
      </c>
      <c r="M177" s="250" t="s">
        <v>1078</v>
      </c>
      <c r="N177" s="251" t="s">
        <v>2393</v>
      </c>
      <c r="O177" s="176"/>
    </row>
    <row r="178" spans="1:15" ht="26.25" customHeight="1">
      <c r="A178" s="18" t="s">
        <v>13</v>
      </c>
      <c r="B178" s="19" t="s">
        <v>2496</v>
      </c>
      <c r="C178" s="19" t="s">
        <v>939</v>
      </c>
      <c r="D178" s="20" t="s">
        <v>2497</v>
      </c>
      <c r="E178" s="32" t="s">
        <v>4959</v>
      </c>
      <c r="F178" s="22" t="s">
        <v>1290</v>
      </c>
      <c r="G178" s="23" t="s">
        <v>2499</v>
      </c>
      <c r="H178" s="24"/>
      <c r="I178" s="243" t="str">
        <f t="shared" si="0"/>
        <v>OK</v>
      </c>
      <c r="K178" s="249" t="s">
        <v>4337</v>
      </c>
      <c r="L178" s="250" t="s">
        <v>2496</v>
      </c>
      <c r="M178" s="250" t="s">
        <v>1078</v>
      </c>
      <c r="N178" s="251" t="s">
        <v>2497</v>
      </c>
      <c r="O178" s="176"/>
    </row>
    <row r="179" spans="1:15" ht="26.25" customHeight="1">
      <c r="A179" s="18" t="s">
        <v>13</v>
      </c>
      <c r="B179" s="19" t="s">
        <v>2515</v>
      </c>
      <c r="C179" s="19" t="s">
        <v>939</v>
      </c>
      <c r="D179" s="20" t="s">
        <v>2516</v>
      </c>
      <c r="E179" s="32" t="s">
        <v>52</v>
      </c>
      <c r="F179" s="22" t="s">
        <v>42</v>
      </c>
      <c r="G179" s="23" t="s">
        <v>2517</v>
      </c>
      <c r="H179" s="24"/>
      <c r="I179" s="243" t="str">
        <f t="shared" si="0"/>
        <v>OK</v>
      </c>
      <c r="K179" s="249" t="s">
        <v>4337</v>
      </c>
      <c r="L179" s="250" t="s">
        <v>2515</v>
      </c>
      <c r="M179" s="250" t="s">
        <v>1078</v>
      </c>
      <c r="N179" s="251" t="s">
        <v>2516</v>
      </c>
      <c r="O179" s="176"/>
    </row>
    <row r="180" spans="1:15" ht="26.25" customHeight="1">
      <c r="A180" s="18" t="s">
        <v>1375</v>
      </c>
      <c r="B180" s="19" t="s">
        <v>2521</v>
      </c>
      <c r="C180" s="215" t="s">
        <v>939</v>
      </c>
      <c r="D180" s="20" t="s">
        <v>2522</v>
      </c>
      <c r="E180" s="32" t="s">
        <v>4960</v>
      </c>
      <c r="F180" s="22" t="s">
        <v>42</v>
      </c>
      <c r="G180" s="23" t="s">
        <v>2524</v>
      </c>
      <c r="H180" s="24"/>
      <c r="I180" s="243" t="str">
        <f t="shared" si="0"/>
        <v>OK</v>
      </c>
      <c r="K180" s="249" t="s">
        <v>4337</v>
      </c>
      <c r="L180" s="250" t="s">
        <v>2521</v>
      </c>
      <c r="M180" s="250" t="s">
        <v>1078</v>
      </c>
      <c r="N180" s="251" t="s">
        <v>2522</v>
      </c>
      <c r="O180" s="176"/>
    </row>
    <row r="181" spans="1:15" ht="26.25" customHeight="1">
      <c r="A181" s="18" t="s">
        <v>105</v>
      </c>
      <c r="B181" s="19" t="s">
        <v>2105</v>
      </c>
      <c r="C181" s="19" t="s">
        <v>124</v>
      </c>
      <c r="D181" s="20" t="s">
        <v>2106</v>
      </c>
      <c r="E181" s="32" t="s">
        <v>178</v>
      </c>
      <c r="F181" s="33" t="s">
        <v>42</v>
      </c>
      <c r="G181" s="23" t="s">
        <v>2107</v>
      </c>
      <c r="H181" s="24"/>
      <c r="I181" s="243" t="str">
        <f t="shared" si="0"/>
        <v>OK</v>
      </c>
      <c r="K181" s="249" t="s">
        <v>4337</v>
      </c>
      <c r="L181" s="250" t="s">
        <v>2105</v>
      </c>
      <c r="M181" s="250" t="s">
        <v>255</v>
      </c>
      <c r="N181" s="251" t="s">
        <v>2106</v>
      </c>
      <c r="O181" s="176"/>
    </row>
    <row r="182" spans="1:15" ht="26.25" customHeight="1">
      <c r="A182" s="18" t="s">
        <v>132</v>
      </c>
      <c r="B182" s="19" t="s">
        <v>2487</v>
      </c>
      <c r="C182" s="19" t="s">
        <v>447</v>
      </c>
      <c r="D182" s="20" t="s">
        <v>2488</v>
      </c>
      <c r="E182" s="32" t="s">
        <v>4975</v>
      </c>
      <c r="F182" s="22" t="s">
        <v>42</v>
      </c>
      <c r="G182" s="23" t="s">
        <v>2489</v>
      </c>
      <c r="H182" s="24"/>
      <c r="I182" s="243" t="str">
        <f t="shared" si="0"/>
        <v>OK</v>
      </c>
      <c r="K182" s="249" t="s">
        <v>4337</v>
      </c>
      <c r="L182" s="250" t="s">
        <v>2487</v>
      </c>
      <c r="M182" s="250" t="s">
        <v>5069</v>
      </c>
      <c r="N182" s="251" t="s">
        <v>2488</v>
      </c>
      <c r="O182" s="176"/>
    </row>
    <row r="183" spans="1:15" ht="26.25" customHeight="1">
      <c r="A183" s="18" t="s">
        <v>132</v>
      </c>
      <c r="B183" s="19" t="s">
        <v>2116</v>
      </c>
      <c r="C183" s="19" t="s">
        <v>447</v>
      </c>
      <c r="D183" s="20" t="s">
        <v>2117</v>
      </c>
      <c r="E183" s="32" t="s">
        <v>4975</v>
      </c>
      <c r="F183" s="22" t="s">
        <v>42</v>
      </c>
      <c r="G183" s="23" t="s">
        <v>2118</v>
      </c>
      <c r="H183" s="24"/>
      <c r="I183" s="243" t="str">
        <f t="shared" si="0"/>
        <v>OK</v>
      </c>
      <c r="K183" s="249" t="s">
        <v>4337</v>
      </c>
      <c r="L183" s="250" t="s">
        <v>4472</v>
      </c>
      <c r="M183" s="250" t="s">
        <v>5069</v>
      </c>
      <c r="N183" s="251" t="s">
        <v>2117</v>
      </c>
      <c r="O183" s="176"/>
    </row>
    <row r="184" spans="1:15" ht="26.25" customHeight="1">
      <c r="A184" s="18" t="s">
        <v>248</v>
      </c>
      <c r="B184" s="19" t="s">
        <v>2202</v>
      </c>
      <c r="C184" s="19" t="s">
        <v>939</v>
      </c>
      <c r="D184" s="20" t="s">
        <v>2203</v>
      </c>
      <c r="E184" s="32" t="s">
        <v>52</v>
      </c>
      <c r="F184" s="33" t="s">
        <v>42</v>
      </c>
      <c r="G184" s="23" t="s">
        <v>2204</v>
      </c>
      <c r="H184" s="24"/>
      <c r="I184" s="243" t="str">
        <f t="shared" si="0"/>
        <v>OK</v>
      </c>
      <c r="K184" s="249" t="s">
        <v>4337</v>
      </c>
      <c r="L184" s="250" t="s">
        <v>2202</v>
      </c>
      <c r="M184" s="250" t="s">
        <v>1078</v>
      </c>
      <c r="N184" s="251" t="s">
        <v>2203</v>
      </c>
      <c r="O184" s="176"/>
    </row>
    <row r="185" spans="1:15" ht="26.25" customHeight="1">
      <c r="A185" s="18" t="s">
        <v>105</v>
      </c>
      <c r="B185" s="31" t="s">
        <v>3340</v>
      </c>
      <c r="C185" s="19" t="s">
        <v>124</v>
      </c>
      <c r="D185" s="20" t="s">
        <v>3341</v>
      </c>
      <c r="E185" s="21" t="s">
        <v>5010</v>
      </c>
      <c r="F185" s="33" t="s">
        <v>63</v>
      </c>
      <c r="G185" s="23" t="s">
        <v>3342</v>
      </c>
      <c r="H185" s="24"/>
      <c r="I185" s="243" t="str">
        <f t="shared" si="0"/>
        <v>OK</v>
      </c>
      <c r="K185" s="252" t="s">
        <v>87</v>
      </c>
      <c r="L185" s="253" t="s">
        <v>4880</v>
      </c>
      <c r="M185" s="254" t="s">
        <v>361</v>
      </c>
      <c r="N185" s="255" t="s">
        <v>3341</v>
      </c>
      <c r="O185" s="176"/>
    </row>
    <row r="186" spans="1:15" ht="26.25" customHeight="1">
      <c r="A186" s="18" t="s">
        <v>1197</v>
      </c>
      <c r="B186" s="19" t="s">
        <v>1904</v>
      </c>
      <c r="C186" s="19" t="s">
        <v>499</v>
      </c>
      <c r="D186" s="20" t="s">
        <v>1905</v>
      </c>
      <c r="E186" s="32" t="s">
        <v>178</v>
      </c>
      <c r="F186" s="33" t="s">
        <v>42</v>
      </c>
      <c r="G186" s="23" t="s">
        <v>1906</v>
      </c>
      <c r="H186" s="24"/>
      <c r="I186" s="243" t="str">
        <f t="shared" si="0"/>
        <v>OK</v>
      </c>
      <c r="K186" s="249" t="s">
        <v>4337</v>
      </c>
      <c r="L186" s="250" t="s">
        <v>1904</v>
      </c>
      <c r="M186" s="250" t="s">
        <v>255</v>
      </c>
      <c r="N186" s="251" t="s">
        <v>1905</v>
      </c>
      <c r="O186" s="176"/>
    </row>
    <row r="187" spans="1:15" ht="26.25" customHeight="1">
      <c r="A187" s="18" t="s">
        <v>105</v>
      </c>
      <c r="B187" s="19" t="s">
        <v>2698</v>
      </c>
      <c r="C187" s="19" t="s">
        <v>124</v>
      </c>
      <c r="D187" s="20" t="s">
        <v>2699</v>
      </c>
      <c r="E187" s="32" t="s">
        <v>178</v>
      </c>
      <c r="F187" s="33" t="s">
        <v>42</v>
      </c>
      <c r="G187" s="23" t="s">
        <v>2700</v>
      </c>
      <c r="H187" s="24"/>
      <c r="I187" s="243" t="str">
        <f t="shared" si="0"/>
        <v>OK</v>
      </c>
      <c r="K187" s="249" t="s">
        <v>4337</v>
      </c>
      <c r="L187" s="250" t="s">
        <v>2698</v>
      </c>
      <c r="M187" s="250" t="s">
        <v>255</v>
      </c>
      <c r="N187" s="251" t="s">
        <v>2699</v>
      </c>
      <c r="O187" s="176"/>
    </row>
    <row r="188" spans="1:15" ht="26.25" customHeight="1">
      <c r="A188" s="18" t="s">
        <v>37</v>
      </c>
      <c r="B188" s="19" t="s">
        <v>2722</v>
      </c>
      <c r="C188" s="19" t="s">
        <v>45</v>
      </c>
      <c r="D188" s="20" t="s">
        <v>2723</v>
      </c>
      <c r="E188" s="32" t="s">
        <v>2705</v>
      </c>
      <c r="F188" s="22" t="s">
        <v>42</v>
      </c>
      <c r="G188" s="23" t="s">
        <v>2724</v>
      </c>
      <c r="H188" s="24"/>
      <c r="I188" s="243" t="str">
        <f t="shared" si="0"/>
        <v>OK</v>
      </c>
      <c r="K188" s="249" t="s">
        <v>4337</v>
      </c>
      <c r="L188" s="250" t="s">
        <v>4534</v>
      </c>
      <c r="M188" s="250" t="s">
        <v>4436</v>
      </c>
      <c r="N188" s="251" t="s">
        <v>2723</v>
      </c>
      <c r="O188" s="176"/>
    </row>
    <row r="189" spans="1:15" ht="26.25" customHeight="1">
      <c r="A189" s="18" t="s">
        <v>27</v>
      </c>
      <c r="B189" s="19" t="s">
        <v>2020</v>
      </c>
      <c r="C189" s="19" t="s">
        <v>2021</v>
      </c>
      <c r="D189" s="20" t="s">
        <v>2022</v>
      </c>
      <c r="E189" s="32" t="s">
        <v>4997</v>
      </c>
      <c r="F189" s="22" t="s">
        <v>42</v>
      </c>
      <c r="G189" s="23" t="s">
        <v>2024</v>
      </c>
      <c r="H189" s="24"/>
      <c r="I189" s="243" t="str">
        <f t="shared" si="0"/>
        <v>OK</v>
      </c>
      <c r="K189" s="252" t="s">
        <v>87</v>
      </c>
      <c r="L189" s="258" t="s">
        <v>2020</v>
      </c>
      <c r="M189" s="259" t="s">
        <v>558</v>
      </c>
      <c r="N189" s="260" t="s">
        <v>2022</v>
      </c>
      <c r="O189" s="176"/>
    </row>
    <row r="190" spans="1:15" ht="26.25" customHeight="1">
      <c r="A190" s="18" t="s">
        <v>37</v>
      </c>
      <c r="B190" s="19" t="s">
        <v>2234</v>
      </c>
      <c r="C190" s="19" t="s">
        <v>45</v>
      </c>
      <c r="D190" s="20" t="s">
        <v>2235</v>
      </c>
      <c r="E190" s="32" t="s">
        <v>4995</v>
      </c>
      <c r="F190" s="22" t="s">
        <v>42</v>
      </c>
      <c r="G190" s="23" t="s">
        <v>2237</v>
      </c>
      <c r="H190" s="24"/>
      <c r="I190" s="243" t="str">
        <f t="shared" si="0"/>
        <v>OK</v>
      </c>
      <c r="K190" s="249" t="s">
        <v>4337</v>
      </c>
      <c r="L190" s="250" t="s">
        <v>2234</v>
      </c>
      <c r="M190" s="250" t="s">
        <v>4436</v>
      </c>
      <c r="N190" s="251" t="s">
        <v>2235</v>
      </c>
      <c r="O190" s="176"/>
    </row>
    <row r="191" spans="1:15" ht="26.25" customHeight="1">
      <c r="A191" s="18" t="s">
        <v>175</v>
      </c>
      <c r="B191" s="19" t="s">
        <v>2025</v>
      </c>
      <c r="C191" s="19" t="s">
        <v>141</v>
      </c>
      <c r="D191" s="20" t="s">
        <v>2026</v>
      </c>
      <c r="E191" s="32" t="s">
        <v>178</v>
      </c>
      <c r="F191" s="33" t="s">
        <v>42</v>
      </c>
      <c r="G191" s="23" t="s">
        <v>2027</v>
      </c>
      <c r="H191" s="24"/>
      <c r="I191" s="243" t="str">
        <f t="shared" si="0"/>
        <v>OK</v>
      </c>
      <c r="K191" s="249" t="s">
        <v>4337</v>
      </c>
      <c r="L191" s="250" t="s">
        <v>2025</v>
      </c>
      <c r="M191" s="250" t="s">
        <v>558</v>
      </c>
      <c r="N191" s="251" t="s">
        <v>2026</v>
      </c>
      <c r="O191" s="176"/>
    </row>
    <row r="192" spans="1:15" ht="26.25" customHeight="1">
      <c r="A192" s="18" t="s">
        <v>37</v>
      </c>
      <c r="B192" s="19" t="s">
        <v>956</v>
      </c>
      <c r="C192" s="19" t="s">
        <v>957</v>
      </c>
      <c r="D192" s="20" t="s">
        <v>958</v>
      </c>
      <c r="E192" s="32" t="s">
        <v>5004</v>
      </c>
      <c r="F192" s="22" t="s">
        <v>350</v>
      </c>
      <c r="G192" s="23" t="s">
        <v>960</v>
      </c>
      <c r="H192" s="24"/>
      <c r="I192" s="243" t="str">
        <f t="shared" si="0"/>
        <v>OK</v>
      </c>
      <c r="K192" s="249" t="s">
        <v>4337</v>
      </c>
      <c r="L192" s="250" t="s">
        <v>4381</v>
      </c>
      <c r="M192" s="250" t="s">
        <v>558</v>
      </c>
      <c r="N192" s="251" t="s">
        <v>958</v>
      </c>
      <c r="O192" s="176"/>
    </row>
    <row r="193" spans="1:15" ht="26.25" customHeight="1">
      <c r="A193" s="18" t="s">
        <v>13</v>
      </c>
      <c r="B193" s="19" t="s">
        <v>2314</v>
      </c>
      <c r="C193" s="19" t="s">
        <v>939</v>
      </c>
      <c r="D193" s="20" t="s">
        <v>2315</v>
      </c>
      <c r="E193" s="32" t="s">
        <v>52</v>
      </c>
      <c r="F193" s="22" t="s">
        <v>42</v>
      </c>
      <c r="G193" s="23" t="s">
        <v>2316</v>
      </c>
      <c r="H193" s="24"/>
      <c r="I193" s="243" t="str">
        <f t="shared" si="0"/>
        <v>OK</v>
      </c>
      <c r="K193" s="249" t="s">
        <v>4337</v>
      </c>
      <c r="L193" s="250" t="s">
        <v>2314</v>
      </c>
      <c r="M193" s="250" t="s">
        <v>1078</v>
      </c>
      <c r="N193" s="251" t="s">
        <v>2315</v>
      </c>
      <c r="O193" s="176"/>
    </row>
    <row r="194" spans="1:15" ht="26.25" customHeight="1">
      <c r="A194" s="18" t="s">
        <v>27</v>
      </c>
      <c r="B194" s="19" t="s">
        <v>1640</v>
      </c>
      <c r="C194" s="19" t="s">
        <v>665</v>
      </c>
      <c r="D194" s="20" t="s">
        <v>1641</v>
      </c>
      <c r="E194" s="32" t="s">
        <v>5044</v>
      </c>
      <c r="F194" s="22" t="s">
        <v>42</v>
      </c>
      <c r="G194" s="23" t="s">
        <v>1643</v>
      </c>
      <c r="H194" s="24"/>
      <c r="I194" s="243" t="str">
        <f t="shared" si="0"/>
        <v>OK</v>
      </c>
      <c r="K194" s="249" t="s">
        <v>4337</v>
      </c>
      <c r="L194" s="250" t="s">
        <v>1640</v>
      </c>
      <c r="M194" s="250" t="s">
        <v>665</v>
      </c>
      <c r="N194" s="251" t="s">
        <v>1641</v>
      </c>
      <c r="O194" s="176"/>
    </row>
    <row r="195" spans="1:15" ht="26.25" customHeight="1">
      <c r="A195" s="18" t="s">
        <v>37</v>
      </c>
      <c r="B195" s="19" t="s">
        <v>1837</v>
      </c>
      <c r="C195" s="19" t="s">
        <v>1838</v>
      </c>
      <c r="D195" s="20" t="s">
        <v>1839</v>
      </c>
      <c r="E195" s="32" t="s">
        <v>178</v>
      </c>
      <c r="F195" s="22" t="s">
        <v>31</v>
      </c>
      <c r="G195" s="23" t="s">
        <v>1840</v>
      </c>
      <c r="H195" s="24"/>
      <c r="I195" s="243" t="str">
        <f t="shared" si="0"/>
        <v>OK</v>
      </c>
      <c r="K195" s="249" t="s">
        <v>4337</v>
      </c>
      <c r="L195" s="250" t="s">
        <v>1837</v>
      </c>
      <c r="M195" s="250" t="s">
        <v>4443</v>
      </c>
      <c r="N195" s="251" t="s">
        <v>1839</v>
      </c>
      <c r="O195" s="176"/>
    </row>
    <row r="196" spans="1:15" ht="26.25" customHeight="1">
      <c r="A196" s="18" t="s">
        <v>13</v>
      </c>
      <c r="B196" s="19" t="s">
        <v>74</v>
      </c>
      <c r="C196" s="19" t="s">
        <v>60</v>
      </c>
      <c r="D196" s="20" t="s">
        <v>75</v>
      </c>
      <c r="E196" s="32" t="s">
        <v>4949</v>
      </c>
      <c r="F196" s="22" t="s">
        <v>42</v>
      </c>
      <c r="G196" s="23" t="s">
        <v>77</v>
      </c>
      <c r="H196" s="24"/>
      <c r="I196" s="243" t="str">
        <f t="shared" si="0"/>
        <v>OK</v>
      </c>
      <c r="K196" s="249" t="s">
        <v>4337</v>
      </c>
      <c r="L196" s="250" t="s">
        <v>74</v>
      </c>
      <c r="M196" s="250" t="s">
        <v>60</v>
      </c>
      <c r="N196" s="251" t="s">
        <v>75</v>
      </c>
      <c r="O196" s="176"/>
    </row>
    <row r="197" spans="1:15" ht="26.25" customHeight="1">
      <c r="A197" s="18" t="s">
        <v>132</v>
      </c>
      <c r="B197" s="19" t="s">
        <v>2490</v>
      </c>
      <c r="C197" s="19" t="s">
        <v>447</v>
      </c>
      <c r="D197" s="20" t="s">
        <v>2491</v>
      </c>
      <c r="E197" s="32" t="s">
        <v>52</v>
      </c>
      <c r="F197" s="22" t="s">
        <v>42</v>
      </c>
      <c r="G197" s="23" t="s">
        <v>2492</v>
      </c>
      <c r="H197" s="24"/>
      <c r="I197" s="243" t="str">
        <f t="shared" si="0"/>
        <v>OK</v>
      </c>
      <c r="K197" s="249" t="s">
        <v>4337</v>
      </c>
      <c r="L197" s="250" t="s">
        <v>2490</v>
      </c>
      <c r="M197" s="250" t="s">
        <v>5069</v>
      </c>
      <c r="N197" s="251" t="s">
        <v>2491</v>
      </c>
      <c r="O197" s="176"/>
    </row>
    <row r="198" spans="1:15" ht="26.25" customHeight="1">
      <c r="A198" s="18" t="s">
        <v>132</v>
      </c>
      <c r="B198" s="19" t="s">
        <v>2296</v>
      </c>
      <c r="C198" s="19" t="s">
        <v>447</v>
      </c>
      <c r="D198" s="20" t="s">
        <v>2297</v>
      </c>
      <c r="E198" s="32" t="s">
        <v>52</v>
      </c>
      <c r="F198" s="22" t="s">
        <v>42</v>
      </c>
      <c r="G198" s="23" t="s">
        <v>2298</v>
      </c>
      <c r="H198" s="24"/>
      <c r="I198" s="243" t="str">
        <f t="shared" si="0"/>
        <v>OK</v>
      </c>
      <c r="K198" s="249" t="s">
        <v>4337</v>
      </c>
      <c r="L198" s="250" t="s">
        <v>4493</v>
      </c>
      <c r="M198" s="250" t="s">
        <v>5069</v>
      </c>
      <c r="N198" s="251" t="s">
        <v>2297</v>
      </c>
      <c r="O198" s="176"/>
    </row>
    <row r="199" spans="1:15" ht="26.25" customHeight="1">
      <c r="A199" s="18" t="s">
        <v>248</v>
      </c>
      <c r="B199" s="19" t="s">
        <v>2528</v>
      </c>
      <c r="C199" s="19" t="s">
        <v>1068</v>
      </c>
      <c r="D199" s="20" t="s">
        <v>2529</v>
      </c>
      <c r="E199" s="32" t="s">
        <v>52</v>
      </c>
      <c r="F199" s="33" t="s">
        <v>42</v>
      </c>
      <c r="G199" s="23" t="s">
        <v>2530</v>
      </c>
      <c r="H199" s="24"/>
      <c r="I199" s="243" t="str">
        <f t="shared" si="0"/>
        <v>OK</v>
      </c>
      <c r="K199" s="249" t="s">
        <v>4337</v>
      </c>
      <c r="L199" s="250" t="s">
        <v>4513</v>
      </c>
      <c r="M199" s="250" t="s">
        <v>1068</v>
      </c>
      <c r="N199" s="251" t="s">
        <v>2529</v>
      </c>
      <c r="O199" s="176"/>
    </row>
    <row r="200" spans="1:15" ht="26.25" customHeight="1">
      <c r="A200" s="18" t="s">
        <v>13</v>
      </c>
      <c r="B200" s="19" t="s">
        <v>2231</v>
      </c>
      <c r="C200" s="19" t="s">
        <v>939</v>
      </c>
      <c r="D200" s="20" t="s">
        <v>2232</v>
      </c>
      <c r="E200" s="32" t="s">
        <v>4957</v>
      </c>
      <c r="F200" s="22" t="s">
        <v>42</v>
      </c>
      <c r="G200" s="23" t="s">
        <v>2233</v>
      </c>
      <c r="H200" s="24"/>
      <c r="I200" s="243" t="str">
        <f t="shared" si="0"/>
        <v>OK</v>
      </c>
      <c r="K200" s="249" t="s">
        <v>4337</v>
      </c>
      <c r="L200" s="250" t="s">
        <v>2231</v>
      </c>
      <c r="M200" s="250" t="s">
        <v>1078</v>
      </c>
      <c r="N200" s="251" t="s">
        <v>2232</v>
      </c>
      <c r="O200" s="176"/>
    </row>
    <row r="201" spans="1:15" ht="26.25" customHeight="1">
      <c r="A201" s="18" t="s">
        <v>37</v>
      </c>
      <c r="B201" s="19" t="s">
        <v>3169</v>
      </c>
      <c r="C201" s="19" t="s">
        <v>3170</v>
      </c>
      <c r="D201" s="20" t="s">
        <v>3171</v>
      </c>
      <c r="E201" s="32" t="s">
        <v>52</v>
      </c>
      <c r="F201" s="22" t="s">
        <v>53</v>
      </c>
      <c r="G201" s="23" t="s">
        <v>3172</v>
      </c>
      <c r="H201" s="24"/>
      <c r="I201" s="243" t="str">
        <f t="shared" si="0"/>
        <v>OK</v>
      </c>
      <c r="K201" s="249" t="s">
        <v>4617</v>
      </c>
      <c r="L201" s="250" t="s">
        <v>4671</v>
      </c>
      <c r="M201" s="250" t="s">
        <v>4672</v>
      </c>
      <c r="N201" s="251" t="s">
        <v>3171</v>
      </c>
      <c r="O201" s="176"/>
    </row>
    <row r="202" spans="1:15" ht="26.25" customHeight="1">
      <c r="A202" s="18" t="s">
        <v>132</v>
      </c>
      <c r="B202" s="19" t="s">
        <v>4114</v>
      </c>
      <c r="C202" s="19" t="s">
        <v>4115</v>
      </c>
      <c r="D202" s="20" t="s">
        <v>4116</v>
      </c>
      <c r="E202" s="32" t="s">
        <v>4997</v>
      </c>
      <c r="F202" s="22" t="s">
        <v>63</v>
      </c>
      <c r="G202" s="23" t="s">
        <v>4117</v>
      </c>
      <c r="H202" s="24"/>
      <c r="I202" s="243" t="str">
        <f t="shared" si="0"/>
        <v>OK</v>
      </c>
      <c r="K202" s="249" t="s">
        <v>4617</v>
      </c>
      <c r="L202" s="250" t="s">
        <v>4706</v>
      </c>
      <c r="M202" s="250" t="s">
        <v>4707</v>
      </c>
      <c r="N202" s="251" t="s">
        <v>4116</v>
      </c>
      <c r="O202" s="176"/>
    </row>
    <row r="203" spans="1:15" ht="26.25" customHeight="1">
      <c r="A203" s="18" t="s">
        <v>81</v>
      </c>
      <c r="B203" s="31" t="s">
        <v>1967</v>
      </c>
      <c r="C203" s="19" t="s">
        <v>1968</v>
      </c>
      <c r="D203" s="20" t="s">
        <v>1969</v>
      </c>
      <c r="E203" s="21" t="s">
        <v>2705</v>
      </c>
      <c r="F203" s="33" t="s">
        <v>53</v>
      </c>
      <c r="G203" s="23" t="s">
        <v>1971</v>
      </c>
      <c r="H203" s="24"/>
      <c r="I203" s="243" t="str">
        <f t="shared" si="0"/>
        <v>OK</v>
      </c>
      <c r="K203" s="252" t="s">
        <v>87</v>
      </c>
      <c r="L203" s="261" t="s">
        <v>4779</v>
      </c>
      <c r="M203" s="261" t="s">
        <v>4780</v>
      </c>
      <c r="N203" s="262" t="s">
        <v>1969</v>
      </c>
      <c r="O203" s="176"/>
    </row>
    <row r="204" spans="1:15" ht="26.25" customHeight="1">
      <c r="A204" s="18" t="s">
        <v>2181</v>
      </c>
      <c r="B204" s="31" t="s">
        <v>3934</v>
      </c>
      <c r="C204" s="19" t="s">
        <v>3935</v>
      </c>
      <c r="D204" s="20" t="s">
        <v>3936</v>
      </c>
      <c r="E204" s="21" t="s">
        <v>4144</v>
      </c>
      <c r="F204" s="33" t="s">
        <v>53</v>
      </c>
      <c r="G204" s="23" t="s">
        <v>3937</v>
      </c>
      <c r="H204" s="24"/>
      <c r="I204" s="243" t="str">
        <f t="shared" si="0"/>
        <v>OK</v>
      </c>
      <c r="K204" s="252" t="s">
        <v>87</v>
      </c>
      <c r="L204" s="261" t="s">
        <v>4784</v>
      </c>
      <c r="M204" s="261" t="s">
        <v>4785</v>
      </c>
      <c r="N204" s="262" t="s">
        <v>3936</v>
      </c>
      <c r="O204" s="176"/>
    </row>
    <row r="205" spans="1:15" ht="26.25" customHeight="1">
      <c r="A205" s="18" t="s">
        <v>48</v>
      </c>
      <c r="B205" s="31" t="s">
        <v>4107</v>
      </c>
      <c r="C205" s="19" t="s">
        <v>4079</v>
      </c>
      <c r="D205" s="20" t="s">
        <v>4108</v>
      </c>
      <c r="E205" s="21" t="s">
        <v>5044</v>
      </c>
      <c r="F205" s="33" t="s">
        <v>53</v>
      </c>
      <c r="G205" s="23" t="s">
        <v>4109</v>
      </c>
      <c r="H205" s="24"/>
      <c r="I205" s="243" t="str">
        <f t="shared" si="0"/>
        <v>OK</v>
      </c>
      <c r="K205" s="252" t="s">
        <v>87</v>
      </c>
      <c r="L205" s="261" t="s">
        <v>4804</v>
      </c>
      <c r="M205" s="261" t="s">
        <v>407</v>
      </c>
      <c r="N205" s="262" t="s">
        <v>4108</v>
      </c>
      <c r="O205" s="176"/>
    </row>
    <row r="206" spans="1:15" ht="26.25" customHeight="1">
      <c r="A206" s="18" t="s">
        <v>105</v>
      </c>
      <c r="B206" s="19" t="s">
        <v>3120</v>
      </c>
      <c r="C206" s="19" t="s">
        <v>3121</v>
      </c>
      <c r="D206" s="20" t="s">
        <v>3122</v>
      </c>
      <c r="E206" s="32" t="s">
        <v>52</v>
      </c>
      <c r="F206" s="33" t="s">
        <v>42</v>
      </c>
      <c r="G206" s="23" t="s">
        <v>3123</v>
      </c>
      <c r="H206" s="24"/>
      <c r="I206" s="243" t="str">
        <f t="shared" si="0"/>
        <v>OK</v>
      </c>
      <c r="K206" s="249" t="s">
        <v>4617</v>
      </c>
      <c r="L206" s="250" t="s">
        <v>4753</v>
      </c>
      <c r="M206" s="250" t="s">
        <v>4754</v>
      </c>
      <c r="N206" s="251" t="s">
        <v>3122</v>
      </c>
      <c r="O206" s="176"/>
    </row>
    <row r="207" spans="1:15" ht="26.25" customHeight="1">
      <c r="A207" s="18" t="s">
        <v>27</v>
      </c>
      <c r="B207" s="19" t="s">
        <v>4211</v>
      </c>
      <c r="C207" s="19" t="s">
        <v>4212</v>
      </c>
      <c r="D207" s="20" t="s">
        <v>4213</v>
      </c>
      <c r="E207" s="32" t="s">
        <v>5054</v>
      </c>
      <c r="F207" s="33" t="s">
        <v>53</v>
      </c>
      <c r="G207" s="23" t="s">
        <v>4215</v>
      </c>
      <c r="H207" s="24"/>
      <c r="I207" s="243" t="str">
        <f t="shared" si="0"/>
        <v>OK</v>
      </c>
      <c r="K207" s="249" t="s">
        <v>4617</v>
      </c>
      <c r="L207" s="250" t="s">
        <v>4211</v>
      </c>
      <c r="M207" s="250" t="s">
        <v>4727</v>
      </c>
      <c r="N207" s="251" t="s">
        <v>4213</v>
      </c>
      <c r="O207" s="176"/>
    </row>
    <row r="208" spans="1:15" ht="26.25" customHeight="1">
      <c r="A208" s="18" t="s">
        <v>81</v>
      </c>
      <c r="B208" s="31" t="s">
        <v>3575</v>
      </c>
      <c r="C208" s="19" t="s">
        <v>3576</v>
      </c>
      <c r="D208" s="20" t="s">
        <v>3577</v>
      </c>
      <c r="E208" s="21" t="s">
        <v>4966</v>
      </c>
      <c r="F208" s="33" t="s">
        <v>53</v>
      </c>
      <c r="G208" s="23" t="s">
        <v>3578</v>
      </c>
      <c r="H208" s="24"/>
      <c r="I208" s="243" t="str">
        <f t="shared" si="0"/>
        <v>OK</v>
      </c>
      <c r="K208" s="252" t="s">
        <v>87</v>
      </c>
      <c r="L208" s="261" t="s">
        <v>4848</v>
      </c>
      <c r="M208" s="261" t="s">
        <v>4849</v>
      </c>
      <c r="N208" s="262" t="s">
        <v>3577</v>
      </c>
      <c r="O208" s="176"/>
    </row>
    <row r="209" spans="1:15" ht="26.25" customHeight="1">
      <c r="A209" s="18" t="s">
        <v>27</v>
      </c>
      <c r="B209" s="31" t="s">
        <v>672</v>
      </c>
      <c r="C209" s="19" t="s">
        <v>673</v>
      </c>
      <c r="D209" s="20" t="s">
        <v>674</v>
      </c>
      <c r="E209" s="21" t="s">
        <v>5088</v>
      </c>
      <c r="F209" s="22" t="s">
        <v>42</v>
      </c>
      <c r="G209" s="23" t="s">
        <v>676</v>
      </c>
      <c r="H209" s="24"/>
      <c r="I209" s="243" t="str">
        <f t="shared" si="0"/>
        <v>OK</v>
      </c>
      <c r="K209" s="252" t="s">
        <v>87</v>
      </c>
      <c r="L209" s="261" t="s">
        <v>672</v>
      </c>
      <c r="M209" s="261" t="s">
        <v>4827</v>
      </c>
      <c r="N209" s="262" t="s">
        <v>674</v>
      </c>
      <c r="O209" s="176"/>
    </row>
    <row r="210" spans="1:15" ht="26.25" customHeight="1">
      <c r="A210" s="18" t="s">
        <v>1375</v>
      </c>
      <c r="B210" s="19" t="s">
        <v>2756</v>
      </c>
      <c r="C210" s="19" t="s">
        <v>2757</v>
      </c>
      <c r="D210" s="20" t="s">
        <v>2758</v>
      </c>
      <c r="E210" s="32" t="s">
        <v>52</v>
      </c>
      <c r="F210" s="22" t="s">
        <v>53</v>
      </c>
      <c r="G210" s="23" t="s">
        <v>2759</v>
      </c>
      <c r="H210" s="24"/>
      <c r="I210" s="243" t="str">
        <f t="shared" si="0"/>
        <v>OK</v>
      </c>
      <c r="K210" s="249" t="s">
        <v>4617</v>
      </c>
      <c r="L210" s="250" t="s">
        <v>4703</v>
      </c>
      <c r="M210" s="250" t="s">
        <v>4704</v>
      </c>
      <c r="N210" s="251" t="s">
        <v>2758</v>
      </c>
      <c r="O210" s="176"/>
    </row>
    <row r="211" spans="1:15" ht="26.25" customHeight="1">
      <c r="A211" s="18" t="s">
        <v>132</v>
      </c>
      <c r="B211" s="19" t="s">
        <v>133</v>
      </c>
      <c r="C211" s="19" t="s">
        <v>124</v>
      </c>
      <c r="D211" s="20" t="s">
        <v>134</v>
      </c>
      <c r="E211" s="32" t="s">
        <v>52</v>
      </c>
      <c r="F211" s="22" t="s">
        <v>42</v>
      </c>
      <c r="G211" s="23" t="s">
        <v>136</v>
      </c>
      <c r="H211" s="34"/>
      <c r="I211" s="243" t="str">
        <f t="shared" si="0"/>
        <v>OK</v>
      </c>
      <c r="K211" s="249" t="s">
        <v>4337</v>
      </c>
      <c r="L211" s="250" t="s">
        <v>133</v>
      </c>
      <c r="M211" s="250" t="s">
        <v>255</v>
      </c>
      <c r="N211" s="251" t="s">
        <v>134</v>
      </c>
      <c r="O211" s="176"/>
    </row>
    <row r="212" spans="1:15" ht="26.25" customHeight="1">
      <c r="A212" s="18" t="s">
        <v>132</v>
      </c>
      <c r="B212" s="19" t="s">
        <v>3030</v>
      </c>
      <c r="C212" s="19" t="s">
        <v>124</v>
      </c>
      <c r="D212" s="20" t="s">
        <v>3031</v>
      </c>
      <c r="E212" s="32" t="s">
        <v>52</v>
      </c>
      <c r="F212" s="22" t="s">
        <v>42</v>
      </c>
      <c r="G212" s="23" t="s">
        <v>3032</v>
      </c>
      <c r="H212" s="24"/>
      <c r="I212" s="243" t="str">
        <f t="shared" si="0"/>
        <v>OK</v>
      </c>
      <c r="K212" s="249" t="s">
        <v>4337</v>
      </c>
      <c r="L212" s="250" t="s">
        <v>3030</v>
      </c>
      <c r="M212" s="250" t="s">
        <v>255</v>
      </c>
      <c r="N212" s="251" t="s">
        <v>3031</v>
      </c>
      <c r="O212" s="176"/>
    </row>
    <row r="213" spans="1:15" ht="26.25" customHeight="1">
      <c r="A213" s="18" t="s">
        <v>81</v>
      </c>
      <c r="B213" s="19" t="s">
        <v>1313</v>
      </c>
      <c r="C213" s="19" t="s">
        <v>227</v>
      </c>
      <c r="D213" s="20" t="s">
        <v>1314</v>
      </c>
      <c r="E213" s="32" t="s">
        <v>52</v>
      </c>
      <c r="F213" s="33" t="s">
        <v>42</v>
      </c>
      <c r="G213" s="23" t="s">
        <v>1315</v>
      </c>
      <c r="H213" s="24"/>
      <c r="I213" s="243" t="str">
        <f t="shared" si="0"/>
        <v>OK</v>
      </c>
      <c r="K213" s="249" t="s">
        <v>4337</v>
      </c>
      <c r="L213" s="250" t="s">
        <v>1313</v>
      </c>
      <c r="M213" s="250" t="s">
        <v>4396</v>
      </c>
      <c r="N213" s="251" t="s">
        <v>1314</v>
      </c>
      <c r="O213" s="176"/>
    </row>
    <row r="214" spans="1:15" ht="26.25" customHeight="1">
      <c r="A214" s="18" t="s">
        <v>37</v>
      </c>
      <c r="B214" s="19" t="s">
        <v>2666</v>
      </c>
      <c r="C214" s="19" t="s">
        <v>2667</v>
      </c>
      <c r="D214" s="20" t="s">
        <v>2668</v>
      </c>
      <c r="E214" s="32" t="s">
        <v>5013</v>
      </c>
      <c r="F214" s="22" t="s">
        <v>53</v>
      </c>
      <c r="G214" s="23" t="s">
        <v>2670</v>
      </c>
      <c r="H214" s="24"/>
      <c r="I214" s="243" t="str">
        <f t="shared" si="0"/>
        <v>OK</v>
      </c>
      <c r="K214" s="249" t="s">
        <v>4337</v>
      </c>
      <c r="L214" s="250" t="s">
        <v>2666</v>
      </c>
      <c r="M214" s="250" t="s">
        <v>2667</v>
      </c>
      <c r="N214" s="251" t="s">
        <v>2668</v>
      </c>
      <c r="O214" s="176"/>
    </row>
    <row r="215" spans="1:15" ht="26.25" customHeight="1">
      <c r="A215" s="18" t="s">
        <v>1197</v>
      </c>
      <c r="B215" s="19" t="s">
        <v>1437</v>
      </c>
      <c r="C215" s="19" t="s">
        <v>790</v>
      </c>
      <c r="D215" s="20" t="s">
        <v>1438</v>
      </c>
      <c r="E215" s="21" t="s">
        <v>52</v>
      </c>
      <c r="F215" s="33" t="s">
        <v>31</v>
      </c>
      <c r="G215" s="23" t="s">
        <v>1439</v>
      </c>
      <c r="H215" s="24"/>
      <c r="I215" s="243" t="str">
        <f t="shared" si="0"/>
        <v>OK</v>
      </c>
      <c r="K215" s="252" t="s">
        <v>87</v>
      </c>
      <c r="L215" s="258" t="s">
        <v>1437</v>
      </c>
      <c r="M215" s="259" t="s">
        <v>196</v>
      </c>
      <c r="N215" s="260" t="s">
        <v>1438</v>
      </c>
      <c r="O215" s="176"/>
    </row>
    <row r="216" spans="1:15" ht="26.25" customHeight="1">
      <c r="A216" s="18" t="s">
        <v>37</v>
      </c>
      <c r="B216" s="19" t="s">
        <v>1907</v>
      </c>
      <c r="C216" s="19" t="s">
        <v>124</v>
      </c>
      <c r="D216" s="20" t="s">
        <v>1908</v>
      </c>
      <c r="E216" s="32" t="s">
        <v>5007</v>
      </c>
      <c r="F216" s="22" t="s">
        <v>42</v>
      </c>
      <c r="G216" s="23" t="s">
        <v>1910</v>
      </c>
      <c r="H216" s="24"/>
      <c r="I216" s="243" t="str">
        <f t="shared" si="0"/>
        <v>OK</v>
      </c>
      <c r="K216" s="249" t="s">
        <v>4337</v>
      </c>
      <c r="L216" s="250" t="s">
        <v>1907</v>
      </c>
      <c r="M216" s="250" t="s">
        <v>361</v>
      </c>
      <c r="N216" s="251" t="s">
        <v>1908</v>
      </c>
      <c r="O216" s="176"/>
    </row>
    <row r="217" spans="1:15" ht="26.25" customHeight="1">
      <c r="A217" s="18" t="s">
        <v>81</v>
      </c>
      <c r="B217" s="19" t="s">
        <v>2981</v>
      </c>
      <c r="C217" s="19" t="s">
        <v>124</v>
      </c>
      <c r="D217" s="20" t="s">
        <v>2982</v>
      </c>
      <c r="E217" s="32" t="s">
        <v>52</v>
      </c>
      <c r="F217" s="33" t="s">
        <v>42</v>
      </c>
      <c r="G217" s="23" t="s">
        <v>2983</v>
      </c>
      <c r="H217" s="24"/>
      <c r="I217" s="243" t="str">
        <f t="shared" si="0"/>
        <v>OK</v>
      </c>
      <c r="K217" s="249" t="s">
        <v>4337</v>
      </c>
      <c r="L217" s="250" t="s">
        <v>4570</v>
      </c>
      <c r="M217" s="250" t="s">
        <v>255</v>
      </c>
      <c r="N217" s="251" t="s">
        <v>2982</v>
      </c>
      <c r="O217" s="176"/>
    </row>
    <row r="218" spans="1:15" ht="26.25" customHeight="1">
      <c r="A218" s="18" t="s">
        <v>175</v>
      </c>
      <c r="B218" s="31" t="s">
        <v>2328</v>
      </c>
      <c r="C218" s="19" t="s">
        <v>1338</v>
      </c>
      <c r="D218" s="20" t="s">
        <v>2329</v>
      </c>
      <c r="E218" s="21" t="s">
        <v>5089</v>
      </c>
      <c r="F218" s="33" t="s">
        <v>42</v>
      </c>
      <c r="G218" s="23" t="s">
        <v>2331</v>
      </c>
      <c r="H218" s="24"/>
      <c r="I218" s="243" t="str">
        <f t="shared" si="0"/>
        <v>OK</v>
      </c>
      <c r="K218" s="252" t="s">
        <v>87</v>
      </c>
      <c r="L218" s="253" t="s">
        <v>4904</v>
      </c>
      <c r="M218" s="254" t="s">
        <v>296</v>
      </c>
      <c r="N218" s="255" t="s">
        <v>2329</v>
      </c>
      <c r="O218" s="176"/>
    </row>
    <row r="219" spans="1:15" ht="26.25" customHeight="1">
      <c r="A219" s="18" t="s">
        <v>27</v>
      </c>
      <c r="B219" s="19" t="s">
        <v>1527</v>
      </c>
      <c r="C219" s="19" t="s">
        <v>141</v>
      </c>
      <c r="D219" s="20" t="s">
        <v>1528</v>
      </c>
      <c r="E219" s="32" t="s">
        <v>178</v>
      </c>
      <c r="F219" s="22" t="s">
        <v>42</v>
      </c>
      <c r="G219" s="23" t="s">
        <v>1529</v>
      </c>
      <c r="H219" s="24"/>
      <c r="I219" s="243" t="str">
        <f t="shared" si="0"/>
        <v>OK</v>
      </c>
      <c r="K219" s="249" t="s">
        <v>4337</v>
      </c>
      <c r="L219" s="250" t="s">
        <v>1527</v>
      </c>
      <c r="M219" s="250" t="s">
        <v>558</v>
      </c>
      <c r="N219" s="251" t="s">
        <v>1528</v>
      </c>
      <c r="O219" s="176"/>
    </row>
    <row r="220" spans="1:15" ht="26.25" customHeight="1">
      <c r="A220" s="18" t="s">
        <v>132</v>
      </c>
      <c r="B220" s="19" t="s">
        <v>2920</v>
      </c>
      <c r="C220" s="19" t="s">
        <v>141</v>
      </c>
      <c r="D220" s="20" t="s">
        <v>2921</v>
      </c>
      <c r="E220" s="32" t="s">
        <v>4985</v>
      </c>
      <c r="F220" s="22" t="s">
        <v>42</v>
      </c>
      <c r="G220" s="23" t="s">
        <v>2923</v>
      </c>
      <c r="H220" s="24"/>
      <c r="I220" s="243" t="str">
        <f t="shared" si="0"/>
        <v>OK</v>
      </c>
      <c r="K220" s="249" t="s">
        <v>4337</v>
      </c>
      <c r="L220" s="250" t="s">
        <v>4550</v>
      </c>
      <c r="M220" s="250" t="s">
        <v>558</v>
      </c>
      <c r="N220" s="251" t="s">
        <v>2921</v>
      </c>
      <c r="O220" s="176"/>
    </row>
    <row r="221" spans="1:15" ht="26.25" customHeight="1">
      <c r="A221" s="18" t="s">
        <v>132</v>
      </c>
      <c r="B221" s="19" t="s">
        <v>2924</v>
      </c>
      <c r="C221" s="19" t="s">
        <v>141</v>
      </c>
      <c r="D221" s="20" t="s">
        <v>2925</v>
      </c>
      <c r="E221" s="32" t="s">
        <v>4986</v>
      </c>
      <c r="F221" s="22" t="s">
        <v>42</v>
      </c>
      <c r="G221" s="23" t="s">
        <v>2927</v>
      </c>
      <c r="H221" s="24"/>
      <c r="I221" s="243" t="str">
        <f t="shared" si="0"/>
        <v>OK</v>
      </c>
      <c r="K221" s="249" t="s">
        <v>4337</v>
      </c>
      <c r="L221" s="250" t="s">
        <v>4552</v>
      </c>
      <c r="M221" s="250" t="s">
        <v>558</v>
      </c>
      <c r="N221" s="251" t="s">
        <v>2925</v>
      </c>
      <c r="O221" s="176"/>
    </row>
    <row r="222" spans="1:15" ht="26.25" customHeight="1">
      <c r="A222" s="18" t="s">
        <v>132</v>
      </c>
      <c r="B222" s="19" t="s">
        <v>2928</v>
      </c>
      <c r="C222" s="19" t="s">
        <v>141</v>
      </c>
      <c r="D222" s="20" t="s">
        <v>2929</v>
      </c>
      <c r="E222" s="32" t="s">
        <v>4987</v>
      </c>
      <c r="F222" s="22" t="s">
        <v>42</v>
      </c>
      <c r="G222" s="23" t="s">
        <v>2931</v>
      </c>
      <c r="H222" s="24"/>
      <c r="I222" s="243" t="str">
        <f t="shared" si="0"/>
        <v>OK</v>
      </c>
      <c r="K222" s="249" t="s">
        <v>4337</v>
      </c>
      <c r="L222" s="250" t="s">
        <v>4554</v>
      </c>
      <c r="M222" s="250" t="s">
        <v>558</v>
      </c>
      <c r="N222" s="251" t="s">
        <v>2929</v>
      </c>
      <c r="O222" s="176"/>
    </row>
    <row r="223" spans="1:15" ht="26.25" customHeight="1">
      <c r="A223" s="18" t="s">
        <v>132</v>
      </c>
      <c r="B223" s="19" t="s">
        <v>2936</v>
      </c>
      <c r="C223" s="19" t="s">
        <v>141</v>
      </c>
      <c r="D223" s="20" t="s">
        <v>2937</v>
      </c>
      <c r="E223" s="32" t="s">
        <v>4988</v>
      </c>
      <c r="F223" s="22" t="s">
        <v>42</v>
      </c>
      <c r="G223" s="23" t="s">
        <v>2939</v>
      </c>
      <c r="H223" s="24"/>
      <c r="I223" s="243" t="str">
        <f t="shared" si="0"/>
        <v>OK</v>
      </c>
      <c r="K223" s="249" t="s">
        <v>4337</v>
      </c>
      <c r="L223" s="250" t="s">
        <v>4556</v>
      </c>
      <c r="M223" s="250" t="s">
        <v>558</v>
      </c>
      <c r="N223" s="251" t="s">
        <v>2937</v>
      </c>
      <c r="O223" s="176"/>
    </row>
    <row r="224" spans="1:15" ht="26.25" customHeight="1">
      <c r="A224" s="18" t="s">
        <v>233</v>
      </c>
      <c r="B224" s="19" t="s">
        <v>2940</v>
      </c>
      <c r="C224" s="19" t="s">
        <v>141</v>
      </c>
      <c r="D224" s="20" t="s">
        <v>2941</v>
      </c>
      <c r="E224" s="32" t="s">
        <v>4985</v>
      </c>
      <c r="F224" s="22" t="s">
        <v>42</v>
      </c>
      <c r="G224" s="23" t="s">
        <v>2942</v>
      </c>
      <c r="H224" s="24"/>
      <c r="I224" s="243" t="str">
        <f t="shared" si="0"/>
        <v>OK</v>
      </c>
      <c r="K224" s="249" t="s">
        <v>4337</v>
      </c>
      <c r="L224" s="250" t="s">
        <v>4558</v>
      </c>
      <c r="M224" s="250" t="s">
        <v>558</v>
      </c>
      <c r="N224" s="251" t="s">
        <v>2941</v>
      </c>
      <c r="O224" s="176"/>
    </row>
    <row r="225" spans="1:15" ht="26.25" customHeight="1">
      <c r="A225" s="18" t="s">
        <v>132</v>
      </c>
      <c r="B225" s="19" t="s">
        <v>2943</v>
      </c>
      <c r="C225" s="19" t="s">
        <v>141</v>
      </c>
      <c r="D225" s="20" t="s">
        <v>2944</v>
      </c>
      <c r="E225" s="32" t="s">
        <v>4985</v>
      </c>
      <c r="F225" s="22" t="s">
        <v>42</v>
      </c>
      <c r="G225" s="23" t="s">
        <v>2945</v>
      </c>
      <c r="H225" s="24"/>
      <c r="I225" s="243" t="str">
        <f t="shared" si="0"/>
        <v>OK</v>
      </c>
      <c r="K225" s="249" t="s">
        <v>4337</v>
      </c>
      <c r="L225" s="250" t="s">
        <v>4560</v>
      </c>
      <c r="M225" s="250" t="s">
        <v>558</v>
      </c>
      <c r="N225" s="251" t="s">
        <v>2944</v>
      </c>
      <c r="O225" s="176"/>
    </row>
    <row r="226" spans="1:15" ht="26.25" customHeight="1">
      <c r="A226" s="18" t="s">
        <v>132</v>
      </c>
      <c r="B226" s="19" t="s">
        <v>2946</v>
      </c>
      <c r="C226" s="19" t="s">
        <v>141</v>
      </c>
      <c r="D226" s="20" t="s">
        <v>2947</v>
      </c>
      <c r="E226" s="32" t="s">
        <v>4985</v>
      </c>
      <c r="F226" s="22" t="s">
        <v>42</v>
      </c>
      <c r="G226" s="23" t="s">
        <v>2948</v>
      </c>
      <c r="H226" s="24"/>
      <c r="I226" s="243" t="str">
        <f t="shared" si="0"/>
        <v>OK</v>
      </c>
      <c r="K226" s="249" t="s">
        <v>4337</v>
      </c>
      <c r="L226" s="250" t="s">
        <v>4562</v>
      </c>
      <c r="M226" s="250" t="s">
        <v>558</v>
      </c>
      <c r="N226" s="251" t="s">
        <v>2947</v>
      </c>
      <c r="O226" s="176"/>
    </row>
    <row r="227" spans="1:15" ht="26.25" customHeight="1">
      <c r="A227" s="18" t="s">
        <v>37</v>
      </c>
      <c r="B227" s="19" t="s">
        <v>2613</v>
      </c>
      <c r="C227" s="19" t="s">
        <v>124</v>
      </c>
      <c r="D227" s="20" t="s">
        <v>2614</v>
      </c>
      <c r="E227" s="32" t="s">
        <v>52</v>
      </c>
      <c r="F227" s="22" t="s">
        <v>42</v>
      </c>
      <c r="G227" s="23" t="s">
        <v>2615</v>
      </c>
      <c r="H227" s="24"/>
      <c r="I227" s="243" t="str">
        <f t="shared" si="0"/>
        <v>OK</v>
      </c>
      <c r="K227" s="249" t="s">
        <v>4337</v>
      </c>
      <c r="L227" s="250" t="s">
        <v>2613</v>
      </c>
      <c r="M227" s="250" t="s">
        <v>361</v>
      </c>
      <c r="N227" s="251" t="s">
        <v>2614</v>
      </c>
      <c r="O227" s="176"/>
    </row>
    <row r="228" spans="1:15" ht="26.25" customHeight="1">
      <c r="A228" s="18" t="s">
        <v>37</v>
      </c>
      <c r="B228" s="19" t="s">
        <v>3268</v>
      </c>
      <c r="C228" s="19" t="s">
        <v>2664</v>
      </c>
      <c r="D228" s="20" t="s">
        <v>3269</v>
      </c>
      <c r="E228" s="32" t="s">
        <v>52</v>
      </c>
      <c r="F228" s="22" t="s">
        <v>53</v>
      </c>
      <c r="G228" s="23" t="s">
        <v>3270</v>
      </c>
      <c r="H228" s="24"/>
      <c r="I228" s="243" t="str">
        <f t="shared" si="0"/>
        <v>OK</v>
      </c>
      <c r="K228" s="249" t="s">
        <v>4337</v>
      </c>
      <c r="L228" s="250" t="s">
        <v>3268</v>
      </c>
      <c r="M228" s="250" t="s">
        <v>2664</v>
      </c>
      <c r="N228" s="251" t="s">
        <v>3269</v>
      </c>
      <c r="O228" s="176"/>
    </row>
    <row r="229" spans="1:15" ht="26.25" customHeight="1">
      <c r="A229" s="18" t="s">
        <v>27</v>
      </c>
      <c r="B229" s="19" t="s">
        <v>2892</v>
      </c>
      <c r="C229" s="19" t="s">
        <v>141</v>
      </c>
      <c r="D229" s="20" t="s">
        <v>2893</v>
      </c>
      <c r="E229" s="32" t="s">
        <v>52</v>
      </c>
      <c r="F229" s="22" t="s">
        <v>42</v>
      </c>
      <c r="G229" s="23" t="s">
        <v>2894</v>
      </c>
      <c r="H229" s="24"/>
      <c r="I229" s="243" t="str">
        <f t="shared" si="0"/>
        <v>OK</v>
      </c>
      <c r="K229" s="249" t="s">
        <v>4337</v>
      </c>
      <c r="L229" s="250" t="s">
        <v>4548</v>
      </c>
      <c r="M229" s="250" t="s">
        <v>1456</v>
      </c>
      <c r="N229" s="251" t="s">
        <v>2893</v>
      </c>
      <c r="O229" s="176"/>
    </row>
    <row r="230" spans="1:15" ht="26.25" customHeight="1">
      <c r="A230" s="18" t="s">
        <v>175</v>
      </c>
      <c r="B230" s="31" t="s">
        <v>3912</v>
      </c>
      <c r="C230" s="19" t="s">
        <v>3913</v>
      </c>
      <c r="D230" s="20" t="s">
        <v>3914</v>
      </c>
      <c r="E230" s="21" t="s">
        <v>2834</v>
      </c>
      <c r="F230" s="33" t="s">
        <v>53</v>
      </c>
      <c r="G230" s="23" t="s">
        <v>3916</v>
      </c>
      <c r="H230" s="24"/>
      <c r="I230" s="243" t="str">
        <f t="shared" si="0"/>
        <v>OK</v>
      </c>
      <c r="K230" s="252" t="s">
        <v>87</v>
      </c>
      <c r="L230" s="261" t="s">
        <v>3912</v>
      </c>
      <c r="M230" s="261" t="s">
        <v>4782</v>
      </c>
      <c r="N230" s="262" t="s">
        <v>3914</v>
      </c>
      <c r="O230" s="176"/>
    </row>
    <row r="231" spans="1:15" ht="26.25" customHeight="1">
      <c r="A231" s="18" t="s">
        <v>233</v>
      </c>
      <c r="B231" s="19" t="s">
        <v>3492</v>
      </c>
      <c r="C231" s="19" t="s">
        <v>3493</v>
      </c>
      <c r="D231" s="20" t="s">
        <v>3494</v>
      </c>
      <c r="E231" s="32" t="s">
        <v>52</v>
      </c>
      <c r="F231" s="22" t="s">
        <v>63</v>
      </c>
      <c r="G231" s="23" t="s">
        <v>3495</v>
      </c>
      <c r="H231" s="24"/>
      <c r="I231" s="243" t="str">
        <f t="shared" si="0"/>
        <v>OK</v>
      </c>
      <c r="K231" s="249" t="s">
        <v>4617</v>
      </c>
      <c r="L231" s="250" t="s">
        <v>4713</v>
      </c>
      <c r="M231" s="250" t="s">
        <v>4714</v>
      </c>
      <c r="N231" s="251" t="s">
        <v>3494</v>
      </c>
      <c r="O231" s="176"/>
    </row>
    <row r="232" spans="1:15" ht="26.25" customHeight="1">
      <c r="A232" s="18" t="s">
        <v>105</v>
      </c>
      <c r="B232" s="19" t="s">
        <v>1472</v>
      </c>
      <c r="C232" s="19" t="s">
        <v>124</v>
      </c>
      <c r="D232" s="20" t="s">
        <v>1473</v>
      </c>
      <c r="E232" s="32" t="s">
        <v>52</v>
      </c>
      <c r="F232" s="33" t="s">
        <v>42</v>
      </c>
      <c r="G232" s="23" t="s">
        <v>1474</v>
      </c>
      <c r="H232" s="24"/>
      <c r="I232" s="243" t="str">
        <f t="shared" si="0"/>
        <v>OK</v>
      </c>
      <c r="K232" s="249" t="s">
        <v>4337</v>
      </c>
      <c r="L232" s="250" t="s">
        <v>1472</v>
      </c>
      <c r="M232" s="250" t="s">
        <v>255</v>
      </c>
      <c r="N232" s="251" t="s">
        <v>1473</v>
      </c>
      <c r="O232" s="176"/>
    </row>
    <row r="233" spans="1:15" ht="26.25" customHeight="1">
      <c r="A233" s="18" t="s">
        <v>13</v>
      </c>
      <c r="B233" s="19" t="s">
        <v>3218</v>
      </c>
      <c r="C233" s="19" t="s">
        <v>124</v>
      </c>
      <c r="D233" s="20" t="s">
        <v>3219</v>
      </c>
      <c r="E233" s="32" t="s">
        <v>52</v>
      </c>
      <c r="F233" s="22" t="s">
        <v>42</v>
      </c>
      <c r="G233" s="23" t="s">
        <v>3220</v>
      </c>
      <c r="H233" s="24"/>
      <c r="I233" s="243" t="str">
        <f t="shared" si="0"/>
        <v>OK</v>
      </c>
      <c r="K233" s="249" t="s">
        <v>4337</v>
      </c>
      <c r="L233" s="250" t="s">
        <v>3218</v>
      </c>
      <c r="M233" s="250" t="s">
        <v>361</v>
      </c>
      <c r="N233" s="251" t="s">
        <v>3219</v>
      </c>
      <c r="O233" s="176"/>
    </row>
    <row r="234" spans="1:15" ht="26.25" customHeight="1">
      <c r="A234" s="18" t="s">
        <v>105</v>
      </c>
      <c r="B234" s="31" t="s">
        <v>3201</v>
      </c>
      <c r="C234" s="19" t="s">
        <v>3202</v>
      </c>
      <c r="D234" s="20" t="s">
        <v>3203</v>
      </c>
      <c r="E234" s="21" t="s">
        <v>2504</v>
      </c>
      <c r="F234" s="33" t="s">
        <v>42</v>
      </c>
      <c r="G234" s="23" t="s">
        <v>3204</v>
      </c>
      <c r="H234" s="24"/>
      <c r="I234" s="243" t="str">
        <f t="shared" si="0"/>
        <v>OK</v>
      </c>
      <c r="K234" s="252" t="s">
        <v>87</v>
      </c>
      <c r="L234" s="253" t="s">
        <v>3201</v>
      </c>
      <c r="M234" s="254" t="s">
        <v>4929</v>
      </c>
      <c r="N234" s="255" t="s">
        <v>3203</v>
      </c>
      <c r="O234" s="176"/>
    </row>
    <row r="235" spans="1:15" ht="26.25" customHeight="1">
      <c r="A235" s="18" t="s">
        <v>37</v>
      </c>
      <c r="B235" s="19" t="s">
        <v>153</v>
      </c>
      <c r="C235" s="39" t="s">
        <v>154</v>
      </c>
      <c r="D235" s="20" t="s">
        <v>155</v>
      </c>
      <c r="E235" s="44" t="s">
        <v>5090</v>
      </c>
      <c r="F235" s="22" t="s">
        <v>53</v>
      </c>
      <c r="G235" s="41" t="s">
        <v>157</v>
      </c>
      <c r="H235" s="24"/>
      <c r="I235" s="243" t="str">
        <f t="shared" si="0"/>
        <v>OK</v>
      </c>
      <c r="K235" s="249" t="s">
        <v>4337</v>
      </c>
      <c r="L235" s="250" t="s">
        <v>153</v>
      </c>
      <c r="M235" s="250" t="s">
        <v>4345</v>
      </c>
      <c r="N235" s="251" t="s">
        <v>155</v>
      </c>
      <c r="O235" s="176"/>
    </row>
    <row r="236" spans="1:15" ht="26.25" customHeight="1">
      <c r="A236" s="18" t="s">
        <v>27</v>
      </c>
      <c r="B236" s="19" t="s">
        <v>1831</v>
      </c>
      <c r="C236" s="19" t="s">
        <v>124</v>
      </c>
      <c r="D236" s="20" t="s">
        <v>1832</v>
      </c>
      <c r="E236" s="32" t="s">
        <v>178</v>
      </c>
      <c r="F236" s="22" t="s">
        <v>42</v>
      </c>
      <c r="G236" s="23" t="s">
        <v>1833</v>
      </c>
      <c r="H236" s="24"/>
      <c r="I236" s="243" t="str">
        <f t="shared" si="0"/>
        <v>OK</v>
      </c>
      <c r="K236" s="249" t="s">
        <v>4337</v>
      </c>
      <c r="L236" s="250" t="s">
        <v>1831</v>
      </c>
      <c r="M236" s="250" t="s">
        <v>255</v>
      </c>
      <c r="N236" s="251" t="s">
        <v>1832</v>
      </c>
      <c r="O236" s="176"/>
    </row>
    <row r="237" spans="1:15" ht="26.25" customHeight="1">
      <c r="A237" s="18" t="s">
        <v>13</v>
      </c>
      <c r="B237" s="19" t="s">
        <v>3369</v>
      </c>
      <c r="C237" s="19" t="s">
        <v>124</v>
      </c>
      <c r="D237" s="20" t="s">
        <v>3370</v>
      </c>
      <c r="E237" s="32" t="s">
        <v>52</v>
      </c>
      <c r="F237" s="22" t="s">
        <v>42</v>
      </c>
      <c r="G237" s="23" t="s">
        <v>3371</v>
      </c>
      <c r="H237" s="24"/>
      <c r="I237" s="243" t="str">
        <f t="shared" si="0"/>
        <v>OK</v>
      </c>
      <c r="K237" s="249" t="s">
        <v>4337</v>
      </c>
      <c r="L237" s="250" t="s">
        <v>4440</v>
      </c>
      <c r="M237" s="250" t="s">
        <v>255</v>
      </c>
      <c r="N237" s="251" t="s">
        <v>3370</v>
      </c>
      <c r="O237" s="176"/>
    </row>
    <row r="238" spans="1:15" ht="26.25" customHeight="1">
      <c r="A238" s="18" t="s">
        <v>132</v>
      </c>
      <c r="B238" s="19" t="s">
        <v>3489</v>
      </c>
      <c r="C238" s="19" t="s">
        <v>124</v>
      </c>
      <c r="D238" s="20" t="s">
        <v>3490</v>
      </c>
      <c r="E238" s="32" t="s">
        <v>52</v>
      </c>
      <c r="F238" s="22" t="s">
        <v>42</v>
      </c>
      <c r="G238" s="23" t="s">
        <v>3491</v>
      </c>
      <c r="H238" s="24"/>
      <c r="I238" s="243" t="str">
        <f t="shared" si="0"/>
        <v>OK</v>
      </c>
      <c r="K238" s="249" t="s">
        <v>4337</v>
      </c>
      <c r="L238" s="250" t="s">
        <v>3489</v>
      </c>
      <c r="M238" s="250" t="s">
        <v>255</v>
      </c>
      <c r="N238" s="263" t="s">
        <v>3490</v>
      </c>
      <c r="O238" s="176"/>
    </row>
    <row r="239" spans="1:15" ht="26.25" customHeight="1">
      <c r="A239" s="18" t="s">
        <v>132</v>
      </c>
      <c r="B239" s="19" t="s">
        <v>2780</v>
      </c>
      <c r="C239" s="19" t="s">
        <v>124</v>
      </c>
      <c r="D239" s="20" t="s">
        <v>2781</v>
      </c>
      <c r="E239" s="32" t="s">
        <v>4957</v>
      </c>
      <c r="F239" s="22" t="s">
        <v>42</v>
      </c>
      <c r="G239" s="23" t="s">
        <v>2782</v>
      </c>
      <c r="H239" s="24"/>
      <c r="I239" s="243" t="str">
        <f t="shared" si="0"/>
        <v>OK</v>
      </c>
      <c r="K239" s="249" t="s">
        <v>4337</v>
      </c>
      <c r="L239" s="250" t="s">
        <v>4536</v>
      </c>
      <c r="M239" s="250" t="s">
        <v>255</v>
      </c>
      <c r="N239" s="251" t="s">
        <v>2781</v>
      </c>
      <c r="O239" s="176"/>
    </row>
    <row r="240" spans="1:15" ht="26.25" customHeight="1">
      <c r="A240" s="18" t="s">
        <v>132</v>
      </c>
      <c r="B240" s="19" t="s">
        <v>2783</v>
      </c>
      <c r="C240" s="19" t="s">
        <v>124</v>
      </c>
      <c r="D240" s="20" t="s">
        <v>2784</v>
      </c>
      <c r="E240" s="32" t="s">
        <v>4957</v>
      </c>
      <c r="F240" s="22" t="s">
        <v>42</v>
      </c>
      <c r="G240" s="23" t="s">
        <v>2785</v>
      </c>
      <c r="H240" s="24"/>
      <c r="I240" s="243" t="str">
        <f t="shared" si="0"/>
        <v>OK</v>
      </c>
      <c r="K240" s="249" t="s">
        <v>4337</v>
      </c>
      <c r="L240" s="250" t="s">
        <v>4538</v>
      </c>
      <c r="M240" s="250" t="s">
        <v>255</v>
      </c>
      <c r="N240" s="251" t="s">
        <v>2784</v>
      </c>
      <c r="O240" s="176"/>
    </row>
    <row r="241" spans="1:15" ht="26.25" customHeight="1">
      <c r="A241" s="18" t="s">
        <v>37</v>
      </c>
      <c r="B241" s="19" t="s">
        <v>2606</v>
      </c>
      <c r="C241" s="19" t="s">
        <v>124</v>
      </c>
      <c r="D241" s="20" t="s">
        <v>2607</v>
      </c>
      <c r="E241" s="32" t="s">
        <v>52</v>
      </c>
      <c r="F241" s="22" t="s">
        <v>42</v>
      </c>
      <c r="G241" s="23" t="s">
        <v>2608</v>
      </c>
      <c r="H241" s="34"/>
      <c r="I241" s="243" t="str">
        <f t="shared" si="0"/>
        <v>OK</v>
      </c>
      <c r="K241" s="249" t="s">
        <v>4337</v>
      </c>
      <c r="L241" s="250" t="s">
        <v>2606</v>
      </c>
      <c r="M241" s="250" t="s">
        <v>255</v>
      </c>
      <c r="N241" s="251" t="s">
        <v>2607</v>
      </c>
      <c r="O241" s="176"/>
    </row>
    <row r="242" spans="1:15" ht="26.25" customHeight="1">
      <c r="A242" s="18" t="s">
        <v>37</v>
      </c>
      <c r="B242" s="19" t="s">
        <v>2186</v>
      </c>
      <c r="C242" s="19" t="s">
        <v>141</v>
      </c>
      <c r="D242" s="20" t="s">
        <v>2187</v>
      </c>
      <c r="E242" s="32" t="s">
        <v>2705</v>
      </c>
      <c r="F242" s="22" t="s">
        <v>42</v>
      </c>
      <c r="G242" s="23" t="s">
        <v>2188</v>
      </c>
      <c r="H242" s="24"/>
      <c r="I242" s="243" t="str">
        <f t="shared" si="0"/>
        <v>OK</v>
      </c>
      <c r="K242" s="249" t="s">
        <v>4337</v>
      </c>
      <c r="L242" s="250" t="s">
        <v>4481</v>
      </c>
      <c r="M242" s="250" t="s">
        <v>558</v>
      </c>
      <c r="N242" s="251" t="s">
        <v>2187</v>
      </c>
      <c r="O242" s="176"/>
    </row>
    <row r="243" spans="1:15" ht="26.25" customHeight="1">
      <c r="A243" s="18" t="s">
        <v>37</v>
      </c>
      <c r="B243" s="19" t="s">
        <v>1940</v>
      </c>
      <c r="C243" s="19" t="s">
        <v>277</v>
      </c>
      <c r="D243" s="20" t="s">
        <v>1941</v>
      </c>
      <c r="E243" s="32" t="s">
        <v>5008</v>
      </c>
      <c r="F243" s="22" t="s">
        <v>42</v>
      </c>
      <c r="G243" s="23" t="s">
        <v>1943</v>
      </c>
      <c r="H243" s="34"/>
      <c r="I243" s="243" t="str">
        <f t="shared" si="0"/>
        <v>OK</v>
      </c>
      <c r="K243" s="249" t="s">
        <v>4337</v>
      </c>
      <c r="L243" s="250" t="s">
        <v>4452</v>
      </c>
      <c r="M243" s="250" t="s">
        <v>196</v>
      </c>
      <c r="N243" s="251" t="s">
        <v>1941</v>
      </c>
      <c r="O243" s="176"/>
    </row>
    <row r="244" spans="1:15" ht="26.25" customHeight="1">
      <c r="A244" s="18" t="s">
        <v>132</v>
      </c>
      <c r="B244" s="19" t="s">
        <v>2509</v>
      </c>
      <c r="C244" s="19" t="s">
        <v>447</v>
      </c>
      <c r="D244" s="20" t="s">
        <v>2510</v>
      </c>
      <c r="E244" s="32" t="s">
        <v>52</v>
      </c>
      <c r="F244" s="22" t="s">
        <v>31</v>
      </c>
      <c r="G244" s="23" t="s">
        <v>2511</v>
      </c>
      <c r="H244" s="24"/>
      <c r="I244" s="243" t="str">
        <f t="shared" si="0"/>
        <v>OK</v>
      </c>
      <c r="K244" s="249" t="s">
        <v>4337</v>
      </c>
      <c r="L244" s="250" t="s">
        <v>4509</v>
      </c>
      <c r="M244" s="250" t="s">
        <v>5069</v>
      </c>
      <c r="N244" s="251" t="s">
        <v>2510</v>
      </c>
      <c r="O244" s="176"/>
    </row>
    <row r="245" spans="1:15" ht="26.25" customHeight="1">
      <c r="A245" s="18" t="s">
        <v>132</v>
      </c>
      <c r="B245" s="31" t="s">
        <v>2259</v>
      </c>
      <c r="C245" s="19" t="s">
        <v>447</v>
      </c>
      <c r="D245" s="20" t="s">
        <v>2260</v>
      </c>
      <c r="E245" s="32" t="s">
        <v>4977</v>
      </c>
      <c r="F245" s="22" t="s">
        <v>31</v>
      </c>
      <c r="G245" s="23" t="s">
        <v>2261</v>
      </c>
      <c r="H245" s="24"/>
      <c r="I245" s="243" t="str">
        <f t="shared" si="0"/>
        <v>OK</v>
      </c>
      <c r="K245" s="252" t="s">
        <v>87</v>
      </c>
      <c r="L245" s="253" t="s">
        <v>2259</v>
      </c>
      <c r="M245" s="254" t="s">
        <v>4901</v>
      </c>
      <c r="N245" s="255" t="s">
        <v>2260</v>
      </c>
      <c r="O245" s="176"/>
    </row>
    <row r="246" spans="1:15" ht="26.25" customHeight="1">
      <c r="A246" s="18" t="s">
        <v>146</v>
      </c>
      <c r="B246" s="19" t="s">
        <v>1820</v>
      </c>
      <c r="C246" s="19" t="s">
        <v>1821</v>
      </c>
      <c r="D246" s="20" t="s">
        <v>1822</v>
      </c>
      <c r="E246" s="32" t="s">
        <v>178</v>
      </c>
      <c r="F246" s="33" t="s">
        <v>42</v>
      </c>
      <c r="G246" s="23" t="s">
        <v>1823</v>
      </c>
      <c r="H246" s="24"/>
      <c r="I246" s="243" t="str">
        <f t="shared" si="0"/>
        <v>OK</v>
      </c>
      <c r="K246" s="249" t="s">
        <v>4337</v>
      </c>
      <c r="L246" s="250" t="s">
        <v>1820</v>
      </c>
      <c r="M246" s="250" t="s">
        <v>4438</v>
      </c>
      <c r="N246" s="251" t="s">
        <v>1822</v>
      </c>
      <c r="O246" s="176"/>
    </row>
    <row r="247" spans="1:15" ht="26.25" customHeight="1">
      <c r="A247" s="18" t="s">
        <v>132</v>
      </c>
      <c r="B247" s="19" t="s">
        <v>1743</v>
      </c>
      <c r="C247" s="19" t="s">
        <v>141</v>
      </c>
      <c r="D247" s="20" t="s">
        <v>1744</v>
      </c>
      <c r="E247" s="32" t="s">
        <v>52</v>
      </c>
      <c r="F247" s="22" t="s">
        <v>42</v>
      </c>
      <c r="G247" s="23" t="s">
        <v>1745</v>
      </c>
      <c r="H247" s="24"/>
      <c r="I247" s="243" t="str">
        <f t="shared" si="0"/>
        <v>OK</v>
      </c>
      <c r="K247" s="249" t="s">
        <v>4337</v>
      </c>
      <c r="L247" s="250" t="s">
        <v>1743</v>
      </c>
      <c r="M247" s="250" t="s">
        <v>558</v>
      </c>
      <c r="N247" s="251" t="s">
        <v>1744</v>
      </c>
      <c r="O247" s="176"/>
    </row>
    <row r="248" spans="1:15" ht="26.25" customHeight="1">
      <c r="A248" s="18" t="s">
        <v>27</v>
      </c>
      <c r="B248" s="31" t="s">
        <v>2198</v>
      </c>
      <c r="C248" s="19" t="s">
        <v>124</v>
      </c>
      <c r="D248" s="20" t="s">
        <v>2199</v>
      </c>
      <c r="E248" s="21" t="s">
        <v>5070</v>
      </c>
      <c r="F248" s="22" t="s">
        <v>42</v>
      </c>
      <c r="G248" s="23" t="s">
        <v>2201</v>
      </c>
      <c r="H248" s="34"/>
      <c r="I248" s="243" t="str">
        <f t="shared" si="0"/>
        <v>OK</v>
      </c>
      <c r="K248" s="252" t="s">
        <v>87</v>
      </c>
      <c r="L248" s="253" t="s">
        <v>4899</v>
      </c>
      <c r="M248" s="254" t="s">
        <v>361</v>
      </c>
      <c r="N248" s="255" t="s">
        <v>2199</v>
      </c>
      <c r="O248" s="176"/>
    </row>
    <row r="249" spans="1:15" ht="26.25" customHeight="1">
      <c r="A249" s="18" t="s">
        <v>132</v>
      </c>
      <c r="B249" s="19" t="s">
        <v>1712</v>
      </c>
      <c r="C249" s="19" t="s">
        <v>124</v>
      </c>
      <c r="D249" s="20" t="s">
        <v>1713</v>
      </c>
      <c r="E249" s="32" t="s">
        <v>52</v>
      </c>
      <c r="F249" s="22" t="s">
        <v>42</v>
      </c>
      <c r="G249" s="23" t="s">
        <v>1714</v>
      </c>
      <c r="H249" s="24"/>
      <c r="I249" s="243" t="str">
        <f t="shared" si="0"/>
        <v>OK</v>
      </c>
      <c r="K249" s="249" t="s">
        <v>4337</v>
      </c>
      <c r="L249" s="250" t="s">
        <v>1712</v>
      </c>
      <c r="M249" s="250" t="s">
        <v>255</v>
      </c>
      <c r="N249" s="251" t="s">
        <v>1713</v>
      </c>
      <c r="O249" s="176"/>
    </row>
    <row r="250" spans="1:15" ht="26.25" customHeight="1">
      <c r="A250" s="18" t="s">
        <v>81</v>
      </c>
      <c r="B250" s="19" t="s">
        <v>1080</v>
      </c>
      <c r="C250" s="19" t="s">
        <v>141</v>
      </c>
      <c r="D250" s="20" t="s">
        <v>1081</v>
      </c>
      <c r="E250" s="32" t="s">
        <v>178</v>
      </c>
      <c r="F250" s="33" t="s">
        <v>42</v>
      </c>
      <c r="G250" s="23" t="s">
        <v>1082</v>
      </c>
      <c r="H250" s="24"/>
      <c r="I250" s="243" t="str">
        <f t="shared" si="0"/>
        <v>OK</v>
      </c>
      <c r="K250" s="249" t="s">
        <v>4337</v>
      </c>
      <c r="L250" s="250" t="s">
        <v>4384</v>
      </c>
      <c r="M250" s="250" t="s">
        <v>558</v>
      </c>
      <c r="N250" s="251" t="s">
        <v>1081</v>
      </c>
      <c r="O250" s="176"/>
    </row>
    <row r="251" spans="1:15" ht="26.25" customHeight="1">
      <c r="A251" s="18" t="s">
        <v>132</v>
      </c>
      <c r="B251" s="19" t="s">
        <v>1522</v>
      </c>
      <c r="C251" s="19" t="s">
        <v>588</v>
      </c>
      <c r="D251" s="20" t="s">
        <v>1523</v>
      </c>
      <c r="E251" s="32" t="s">
        <v>52</v>
      </c>
      <c r="F251" s="22" t="s">
        <v>42</v>
      </c>
      <c r="G251" s="23" t="s">
        <v>1524</v>
      </c>
      <c r="H251" s="24"/>
      <c r="I251" s="243" t="str">
        <f t="shared" si="0"/>
        <v>OK</v>
      </c>
      <c r="K251" s="249" t="s">
        <v>4337</v>
      </c>
      <c r="L251" s="250" t="s">
        <v>1522</v>
      </c>
      <c r="M251" s="250" t="s">
        <v>103</v>
      </c>
      <c r="N251" s="251" t="s">
        <v>1523</v>
      </c>
      <c r="O251" s="176"/>
    </row>
    <row r="252" spans="1:15" ht="26.25" customHeight="1">
      <c r="A252" s="18" t="s">
        <v>37</v>
      </c>
      <c r="B252" s="19" t="s">
        <v>2627</v>
      </c>
      <c r="C252" s="19" t="s">
        <v>124</v>
      </c>
      <c r="D252" s="20" t="s">
        <v>2628</v>
      </c>
      <c r="E252" s="32" t="s">
        <v>52</v>
      </c>
      <c r="F252" s="22" t="s">
        <v>42</v>
      </c>
      <c r="G252" s="23" t="s">
        <v>2629</v>
      </c>
      <c r="H252" s="34"/>
      <c r="I252" s="243" t="str">
        <f t="shared" si="0"/>
        <v>OK</v>
      </c>
      <c r="K252" s="249" t="s">
        <v>4337</v>
      </c>
      <c r="L252" s="250" t="s">
        <v>2627</v>
      </c>
      <c r="M252" s="250" t="s">
        <v>361</v>
      </c>
      <c r="N252" s="251" t="s">
        <v>2628</v>
      </c>
      <c r="O252" s="176"/>
    </row>
    <row r="253" spans="1:15" ht="26.25" customHeight="1">
      <c r="A253" s="18" t="s">
        <v>48</v>
      </c>
      <c r="B253" s="19" t="s">
        <v>2531</v>
      </c>
      <c r="C253" s="19" t="s">
        <v>1700</v>
      </c>
      <c r="D253" s="20" t="s">
        <v>2532</v>
      </c>
      <c r="E253" s="32" t="s">
        <v>178</v>
      </c>
      <c r="F253" s="33" t="s">
        <v>42</v>
      </c>
      <c r="G253" s="23" t="s">
        <v>2533</v>
      </c>
      <c r="H253" s="34"/>
      <c r="I253" s="243" t="str">
        <f t="shared" si="0"/>
        <v>OK</v>
      </c>
      <c r="K253" s="252" t="s">
        <v>87</v>
      </c>
      <c r="L253" s="258" t="s">
        <v>4911</v>
      </c>
      <c r="M253" s="259" t="s">
        <v>34</v>
      </c>
      <c r="N253" s="260" t="s">
        <v>2532</v>
      </c>
      <c r="O253" s="176"/>
    </row>
    <row r="254" spans="1:15" ht="26.25" customHeight="1">
      <c r="A254" s="18" t="s">
        <v>37</v>
      </c>
      <c r="B254" s="19" t="s">
        <v>2681</v>
      </c>
      <c r="C254" s="19" t="s">
        <v>277</v>
      </c>
      <c r="D254" s="20" t="s">
        <v>2682</v>
      </c>
      <c r="E254" s="32" t="s">
        <v>5015</v>
      </c>
      <c r="F254" s="22" t="s">
        <v>42</v>
      </c>
      <c r="G254" s="23" t="s">
        <v>2684</v>
      </c>
      <c r="H254" s="34"/>
      <c r="I254" s="243" t="str">
        <f t="shared" si="0"/>
        <v>OK</v>
      </c>
      <c r="K254" s="252" t="s">
        <v>87</v>
      </c>
      <c r="L254" s="254" t="s">
        <v>4921</v>
      </c>
      <c r="M254" s="254" t="s">
        <v>196</v>
      </c>
      <c r="N254" s="272" t="s">
        <v>2682</v>
      </c>
      <c r="O254" s="176"/>
    </row>
    <row r="255" spans="1:15" ht="26.25" customHeight="1">
      <c r="A255" s="18" t="s">
        <v>27</v>
      </c>
      <c r="B255" s="19" t="s">
        <v>1682</v>
      </c>
      <c r="C255" s="19" t="s">
        <v>1683</v>
      </c>
      <c r="D255" s="20" t="s">
        <v>1684</v>
      </c>
      <c r="E255" s="32" t="s">
        <v>52</v>
      </c>
      <c r="F255" s="22" t="s">
        <v>42</v>
      </c>
      <c r="G255" s="23" t="s">
        <v>1685</v>
      </c>
      <c r="H255" s="34"/>
      <c r="I255" s="243" t="str">
        <f t="shared" si="0"/>
        <v>OK</v>
      </c>
      <c r="K255" s="249" t="s">
        <v>4337</v>
      </c>
      <c r="L255" s="250" t="s">
        <v>4420</v>
      </c>
      <c r="M255" s="250" t="s">
        <v>255</v>
      </c>
      <c r="N255" s="251" t="s">
        <v>1684</v>
      </c>
      <c r="O255" s="176"/>
    </row>
    <row r="256" spans="1:15" ht="26.25" customHeight="1">
      <c r="A256" s="18" t="s">
        <v>105</v>
      </c>
      <c r="B256" s="19" t="s">
        <v>2512</v>
      </c>
      <c r="C256" s="19" t="s">
        <v>141</v>
      </c>
      <c r="D256" s="20" t="s">
        <v>2513</v>
      </c>
      <c r="E256" s="32" t="s">
        <v>178</v>
      </c>
      <c r="F256" s="33" t="s">
        <v>42</v>
      </c>
      <c r="G256" s="23" t="s">
        <v>2514</v>
      </c>
      <c r="H256" s="24"/>
      <c r="I256" s="243" t="str">
        <f t="shared" si="0"/>
        <v>OK</v>
      </c>
      <c r="K256" s="252" t="s">
        <v>87</v>
      </c>
      <c r="L256" s="258" t="s">
        <v>2512</v>
      </c>
      <c r="M256" s="259" t="s">
        <v>4913</v>
      </c>
      <c r="N256" s="260" t="s">
        <v>2513</v>
      </c>
      <c r="O256" s="176"/>
    </row>
    <row r="257" spans="1:15" ht="26.25" customHeight="1">
      <c r="A257" s="18" t="s">
        <v>1368</v>
      </c>
      <c r="B257" s="31" t="s">
        <v>2142</v>
      </c>
      <c r="C257" s="19" t="s">
        <v>2143</v>
      </c>
      <c r="D257" s="20" t="s">
        <v>2144</v>
      </c>
      <c r="E257" s="32" t="s">
        <v>3775</v>
      </c>
      <c r="F257" s="33" t="s">
        <v>53</v>
      </c>
      <c r="G257" s="23" t="s">
        <v>2145</v>
      </c>
      <c r="H257" s="34"/>
      <c r="I257" s="243" t="str">
        <f t="shared" si="0"/>
        <v>OK</v>
      </c>
      <c r="K257" s="252" t="s">
        <v>87</v>
      </c>
      <c r="L257" s="253" t="s">
        <v>4896</v>
      </c>
      <c r="M257" s="254" t="s">
        <v>4897</v>
      </c>
      <c r="N257" s="255" t="s">
        <v>2144</v>
      </c>
      <c r="O257" s="176"/>
    </row>
    <row r="258" spans="1:15" ht="26.25" customHeight="1">
      <c r="A258" s="18" t="s">
        <v>248</v>
      </c>
      <c r="B258" s="19" t="s">
        <v>2178</v>
      </c>
      <c r="C258" s="19" t="s">
        <v>939</v>
      </c>
      <c r="D258" s="20" t="s">
        <v>2179</v>
      </c>
      <c r="E258" s="32" t="s">
        <v>52</v>
      </c>
      <c r="F258" s="33" t="s">
        <v>42</v>
      </c>
      <c r="G258" s="23" t="s">
        <v>2180</v>
      </c>
      <c r="H258" s="34"/>
      <c r="I258" s="243" t="str">
        <f t="shared" si="0"/>
        <v>OK</v>
      </c>
      <c r="K258" s="249" t="s">
        <v>4337</v>
      </c>
      <c r="L258" s="250" t="s">
        <v>2178</v>
      </c>
      <c r="M258" s="250" t="s">
        <v>1078</v>
      </c>
      <c r="N258" s="251" t="s">
        <v>2179</v>
      </c>
      <c r="O258" s="176"/>
    </row>
    <row r="259" spans="1:15" ht="26.25" customHeight="1">
      <c r="A259" s="18" t="s">
        <v>13</v>
      </c>
      <c r="B259" s="19" t="s">
        <v>2041</v>
      </c>
      <c r="C259" s="19" t="s">
        <v>939</v>
      </c>
      <c r="D259" s="20" t="s">
        <v>2042</v>
      </c>
      <c r="E259" s="32" t="s">
        <v>52</v>
      </c>
      <c r="F259" s="22" t="s">
        <v>42</v>
      </c>
      <c r="G259" s="23" t="s">
        <v>2043</v>
      </c>
      <c r="H259" s="34"/>
      <c r="I259" s="243" t="str">
        <f t="shared" si="0"/>
        <v>OK</v>
      </c>
      <c r="K259" s="249" t="s">
        <v>4337</v>
      </c>
      <c r="L259" s="250" t="s">
        <v>2041</v>
      </c>
      <c r="M259" s="250" t="s">
        <v>1078</v>
      </c>
      <c r="N259" s="251" t="s">
        <v>2042</v>
      </c>
      <c r="O259" s="176"/>
    </row>
    <row r="260" spans="1:15" ht="26.25" customHeight="1">
      <c r="A260" s="18" t="s">
        <v>132</v>
      </c>
      <c r="B260" s="19" t="s">
        <v>2205</v>
      </c>
      <c r="C260" s="19" t="s">
        <v>447</v>
      </c>
      <c r="D260" s="20" t="s">
        <v>2206</v>
      </c>
      <c r="E260" s="32" t="s">
        <v>4981</v>
      </c>
      <c r="F260" s="22" t="s">
        <v>42</v>
      </c>
      <c r="G260" s="23" t="s">
        <v>2208</v>
      </c>
      <c r="H260" s="24"/>
      <c r="I260" s="243" t="str">
        <f t="shared" si="0"/>
        <v>OK</v>
      </c>
      <c r="K260" s="249" t="s">
        <v>4337</v>
      </c>
      <c r="L260" s="250" t="s">
        <v>4484</v>
      </c>
      <c r="M260" s="250" t="s">
        <v>5069</v>
      </c>
      <c r="N260" s="263" t="s">
        <v>2206</v>
      </c>
      <c r="O260" s="176"/>
    </row>
    <row r="261" spans="1:15" ht="26.25" customHeight="1">
      <c r="A261" s="18" t="s">
        <v>175</v>
      </c>
      <c r="B261" s="31" t="s">
        <v>1465</v>
      </c>
      <c r="C261" s="19" t="s">
        <v>1466</v>
      </c>
      <c r="D261" s="20" t="s">
        <v>1467</v>
      </c>
      <c r="E261" s="21" t="s">
        <v>5091</v>
      </c>
      <c r="F261" s="33" t="s">
        <v>42</v>
      </c>
      <c r="G261" s="23" t="s">
        <v>1469</v>
      </c>
      <c r="H261" s="24"/>
      <c r="I261" s="243" t="str">
        <f t="shared" si="0"/>
        <v>OK</v>
      </c>
      <c r="K261" s="252" t="s">
        <v>87</v>
      </c>
      <c r="L261" s="253" t="s">
        <v>1465</v>
      </c>
      <c r="M261" s="254" t="s">
        <v>1466</v>
      </c>
      <c r="N261" s="255" t="s">
        <v>1467</v>
      </c>
      <c r="O261" s="176"/>
    </row>
    <row r="262" spans="1:15" ht="26.25" customHeight="1">
      <c r="A262" s="18" t="s">
        <v>13</v>
      </c>
      <c r="B262" s="19" t="s">
        <v>2153</v>
      </c>
      <c r="C262" s="19" t="s">
        <v>939</v>
      </c>
      <c r="D262" s="20" t="s">
        <v>2154</v>
      </c>
      <c r="E262" s="32" t="s">
        <v>4956</v>
      </c>
      <c r="F262" s="22" t="s">
        <v>42</v>
      </c>
      <c r="G262" s="23" t="s">
        <v>2155</v>
      </c>
      <c r="H262" s="34"/>
      <c r="I262" s="243" t="str">
        <f t="shared" si="0"/>
        <v>OK</v>
      </c>
      <c r="K262" s="249" t="s">
        <v>4337</v>
      </c>
      <c r="L262" s="250" t="s">
        <v>2153</v>
      </c>
      <c r="M262" s="250" t="s">
        <v>1078</v>
      </c>
      <c r="N262" s="251" t="s">
        <v>2154</v>
      </c>
      <c r="O262" s="176"/>
    </row>
    <row r="263" spans="1:15" ht="26.25" customHeight="1">
      <c r="A263" s="18" t="s">
        <v>13</v>
      </c>
      <c r="B263" s="19" t="s">
        <v>2064</v>
      </c>
      <c r="C263" s="19" t="s">
        <v>939</v>
      </c>
      <c r="D263" s="20" t="s">
        <v>2065</v>
      </c>
      <c r="E263" s="32" t="s">
        <v>52</v>
      </c>
      <c r="F263" s="22" t="s">
        <v>42</v>
      </c>
      <c r="G263" s="23" t="s">
        <v>2066</v>
      </c>
      <c r="H263" s="34"/>
      <c r="I263" s="243" t="str">
        <f t="shared" si="0"/>
        <v>OK</v>
      </c>
      <c r="K263" s="249" t="s">
        <v>4337</v>
      </c>
      <c r="L263" s="250" t="s">
        <v>2064</v>
      </c>
      <c r="M263" s="250" t="s">
        <v>1078</v>
      </c>
      <c r="N263" s="251" t="s">
        <v>2065</v>
      </c>
      <c r="O263" s="176"/>
    </row>
    <row r="264" spans="1:15" ht="26.25" customHeight="1">
      <c r="A264" s="18" t="s">
        <v>132</v>
      </c>
      <c r="B264" s="19" t="s">
        <v>2571</v>
      </c>
      <c r="C264" s="19" t="s">
        <v>124</v>
      </c>
      <c r="D264" s="20" t="s">
        <v>2572</v>
      </c>
      <c r="E264" s="32" t="s">
        <v>52</v>
      </c>
      <c r="F264" s="22" t="s">
        <v>42</v>
      </c>
      <c r="G264" s="23" t="s">
        <v>2573</v>
      </c>
      <c r="H264" s="24"/>
      <c r="I264" s="243" t="str">
        <f t="shared" si="0"/>
        <v>OK</v>
      </c>
      <c r="K264" s="249" t="s">
        <v>4337</v>
      </c>
      <c r="L264" s="250" t="s">
        <v>4516</v>
      </c>
      <c r="M264" s="250" t="s">
        <v>255</v>
      </c>
      <c r="N264" s="251" t="s">
        <v>2572</v>
      </c>
      <c r="O264" s="176"/>
    </row>
    <row r="265" spans="1:15" ht="26.25" customHeight="1">
      <c r="A265" s="18" t="s">
        <v>1197</v>
      </c>
      <c r="B265" s="19" t="s">
        <v>2480</v>
      </c>
      <c r="C265" s="19" t="s">
        <v>124</v>
      </c>
      <c r="D265" s="20" t="s">
        <v>2481</v>
      </c>
      <c r="E265" s="32" t="s">
        <v>178</v>
      </c>
      <c r="F265" s="33" t="s">
        <v>42</v>
      </c>
      <c r="G265" s="23" t="s">
        <v>2482</v>
      </c>
      <c r="H265" s="24"/>
      <c r="I265" s="243" t="str">
        <f t="shared" si="0"/>
        <v>OK</v>
      </c>
      <c r="K265" s="249" t="s">
        <v>4337</v>
      </c>
      <c r="L265" s="250" t="s">
        <v>4505</v>
      </c>
      <c r="M265" s="250" t="s">
        <v>255</v>
      </c>
      <c r="N265" s="251" t="s">
        <v>2481</v>
      </c>
      <c r="O265" s="176"/>
    </row>
    <row r="266" spans="1:15" ht="26.25" customHeight="1">
      <c r="A266" s="18" t="s">
        <v>132</v>
      </c>
      <c r="B266" s="19" t="s">
        <v>3215</v>
      </c>
      <c r="C266" s="19" t="s">
        <v>1058</v>
      </c>
      <c r="D266" s="20" t="s">
        <v>3216</v>
      </c>
      <c r="E266" s="32" t="s">
        <v>52</v>
      </c>
      <c r="F266" s="22" t="s">
        <v>42</v>
      </c>
      <c r="G266" s="23" t="s">
        <v>3217</v>
      </c>
      <c r="H266" s="24"/>
      <c r="I266" s="243" t="str">
        <f t="shared" si="0"/>
        <v>OK</v>
      </c>
      <c r="K266" s="249" t="s">
        <v>4337</v>
      </c>
      <c r="L266" s="250" t="s">
        <v>3215</v>
      </c>
      <c r="M266" s="250" t="s">
        <v>1058</v>
      </c>
      <c r="N266" s="251" t="s">
        <v>3216</v>
      </c>
      <c r="O266" s="176"/>
    </row>
    <row r="267" spans="1:15" ht="26.25" customHeight="1">
      <c r="A267" s="18" t="s">
        <v>13</v>
      </c>
      <c r="B267" s="19" t="s">
        <v>3543</v>
      </c>
      <c r="C267" s="19" t="s">
        <v>1058</v>
      </c>
      <c r="D267" s="20" t="s">
        <v>3544</v>
      </c>
      <c r="E267" s="32" t="s">
        <v>52</v>
      </c>
      <c r="F267" s="22" t="s">
        <v>42</v>
      </c>
      <c r="G267" s="23" t="s">
        <v>3545</v>
      </c>
      <c r="H267" s="34"/>
      <c r="I267" s="243" t="str">
        <f t="shared" si="0"/>
        <v>OK</v>
      </c>
      <c r="K267" s="249" t="s">
        <v>4337</v>
      </c>
      <c r="L267" s="250" t="s">
        <v>4616</v>
      </c>
      <c r="M267" s="250" t="s">
        <v>1058</v>
      </c>
      <c r="N267" s="251" t="s">
        <v>3544</v>
      </c>
      <c r="O267" s="176"/>
    </row>
    <row r="268" spans="1:15" ht="26.25" customHeight="1">
      <c r="A268" s="18" t="s">
        <v>37</v>
      </c>
      <c r="B268" s="19" t="s">
        <v>3210</v>
      </c>
      <c r="C268" s="19" t="s">
        <v>1058</v>
      </c>
      <c r="D268" s="20" t="s">
        <v>3211</v>
      </c>
      <c r="E268" s="32" t="s">
        <v>52</v>
      </c>
      <c r="F268" s="22" t="s">
        <v>42</v>
      </c>
      <c r="G268" s="23" t="s">
        <v>3212</v>
      </c>
      <c r="H268" s="24"/>
      <c r="I268" s="243" t="str">
        <f t="shared" si="0"/>
        <v>OK</v>
      </c>
      <c r="K268" s="263" t="s">
        <v>4337</v>
      </c>
      <c r="L268" s="273" t="s">
        <v>4598</v>
      </c>
      <c r="M268" s="274" t="s">
        <v>1058</v>
      </c>
      <c r="N268" s="275" t="s">
        <v>3211</v>
      </c>
      <c r="O268" s="176"/>
    </row>
    <row r="269" spans="1:15" ht="26.25" customHeight="1">
      <c r="A269" s="18" t="s">
        <v>37</v>
      </c>
      <c r="B269" s="19" t="s">
        <v>3960</v>
      </c>
      <c r="C269" s="19" t="s">
        <v>2631</v>
      </c>
      <c r="D269" s="20" t="s">
        <v>3961</v>
      </c>
      <c r="E269" s="32" t="s">
        <v>4144</v>
      </c>
      <c r="F269" s="33" t="s">
        <v>53</v>
      </c>
      <c r="G269" s="23" t="s">
        <v>3962</v>
      </c>
      <c r="H269" s="24"/>
      <c r="I269" s="243" t="str">
        <f t="shared" si="0"/>
        <v>OK</v>
      </c>
      <c r="K269" s="263" t="s">
        <v>4617</v>
      </c>
      <c r="L269" s="268" t="s">
        <v>4691</v>
      </c>
      <c r="M269" s="250" t="s">
        <v>4689</v>
      </c>
      <c r="N269" s="250" t="s">
        <v>3961</v>
      </c>
      <c r="O269" s="176"/>
    </row>
    <row r="270" spans="1:15" ht="26.25" customHeight="1">
      <c r="A270" s="18" t="s">
        <v>37</v>
      </c>
      <c r="B270" s="19" t="s">
        <v>4122</v>
      </c>
      <c r="C270" s="19" t="s">
        <v>4123</v>
      </c>
      <c r="D270" s="20" t="s">
        <v>4124</v>
      </c>
      <c r="E270" s="32" t="s">
        <v>4985</v>
      </c>
      <c r="F270" s="33" t="s">
        <v>53</v>
      </c>
      <c r="G270" s="23" t="s">
        <v>4125</v>
      </c>
      <c r="H270" s="34"/>
      <c r="I270" s="243" t="str">
        <f t="shared" si="0"/>
        <v>OK</v>
      </c>
      <c r="K270" s="263" t="s">
        <v>4617</v>
      </c>
      <c r="L270" s="268" t="s">
        <v>4709</v>
      </c>
      <c r="M270" s="250" t="s">
        <v>4710</v>
      </c>
      <c r="N270" s="251" t="s">
        <v>4124</v>
      </c>
      <c r="O270" s="176"/>
    </row>
    <row r="271" spans="1:15" ht="26.25" customHeight="1">
      <c r="A271" s="18" t="s">
        <v>13</v>
      </c>
      <c r="B271" s="19" t="s">
        <v>3845</v>
      </c>
      <c r="C271" s="19" t="s">
        <v>3846</v>
      </c>
      <c r="D271" s="20" t="s">
        <v>3847</v>
      </c>
      <c r="E271" s="32" t="s">
        <v>4970</v>
      </c>
      <c r="F271" s="33" t="s">
        <v>53</v>
      </c>
      <c r="G271" s="23" t="s">
        <v>3849</v>
      </c>
      <c r="H271" s="34"/>
      <c r="I271" s="243" t="str">
        <f t="shared" si="0"/>
        <v>OK</v>
      </c>
      <c r="K271" s="263" t="s">
        <v>4617</v>
      </c>
      <c r="L271" s="268" t="s">
        <v>3845</v>
      </c>
      <c r="M271" s="250" t="s">
        <v>4676</v>
      </c>
      <c r="N271" s="251" t="s">
        <v>3847</v>
      </c>
      <c r="O271" s="176"/>
    </row>
    <row r="272" spans="1:15" ht="26.25" customHeight="1">
      <c r="A272" s="18" t="s">
        <v>48</v>
      </c>
      <c r="B272" s="31" t="s">
        <v>4074</v>
      </c>
      <c r="C272" s="19" t="s">
        <v>4075</v>
      </c>
      <c r="D272" s="20" t="s">
        <v>4076</v>
      </c>
      <c r="E272" s="21" t="s">
        <v>5034</v>
      </c>
      <c r="F272" s="33" t="s">
        <v>53</v>
      </c>
      <c r="G272" s="23" t="s">
        <v>4077</v>
      </c>
      <c r="H272" s="24"/>
      <c r="I272" s="243" t="str">
        <f t="shared" si="0"/>
        <v>OK</v>
      </c>
      <c r="K272" s="276" t="s">
        <v>87</v>
      </c>
      <c r="L272" s="277" t="s">
        <v>4074</v>
      </c>
      <c r="M272" s="261" t="s">
        <v>4802</v>
      </c>
      <c r="N272" s="262" t="s">
        <v>4076</v>
      </c>
      <c r="O272" s="176"/>
    </row>
    <row r="273" spans="1:15" ht="26.25" customHeight="1">
      <c r="A273" s="18" t="s">
        <v>233</v>
      </c>
      <c r="B273" s="19" t="s">
        <v>3921</v>
      </c>
      <c r="C273" s="19" t="s">
        <v>3922</v>
      </c>
      <c r="D273" s="20" t="s">
        <v>3923</v>
      </c>
      <c r="E273" s="32" t="s">
        <v>5034</v>
      </c>
      <c r="F273" s="33" t="s">
        <v>53</v>
      </c>
      <c r="G273" s="23" t="s">
        <v>3925</v>
      </c>
      <c r="H273" s="24"/>
      <c r="I273" s="243" t="str">
        <f t="shared" si="0"/>
        <v>OK</v>
      </c>
      <c r="K273" s="263" t="s">
        <v>4617</v>
      </c>
      <c r="L273" s="268" t="s">
        <v>4699</v>
      </c>
      <c r="M273" s="250" t="s">
        <v>3474</v>
      </c>
      <c r="N273" s="278" t="s">
        <v>3923</v>
      </c>
      <c r="O273" s="176"/>
    </row>
    <row r="274" spans="1:15" ht="26.25" customHeight="1">
      <c r="A274" s="18" t="s">
        <v>105</v>
      </c>
      <c r="B274" s="19" t="s">
        <v>3850</v>
      </c>
      <c r="C274" s="19" t="s">
        <v>3851</v>
      </c>
      <c r="D274" s="20" t="s">
        <v>3852</v>
      </c>
      <c r="E274" s="32" t="s">
        <v>2272</v>
      </c>
      <c r="F274" s="33" t="s">
        <v>63</v>
      </c>
      <c r="G274" s="23" t="s">
        <v>3854</v>
      </c>
      <c r="H274" s="34"/>
      <c r="I274" s="243" t="str">
        <f t="shared" si="0"/>
        <v>OK</v>
      </c>
      <c r="K274" s="263" t="s">
        <v>4617</v>
      </c>
      <c r="L274" s="268" t="s">
        <v>4678</v>
      </c>
      <c r="M274" s="250" t="s">
        <v>1863</v>
      </c>
      <c r="N274" s="251" t="s">
        <v>3852</v>
      </c>
      <c r="O274" s="176"/>
    </row>
    <row r="275" spans="1:15" ht="26.25" customHeight="1">
      <c r="A275" s="18" t="s">
        <v>27</v>
      </c>
      <c r="B275" s="19" t="s">
        <v>3562</v>
      </c>
      <c r="C275" s="19" t="s">
        <v>3563</v>
      </c>
      <c r="D275" s="20" t="s">
        <v>3564</v>
      </c>
      <c r="E275" s="32" t="s">
        <v>5000</v>
      </c>
      <c r="F275" s="22" t="s">
        <v>53</v>
      </c>
      <c r="G275" s="23" t="s">
        <v>3565</v>
      </c>
      <c r="H275" s="34"/>
      <c r="I275" s="243" t="str">
        <f t="shared" si="0"/>
        <v>OK</v>
      </c>
      <c r="K275" s="263" t="s">
        <v>4617</v>
      </c>
      <c r="L275" s="268" t="s">
        <v>4750</v>
      </c>
      <c r="M275" s="250" t="s">
        <v>4748</v>
      </c>
      <c r="N275" s="251" t="s">
        <v>3564</v>
      </c>
      <c r="O275" s="176"/>
    </row>
    <row r="276" spans="1:15" ht="26.25" customHeight="1">
      <c r="A276" s="18" t="s">
        <v>27</v>
      </c>
      <c r="B276" s="19" t="s">
        <v>2299</v>
      </c>
      <c r="C276" s="19" t="s">
        <v>2300</v>
      </c>
      <c r="D276" s="20" t="s">
        <v>2301</v>
      </c>
      <c r="E276" s="32" t="s">
        <v>5000</v>
      </c>
      <c r="F276" s="22" t="s">
        <v>42</v>
      </c>
      <c r="G276" s="23" t="s">
        <v>2302</v>
      </c>
      <c r="H276" s="24"/>
      <c r="I276" s="243" t="str">
        <f t="shared" si="0"/>
        <v>OK</v>
      </c>
      <c r="K276" s="263" t="s">
        <v>4617</v>
      </c>
      <c r="L276" s="268" t="s">
        <v>4747</v>
      </c>
      <c r="M276" s="250" t="s">
        <v>4748</v>
      </c>
      <c r="N276" s="278" t="s">
        <v>2301</v>
      </c>
      <c r="O276" s="176"/>
    </row>
    <row r="277" spans="1:15" ht="26.25" customHeight="1">
      <c r="A277" s="18" t="s">
        <v>37</v>
      </c>
      <c r="B277" s="19" t="s">
        <v>2630</v>
      </c>
      <c r="C277" s="19" t="s">
        <v>2631</v>
      </c>
      <c r="D277" s="20" t="s">
        <v>2632</v>
      </c>
      <c r="E277" s="32" t="s">
        <v>52</v>
      </c>
      <c r="F277" s="22" t="s">
        <v>42</v>
      </c>
      <c r="G277" s="23" t="s">
        <v>2633</v>
      </c>
      <c r="H277" s="34"/>
      <c r="I277" s="243" t="str">
        <f t="shared" si="0"/>
        <v>OK</v>
      </c>
      <c r="K277" s="263" t="s">
        <v>4617</v>
      </c>
      <c r="L277" s="268" t="s">
        <v>2630</v>
      </c>
      <c r="M277" s="250" t="s">
        <v>4689</v>
      </c>
      <c r="N277" s="251" t="s">
        <v>2632</v>
      </c>
      <c r="O277" s="176"/>
    </row>
    <row r="278" spans="1:15" ht="26.25" customHeight="1">
      <c r="A278" s="18" t="s">
        <v>105</v>
      </c>
      <c r="B278" s="31" t="s">
        <v>115</v>
      </c>
      <c r="C278" s="19" t="s">
        <v>116</v>
      </c>
      <c r="D278" s="20" t="s">
        <v>117</v>
      </c>
      <c r="E278" s="21" t="s">
        <v>5092</v>
      </c>
      <c r="F278" s="33" t="s">
        <v>42</v>
      </c>
      <c r="G278" s="23" t="s">
        <v>119</v>
      </c>
      <c r="H278" s="24"/>
      <c r="I278" s="243" t="str">
        <f t="shared" si="0"/>
        <v>OK</v>
      </c>
      <c r="K278" s="276" t="s">
        <v>87</v>
      </c>
      <c r="L278" s="277" t="s">
        <v>5093</v>
      </c>
      <c r="M278" s="261" t="s">
        <v>4830</v>
      </c>
      <c r="N278" s="262" t="s">
        <v>117</v>
      </c>
      <c r="O278" s="176"/>
    </row>
    <row r="279" spans="1:15" ht="26.25" customHeight="1">
      <c r="A279" s="18" t="s">
        <v>37</v>
      </c>
      <c r="B279" s="19" t="s">
        <v>2398</v>
      </c>
      <c r="C279" s="19" t="s">
        <v>2399</v>
      </c>
      <c r="D279" s="20" t="s">
        <v>2400</v>
      </c>
      <c r="E279" s="32" t="s">
        <v>2890</v>
      </c>
      <c r="F279" s="22" t="s">
        <v>63</v>
      </c>
      <c r="G279" s="23" t="s">
        <v>2401</v>
      </c>
      <c r="H279" s="24"/>
      <c r="I279" s="243" t="str">
        <f t="shared" si="0"/>
        <v>OK</v>
      </c>
      <c r="K279" s="263" t="s">
        <v>4617</v>
      </c>
      <c r="L279" s="268" t="s">
        <v>2398</v>
      </c>
      <c r="M279" s="250" t="s">
        <v>4661</v>
      </c>
      <c r="N279" s="251" t="s">
        <v>2400</v>
      </c>
      <c r="O279" s="176"/>
    </row>
    <row r="280" spans="1:15" ht="26.25" customHeight="1">
      <c r="A280" s="18" t="s">
        <v>105</v>
      </c>
      <c r="B280" s="31" t="s">
        <v>4290</v>
      </c>
      <c r="C280" s="19" t="s">
        <v>4291</v>
      </c>
      <c r="D280" s="20" t="s">
        <v>4292</v>
      </c>
      <c r="E280" s="21" t="s">
        <v>5000</v>
      </c>
      <c r="F280" s="33" t="s">
        <v>53</v>
      </c>
      <c r="G280" s="23" t="s">
        <v>4293</v>
      </c>
      <c r="H280" s="24"/>
      <c r="I280" s="243" t="str">
        <f t="shared" si="0"/>
        <v>OK</v>
      </c>
      <c r="K280" s="276" t="s">
        <v>87</v>
      </c>
      <c r="L280" s="277" t="s">
        <v>4290</v>
      </c>
      <c r="M280" s="261" t="s">
        <v>4814</v>
      </c>
      <c r="N280" s="262" t="s">
        <v>4292</v>
      </c>
      <c r="O280" s="176"/>
    </row>
    <row r="281" spans="1:15" ht="26.25" customHeight="1">
      <c r="A281" s="18" t="s">
        <v>2181</v>
      </c>
      <c r="B281" s="31" t="s">
        <v>3917</v>
      </c>
      <c r="C281" s="19" t="s">
        <v>3918</v>
      </c>
      <c r="D281" s="20" t="s">
        <v>3919</v>
      </c>
      <c r="E281" s="21" t="s">
        <v>4952</v>
      </c>
      <c r="F281" s="33" t="s">
        <v>53</v>
      </c>
      <c r="G281" s="23" t="s">
        <v>3920</v>
      </c>
      <c r="H281" s="24"/>
      <c r="I281" s="243" t="str">
        <f t="shared" si="0"/>
        <v>OK</v>
      </c>
      <c r="K281" s="276" t="s">
        <v>87</v>
      </c>
      <c r="L281" s="277" t="s">
        <v>4799</v>
      </c>
      <c r="M281" s="261" t="s">
        <v>4800</v>
      </c>
      <c r="N281" s="262" t="s">
        <v>3919</v>
      </c>
      <c r="O281" s="176"/>
    </row>
    <row r="282" spans="1:15" ht="26.25" customHeight="1">
      <c r="A282" s="18" t="s">
        <v>81</v>
      </c>
      <c r="B282" s="31" t="s">
        <v>1782</v>
      </c>
      <c r="C282" s="19" t="s">
        <v>1783</v>
      </c>
      <c r="D282" s="20" t="s">
        <v>1784</v>
      </c>
      <c r="E282" s="21" t="s">
        <v>186</v>
      </c>
      <c r="F282" s="33" t="s">
        <v>1086</v>
      </c>
      <c r="G282" s="23" t="s">
        <v>1785</v>
      </c>
      <c r="H282" s="24"/>
      <c r="I282" s="243" t="str">
        <f t="shared" si="0"/>
        <v>OK</v>
      </c>
      <c r="K282" s="276" t="s">
        <v>87</v>
      </c>
      <c r="L282" s="279" t="s">
        <v>5094</v>
      </c>
      <c r="M282" s="261" t="s">
        <v>4852</v>
      </c>
      <c r="N282" s="262" t="s">
        <v>1784</v>
      </c>
      <c r="O282" s="176"/>
    </row>
    <row r="283" spans="1:15" ht="26.25" customHeight="1">
      <c r="A283" s="18" t="s">
        <v>132</v>
      </c>
      <c r="B283" s="19" t="s">
        <v>1670</v>
      </c>
      <c r="C283" s="19" t="s">
        <v>1671</v>
      </c>
      <c r="D283" s="20" t="s">
        <v>1672</v>
      </c>
      <c r="E283" s="32" t="s">
        <v>52</v>
      </c>
      <c r="F283" s="22" t="s">
        <v>42</v>
      </c>
      <c r="G283" s="23" t="s">
        <v>1673</v>
      </c>
      <c r="H283" s="24"/>
      <c r="I283" s="243" t="str">
        <f t="shared" si="0"/>
        <v>OK</v>
      </c>
      <c r="K283" s="263" t="s">
        <v>4337</v>
      </c>
      <c r="L283" s="268" t="s">
        <v>4417</v>
      </c>
      <c r="M283" s="250" t="s">
        <v>4418</v>
      </c>
      <c r="N283" s="251" t="s">
        <v>1672</v>
      </c>
      <c r="O283" s="176"/>
    </row>
    <row r="284" spans="1:15" ht="26.25" customHeight="1">
      <c r="A284" s="18" t="s">
        <v>13</v>
      </c>
      <c r="B284" s="19" t="s">
        <v>2493</v>
      </c>
      <c r="C284" s="19" t="s">
        <v>499</v>
      </c>
      <c r="D284" s="20" t="s">
        <v>2494</v>
      </c>
      <c r="E284" s="32" t="s">
        <v>52</v>
      </c>
      <c r="F284" s="22" t="s">
        <v>1086</v>
      </c>
      <c r="G284" s="23" t="s">
        <v>2495</v>
      </c>
      <c r="H284" s="24"/>
      <c r="I284" s="243" t="str">
        <f t="shared" si="0"/>
        <v>OK</v>
      </c>
      <c r="K284" s="263" t="s">
        <v>4337</v>
      </c>
      <c r="L284" s="268" t="s">
        <v>2493</v>
      </c>
      <c r="M284" s="250" t="s">
        <v>255</v>
      </c>
      <c r="N284" s="251" t="s">
        <v>2494</v>
      </c>
      <c r="O284" s="176"/>
    </row>
    <row r="285" spans="1:15" ht="26.25" customHeight="1">
      <c r="A285" s="18" t="s">
        <v>248</v>
      </c>
      <c r="B285" s="19" t="s">
        <v>1736</v>
      </c>
      <c r="C285" s="19" t="s">
        <v>124</v>
      </c>
      <c r="D285" s="20" t="s">
        <v>1737</v>
      </c>
      <c r="E285" s="32" t="s">
        <v>52</v>
      </c>
      <c r="F285" s="33" t="s">
        <v>42</v>
      </c>
      <c r="G285" s="23" t="s">
        <v>1738</v>
      </c>
      <c r="H285" s="24"/>
      <c r="I285" s="243" t="str">
        <f t="shared" si="0"/>
        <v>OK</v>
      </c>
      <c r="K285" s="263" t="s">
        <v>4337</v>
      </c>
      <c r="L285" s="268" t="s">
        <v>1736</v>
      </c>
      <c r="M285" s="250" t="s">
        <v>255</v>
      </c>
      <c r="N285" s="251" t="s">
        <v>1737</v>
      </c>
      <c r="O285" s="176"/>
    </row>
    <row r="286" spans="1:15" ht="26.25" customHeight="1">
      <c r="A286" s="18" t="s">
        <v>37</v>
      </c>
      <c r="B286" s="19" t="s">
        <v>3366</v>
      </c>
      <c r="C286" s="19" t="s">
        <v>124</v>
      </c>
      <c r="D286" s="20" t="s">
        <v>3367</v>
      </c>
      <c r="E286" s="32" t="s">
        <v>52</v>
      </c>
      <c r="F286" s="22" t="s">
        <v>42</v>
      </c>
      <c r="G286" s="23" t="s">
        <v>3368</v>
      </c>
      <c r="H286" s="34"/>
      <c r="I286" s="243" t="str">
        <f t="shared" si="0"/>
        <v>OK</v>
      </c>
      <c r="K286" s="263" t="s">
        <v>4337</v>
      </c>
      <c r="L286" s="268" t="s">
        <v>4422</v>
      </c>
      <c r="M286" s="250" t="s">
        <v>361</v>
      </c>
      <c r="N286" s="251" t="s">
        <v>3367</v>
      </c>
      <c r="O286" s="176"/>
    </row>
    <row r="287" spans="1:15" ht="26.25" customHeight="1">
      <c r="A287" s="18" t="s">
        <v>105</v>
      </c>
      <c r="B287" s="19" t="s">
        <v>1765</v>
      </c>
      <c r="C287" s="19" t="s">
        <v>124</v>
      </c>
      <c r="D287" s="20" t="s">
        <v>1766</v>
      </c>
      <c r="E287" s="32" t="s">
        <v>4957</v>
      </c>
      <c r="F287" s="33" t="s">
        <v>1290</v>
      </c>
      <c r="G287" s="23" t="s">
        <v>1767</v>
      </c>
      <c r="H287" s="34"/>
      <c r="I287" s="243" t="str">
        <f t="shared" si="0"/>
        <v>OK</v>
      </c>
      <c r="K287" s="263" t="s">
        <v>4337</v>
      </c>
      <c r="L287" s="268" t="s">
        <v>4430</v>
      </c>
      <c r="M287" s="250" t="s">
        <v>255</v>
      </c>
      <c r="N287" s="251" t="s">
        <v>1766</v>
      </c>
      <c r="O287" s="176"/>
    </row>
    <row r="288" spans="1:15" ht="26.25" customHeight="1">
      <c r="A288" s="18" t="s">
        <v>175</v>
      </c>
      <c r="B288" s="19" t="s">
        <v>2691</v>
      </c>
      <c r="C288" s="19" t="s">
        <v>45</v>
      </c>
      <c r="D288" s="20" t="s">
        <v>2692</v>
      </c>
      <c r="E288" s="32" t="s">
        <v>178</v>
      </c>
      <c r="F288" s="33" t="s">
        <v>42</v>
      </c>
      <c r="G288" s="23" t="s">
        <v>2693</v>
      </c>
      <c r="H288" s="24"/>
      <c r="I288" s="243" t="str">
        <f t="shared" si="0"/>
        <v>OK</v>
      </c>
      <c r="K288" s="276" t="s">
        <v>87</v>
      </c>
      <c r="L288" s="280" t="s">
        <v>2691</v>
      </c>
      <c r="M288" s="259" t="s">
        <v>45</v>
      </c>
      <c r="N288" s="260" t="s">
        <v>2692</v>
      </c>
      <c r="O288" s="176"/>
    </row>
    <row r="289" spans="1:15" ht="26.25" customHeight="1">
      <c r="A289" s="18" t="s">
        <v>132</v>
      </c>
      <c r="B289" s="19" t="s">
        <v>1262</v>
      </c>
      <c r="C289" s="19" t="s">
        <v>1263</v>
      </c>
      <c r="D289" s="20" t="s">
        <v>1264</v>
      </c>
      <c r="E289" s="32" t="s">
        <v>52</v>
      </c>
      <c r="F289" s="22" t="s">
        <v>53</v>
      </c>
      <c r="G289" s="23" t="s">
        <v>1265</v>
      </c>
      <c r="H289" s="34"/>
      <c r="I289" s="243" t="str">
        <f t="shared" si="0"/>
        <v>OK</v>
      </c>
      <c r="K289" s="263" t="s">
        <v>4337</v>
      </c>
      <c r="L289" s="268" t="s">
        <v>1262</v>
      </c>
      <c r="M289" s="250" t="s">
        <v>1263</v>
      </c>
      <c r="N289" s="251" t="s">
        <v>1264</v>
      </c>
      <c r="O289" s="176"/>
    </row>
    <row r="290" spans="1:15" ht="26.25" customHeight="1">
      <c r="A290" s="18" t="s">
        <v>132</v>
      </c>
      <c r="B290" s="19" t="s">
        <v>2953</v>
      </c>
      <c r="C290" s="19" t="s">
        <v>141</v>
      </c>
      <c r="D290" s="20" t="s">
        <v>2954</v>
      </c>
      <c r="E290" s="32" t="s">
        <v>4989</v>
      </c>
      <c r="F290" s="22" t="s">
        <v>42</v>
      </c>
      <c r="G290" s="23" t="s">
        <v>2956</v>
      </c>
      <c r="H290" s="24"/>
      <c r="I290" s="243" t="str">
        <f t="shared" si="0"/>
        <v>OK</v>
      </c>
      <c r="K290" s="263" t="s">
        <v>4337</v>
      </c>
      <c r="L290" s="268" t="s">
        <v>4564</v>
      </c>
      <c r="M290" s="250" t="s">
        <v>558</v>
      </c>
      <c r="N290" s="251" t="s">
        <v>2954</v>
      </c>
      <c r="O290" s="176"/>
    </row>
    <row r="291" spans="1:15" ht="26.25" customHeight="1">
      <c r="A291" s="18" t="s">
        <v>37</v>
      </c>
      <c r="B291" s="19" t="s">
        <v>2873</v>
      </c>
      <c r="C291" s="19" t="s">
        <v>173</v>
      </c>
      <c r="D291" s="20" t="s">
        <v>2874</v>
      </c>
      <c r="E291" s="32" t="s">
        <v>52</v>
      </c>
      <c r="F291" s="22" t="s">
        <v>42</v>
      </c>
      <c r="G291" s="23" t="s">
        <v>2875</v>
      </c>
      <c r="H291" s="24"/>
      <c r="I291" s="243" t="str">
        <f t="shared" si="0"/>
        <v>OK</v>
      </c>
      <c r="K291" s="263" t="s">
        <v>4337</v>
      </c>
      <c r="L291" s="268" t="s">
        <v>4543</v>
      </c>
      <c r="M291" s="250" t="s">
        <v>361</v>
      </c>
      <c r="N291" s="251" t="s">
        <v>2874</v>
      </c>
      <c r="O291" s="176"/>
    </row>
    <row r="292" spans="1:15" ht="36">
      <c r="A292" s="18" t="s">
        <v>13</v>
      </c>
      <c r="B292" s="19" t="s">
        <v>3053</v>
      </c>
      <c r="C292" s="19" t="s">
        <v>124</v>
      </c>
      <c r="D292" s="20" t="s">
        <v>3054</v>
      </c>
      <c r="E292" s="32" t="s">
        <v>52</v>
      </c>
      <c r="F292" s="22" t="s">
        <v>42</v>
      </c>
      <c r="G292" s="23" t="s">
        <v>3055</v>
      </c>
      <c r="I292" s="243" t="str">
        <f t="shared" si="0"/>
        <v>OK</v>
      </c>
      <c r="K292" s="263" t="s">
        <v>4337</v>
      </c>
      <c r="L292" s="268" t="s">
        <v>3053</v>
      </c>
      <c r="M292" s="250" t="s">
        <v>255</v>
      </c>
      <c r="N292" s="251" t="s">
        <v>3054</v>
      </c>
      <c r="O292" s="176"/>
    </row>
    <row r="293" spans="1:15" ht="36">
      <c r="A293" s="18" t="s">
        <v>132</v>
      </c>
      <c r="B293" s="19" t="s">
        <v>1748</v>
      </c>
      <c r="C293" s="19" t="s">
        <v>141</v>
      </c>
      <c r="D293" s="20" t="s">
        <v>1749</v>
      </c>
      <c r="E293" s="32" t="s">
        <v>178</v>
      </c>
      <c r="F293" s="22" t="s">
        <v>42</v>
      </c>
      <c r="G293" s="23" t="s">
        <v>1750</v>
      </c>
      <c r="I293" s="243" t="str">
        <f t="shared" si="0"/>
        <v>OK</v>
      </c>
      <c r="K293" s="263" t="s">
        <v>4337</v>
      </c>
      <c r="L293" s="268" t="s">
        <v>1748</v>
      </c>
      <c r="M293" s="250" t="s">
        <v>558</v>
      </c>
      <c r="N293" s="251" t="s">
        <v>1749</v>
      </c>
      <c r="O293" s="176"/>
    </row>
    <row r="294" spans="1:15" ht="60">
      <c r="A294" s="18" t="s">
        <v>81</v>
      </c>
      <c r="B294" s="19" t="s">
        <v>2987</v>
      </c>
      <c r="C294" s="19" t="s">
        <v>1789</v>
      </c>
      <c r="D294" s="20" t="s">
        <v>2988</v>
      </c>
      <c r="E294" s="32" t="s">
        <v>52</v>
      </c>
      <c r="F294" s="33" t="s">
        <v>31</v>
      </c>
      <c r="G294" s="23" t="s">
        <v>2989</v>
      </c>
      <c r="I294" s="243" t="str">
        <f t="shared" si="0"/>
        <v>OK</v>
      </c>
      <c r="K294" s="263" t="s">
        <v>4337</v>
      </c>
      <c r="L294" s="268" t="s">
        <v>4572</v>
      </c>
      <c r="M294" s="250" t="s">
        <v>1042</v>
      </c>
      <c r="N294" s="251" t="s">
        <v>2988</v>
      </c>
      <c r="O294" s="176"/>
    </row>
    <row r="295" spans="1:15" ht="24">
      <c r="A295" s="18" t="s">
        <v>81</v>
      </c>
      <c r="B295" s="19" t="s">
        <v>1191</v>
      </c>
      <c r="C295" s="19" t="s">
        <v>124</v>
      </c>
      <c r="D295" s="20" t="s">
        <v>1192</v>
      </c>
      <c r="E295" s="32" t="s">
        <v>52</v>
      </c>
      <c r="F295" s="33" t="s">
        <v>42</v>
      </c>
      <c r="G295" s="23" t="s">
        <v>1193</v>
      </c>
      <c r="I295" s="243" t="str">
        <f t="shared" si="0"/>
        <v>OK</v>
      </c>
      <c r="K295" s="263" t="s">
        <v>4337</v>
      </c>
      <c r="L295" s="268" t="s">
        <v>1191</v>
      </c>
      <c r="M295" s="250" t="s">
        <v>255</v>
      </c>
      <c r="N295" s="278" t="s">
        <v>1192</v>
      </c>
      <c r="O295" s="176"/>
    </row>
    <row r="296" spans="1:15" ht="36">
      <c r="A296" s="18" t="s">
        <v>27</v>
      </c>
      <c r="B296" s="19" t="s">
        <v>1331</v>
      </c>
      <c r="C296" s="19" t="s">
        <v>141</v>
      </c>
      <c r="D296" s="20" t="s">
        <v>1332</v>
      </c>
      <c r="E296" s="32" t="s">
        <v>52</v>
      </c>
      <c r="F296" s="22" t="s">
        <v>42</v>
      </c>
      <c r="G296" s="23" t="s">
        <v>1333</v>
      </c>
      <c r="I296" s="243" t="str">
        <f t="shared" si="0"/>
        <v>OK</v>
      </c>
      <c r="K296" s="263" t="s">
        <v>4337</v>
      </c>
      <c r="L296" s="268" t="s">
        <v>1331</v>
      </c>
      <c r="M296" s="250" t="s">
        <v>1456</v>
      </c>
      <c r="N296" s="251" t="s">
        <v>1332</v>
      </c>
      <c r="O296" s="176"/>
    </row>
    <row r="297" spans="1:15" ht="48">
      <c r="A297" s="18" t="s">
        <v>13</v>
      </c>
      <c r="B297" s="19" t="s">
        <v>3012</v>
      </c>
      <c r="C297" s="19" t="s">
        <v>2445</v>
      </c>
      <c r="D297" s="20" t="s">
        <v>3013</v>
      </c>
      <c r="E297" s="32" t="s">
        <v>52</v>
      </c>
      <c r="F297" s="22" t="s">
        <v>42</v>
      </c>
      <c r="G297" s="23" t="s">
        <v>3014</v>
      </c>
      <c r="I297" s="243" t="str">
        <f t="shared" si="0"/>
        <v>OK</v>
      </c>
      <c r="K297" s="263" t="s">
        <v>4337</v>
      </c>
      <c r="L297" s="268" t="s">
        <v>4574</v>
      </c>
      <c r="M297" s="250" t="s">
        <v>2445</v>
      </c>
      <c r="N297" s="251" t="s">
        <v>3013</v>
      </c>
      <c r="O297" s="176"/>
    </row>
    <row r="298" spans="1:15" ht="36">
      <c r="A298" s="18" t="s">
        <v>13</v>
      </c>
      <c r="B298" s="19" t="s">
        <v>1901</v>
      </c>
      <c r="C298" s="19" t="s">
        <v>124</v>
      </c>
      <c r="D298" s="20" t="s">
        <v>1902</v>
      </c>
      <c r="E298" s="32" t="s">
        <v>186</v>
      </c>
      <c r="F298" s="22" t="s">
        <v>42</v>
      </c>
      <c r="G298" s="23" t="s">
        <v>1903</v>
      </c>
      <c r="I298" s="243" t="str">
        <f t="shared" si="0"/>
        <v>OK</v>
      </c>
      <c r="K298" s="263" t="s">
        <v>4337</v>
      </c>
      <c r="L298" s="268" t="s">
        <v>1901</v>
      </c>
      <c r="M298" s="250" t="s">
        <v>361</v>
      </c>
      <c r="N298" s="251" t="s">
        <v>1902</v>
      </c>
      <c r="O298" s="176"/>
    </row>
    <row r="299" spans="1:15" ht="96">
      <c r="A299" s="18" t="s">
        <v>1375</v>
      </c>
      <c r="B299" s="19" t="s">
        <v>2961</v>
      </c>
      <c r="C299" s="19" t="s">
        <v>141</v>
      </c>
      <c r="D299" s="20" t="s">
        <v>2962</v>
      </c>
      <c r="E299" s="32" t="s">
        <v>5030</v>
      </c>
      <c r="F299" s="22" t="s">
        <v>42</v>
      </c>
      <c r="G299" s="23" t="s">
        <v>2964</v>
      </c>
      <c r="I299" s="243" t="str">
        <f t="shared" si="0"/>
        <v>OK</v>
      </c>
      <c r="K299" s="263" t="s">
        <v>4337</v>
      </c>
      <c r="L299" s="273" t="s">
        <v>4568</v>
      </c>
      <c r="M299" s="274" t="s">
        <v>558</v>
      </c>
      <c r="N299" s="275" t="s">
        <v>2962</v>
      </c>
      <c r="O299" s="176"/>
    </row>
    <row r="300" spans="1:15" ht="36">
      <c r="A300" s="18" t="s">
        <v>233</v>
      </c>
      <c r="B300" s="19" t="s">
        <v>3360</v>
      </c>
      <c r="C300" s="19" t="s">
        <v>141</v>
      </c>
      <c r="D300" s="20" t="s">
        <v>3361</v>
      </c>
      <c r="E300" s="32" t="s">
        <v>186</v>
      </c>
      <c r="F300" s="22" t="s">
        <v>42</v>
      </c>
      <c r="G300" s="23" t="s">
        <v>3362</v>
      </c>
      <c r="I300" s="243" t="str">
        <f t="shared" si="0"/>
        <v>OK</v>
      </c>
      <c r="K300" s="276" t="s">
        <v>87</v>
      </c>
      <c r="L300" s="280" t="s">
        <v>4892</v>
      </c>
      <c r="M300" s="259" t="s">
        <v>141</v>
      </c>
      <c r="N300" s="260" t="s">
        <v>3361</v>
      </c>
      <c r="O300" s="176"/>
    </row>
    <row r="301" spans="1:15" ht="36">
      <c r="A301" s="18" t="s">
        <v>37</v>
      </c>
      <c r="B301" s="19" t="s">
        <v>1814</v>
      </c>
      <c r="C301" s="19" t="s">
        <v>1789</v>
      </c>
      <c r="D301" s="20" t="s">
        <v>1815</v>
      </c>
      <c r="E301" s="32" t="s">
        <v>178</v>
      </c>
      <c r="F301" s="22" t="s">
        <v>31</v>
      </c>
      <c r="G301" s="23" t="s">
        <v>1816</v>
      </c>
      <c r="I301" s="243" t="str">
        <f t="shared" si="0"/>
        <v>OK</v>
      </c>
      <c r="K301" s="263" t="s">
        <v>4337</v>
      </c>
      <c r="L301" s="268" t="s">
        <v>1814</v>
      </c>
      <c r="M301" s="250" t="s">
        <v>1042</v>
      </c>
      <c r="N301" s="251" t="s">
        <v>1815</v>
      </c>
      <c r="O301" s="176"/>
    </row>
    <row r="302" spans="1:15" ht="24">
      <c r="A302" s="18" t="s">
        <v>175</v>
      </c>
      <c r="B302" s="19" t="s">
        <v>3221</v>
      </c>
      <c r="C302" s="19" t="s">
        <v>141</v>
      </c>
      <c r="D302" s="20" t="s">
        <v>3222</v>
      </c>
      <c r="E302" s="32" t="s">
        <v>178</v>
      </c>
      <c r="F302" s="33" t="s">
        <v>42</v>
      </c>
      <c r="G302" s="23" t="s">
        <v>3223</v>
      </c>
      <c r="I302" s="243" t="str">
        <f t="shared" si="0"/>
        <v>OK</v>
      </c>
      <c r="K302" s="263" t="s">
        <v>4337</v>
      </c>
      <c r="L302" s="268" t="s">
        <v>3221</v>
      </c>
      <c r="M302" s="250" t="s">
        <v>558</v>
      </c>
      <c r="N302" s="251" t="s">
        <v>3222</v>
      </c>
      <c r="O302" s="176"/>
    </row>
    <row r="303" spans="1:15" ht="60">
      <c r="A303" s="18" t="s">
        <v>1375</v>
      </c>
      <c r="B303" s="19" t="s">
        <v>3478</v>
      </c>
      <c r="C303" s="19" t="s">
        <v>1162</v>
      </c>
      <c r="D303" s="20" t="s">
        <v>3479</v>
      </c>
      <c r="E303" s="32" t="s">
        <v>186</v>
      </c>
      <c r="F303" s="22" t="s">
        <v>31</v>
      </c>
      <c r="G303" s="23" t="s">
        <v>3480</v>
      </c>
      <c r="I303" s="243" t="str">
        <f t="shared" si="0"/>
        <v>OK</v>
      </c>
      <c r="K303" s="263" t="s">
        <v>4337</v>
      </c>
      <c r="L303" s="268" t="s">
        <v>4432</v>
      </c>
      <c r="M303" s="250" t="s">
        <v>1162</v>
      </c>
      <c r="N303" s="251" t="s">
        <v>3479</v>
      </c>
      <c r="O303" s="176"/>
    </row>
    <row r="304" spans="1:15" ht="36">
      <c r="A304" s="18" t="s">
        <v>105</v>
      </c>
      <c r="B304" s="31" t="s">
        <v>3045</v>
      </c>
      <c r="C304" s="19" t="s">
        <v>3046</v>
      </c>
      <c r="D304" s="20" t="s">
        <v>3047</v>
      </c>
      <c r="E304" s="21" t="s">
        <v>5095</v>
      </c>
      <c r="F304" s="33" t="s">
        <v>31</v>
      </c>
      <c r="G304" s="23" t="s">
        <v>3049</v>
      </c>
      <c r="I304" s="243" t="str">
        <f t="shared" si="0"/>
        <v>OK</v>
      </c>
      <c r="K304" s="276" t="s">
        <v>87</v>
      </c>
      <c r="L304" s="281" t="s">
        <v>3045</v>
      </c>
      <c r="M304" s="254" t="s">
        <v>3046</v>
      </c>
      <c r="N304" s="255" t="s">
        <v>3047</v>
      </c>
      <c r="O304" s="176"/>
    </row>
    <row r="305" spans="1:15" ht="24">
      <c r="A305" s="18" t="s">
        <v>1197</v>
      </c>
      <c r="B305" s="19" t="s">
        <v>3163</v>
      </c>
      <c r="C305" s="19" t="s">
        <v>124</v>
      </c>
      <c r="D305" s="20" t="s">
        <v>3164</v>
      </c>
      <c r="E305" s="32" t="s">
        <v>52</v>
      </c>
      <c r="F305" s="33" t="s">
        <v>42</v>
      </c>
      <c r="G305" s="23" t="s">
        <v>3165</v>
      </c>
      <c r="I305" s="243" t="str">
        <f t="shared" si="0"/>
        <v>OK</v>
      </c>
      <c r="K305" s="263" t="s">
        <v>4337</v>
      </c>
      <c r="L305" s="268" t="s">
        <v>4596</v>
      </c>
      <c r="M305" s="250" t="s">
        <v>255</v>
      </c>
      <c r="N305" s="251" t="s">
        <v>3164</v>
      </c>
      <c r="O305" s="176"/>
    </row>
    <row r="306" spans="1:15" ht="48">
      <c r="A306" s="18" t="s">
        <v>37</v>
      </c>
      <c r="B306" s="19" t="s">
        <v>38</v>
      </c>
      <c r="C306" s="19" t="s">
        <v>39</v>
      </c>
      <c r="D306" s="20" t="s">
        <v>40</v>
      </c>
      <c r="E306" s="32" t="s">
        <v>5000</v>
      </c>
      <c r="F306" s="22" t="s">
        <v>42</v>
      </c>
      <c r="G306" s="23" t="s">
        <v>43</v>
      </c>
      <c r="I306" s="243" t="str">
        <f t="shared" si="0"/>
        <v>OK</v>
      </c>
      <c r="K306" s="263" t="s">
        <v>4337</v>
      </c>
      <c r="L306" s="268" t="s">
        <v>38</v>
      </c>
      <c r="M306" s="250" t="s">
        <v>4340</v>
      </c>
      <c r="N306" s="251" t="s">
        <v>40</v>
      </c>
      <c r="O306" s="176"/>
    </row>
    <row r="307" spans="1:15" ht="36">
      <c r="A307" s="18" t="s">
        <v>248</v>
      </c>
      <c r="B307" s="19" t="s">
        <v>2282</v>
      </c>
      <c r="C307" s="19" t="s">
        <v>168</v>
      </c>
      <c r="D307" s="20" t="s">
        <v>2283</v>
      </c>
      <c r="E307" s="32" t="s">
        <v>2890</v>
      </c>
      <c r="F307" s="33" t="s">
        <v>31</v>
      </c>
      <c r="G307" s="23" t="s">
        <v>2285</v>
      </c>
      <c r="I307" s="243" t="str">
        <f t="shared" si="0"/>
        <v>OK</v>
      </c>
      <c r="K307" s="263" t="s">
        <v>4337</v>
      </c>
      <c r="L307" s="268" t="s">
        <v>2282</v>
      </c>
      <c r="M307" s="250" t="s">
        <v>840</v>
      </c>
      <c r="N307" s="251" t="s">
        <v>2283</v>
      </c>
      <c r="O307" s="176"/>
    </row>
    <row r="308" spans="1:15" ht="48">
      <c r="A308" s="18" t="s">
        <v>132</v>
      </c>
      <c r="B308" s="19" t="s">
        <v>2658</v>
      </c>
      <c r="C308" s="19" t="s">
        <v>124</v>
      </c>
      <c r="D308" s="20" t="s">
        <v>2659</v>
      </c>
      <c r="E308" s="32" t="s">
        <v>52</v>
      </c>
      <c r="F308" s="22" t="s">
        <v>31</v>
      </c>
      <c r="G308" s="23" t="s">
        <v>2660</v>
      </c>
      <c r="I308" s="243" t="str">
        <f t="shared" si="0"/>
        <v>OK</v>
      </c>
      <c r="K308" s="263" t="s">
        <v>4337</v>
      </c>
      <c r="L308" s="268" t="s">
        <v>2658</v>
      </c>
      <c r="M308" s="250" t="s">
        <v>255</v>
      </c>
      <c r="N308" s="251" t="s">
        <v>2659</v>
      </c>
      <c r="O308" s="176"/>
    </row>
    <row r="309" spans="1:15">
      <c r="A309" s="18" t="s">
        <v>105</v>
      </c>
      <c r="B309" s="19" t="s">
        <v>3160</v>
      </c>
      <c r="C309" s="19" t="s">
        <v>124</v>
      </c>
      <c r="D309" s="20" t="s">
        <v>3161</v>
      </c>
      <c r="E309" s="32" t="s">
        <v>52</v>
      </c>
      <c r="F309" s="33" t="s">
        <v>42</v>
      </c>
      <c r="G309" s="23" t="s">
        <v>3162</v>
      </c>
      <c r="I309" s="243" t="str">
        <f t="shared" si="0"/>
        <v>OK</v>
      </c>
      <c r="K309" s="263" t="s">
        <v>4337</v>
      </c>
      <c r="L309" s="268" t="s">
        <v>3160</v>
      </c>
      <c r="M309" s="250" t="s">
        <v>255</v>
      </c>
      <c r="N309" s="251" t="s">
        <v>3161</v>
      </c>
      <c r="O309" s="176"/>
    </row>
    <row r="310" spans="1:15" ht="24">
      <c r="A310" s="18" t="s">
        <v>867</v>
      </c>
      <c r="B310" s="19" t="s">
        <v>2286</v>
      </c>
      <c r="C310" s="19" t="s">
        <v>2287</v>
      </c>
      <c r="D310" s="20" t="s">
        <v>2288</v>
      </c>
      <c r="E310" s="32" t="s">
        <v>186</v>
      </c>
      <c r="F310" s="33" t="s">
        <v>42</v>
      </c>
      <c r="G310" s="23" t="s">
        <v>2289</v>
      </c>
      <c r="I310" s="243" t="str">
        <f t="shared" si="0"/>
        <v>OK</v>
      </c>
      <c r="K310" s="263" t="s">
        <v>4337</v>
      </c>
      <c r="L310" s="268" t="s">
        <v>2286</v>
      </c>
      <c r="M310" s="250" t="s">
        <v>255</v>
      </c>
      <c r="N310" s="251" t="s">
        <v>2288</v>
      </c>
      <c r="O310" s="176"/>
    </row>
    <row r="311" spans="1:15" ht="36">
      <c r="A311" s="18" t="s">
        <v>48</v>
      </c>
      <c r="B311" s="19" t="s">
        <v>3117</v>
      </c>
      <c r="C311" s="19" t="s">
        <v>168</v>
      </c>
      <c r="D311" s="20" t="s">
        <v>3118</v>
      </c>
      <c r="E311" s="32" t="s">
        <v>52</v>
      </c>
      <c r="F311" s="33" t="s">
        <v>53</v>
      </c>
      <c r="G311" s="23" t="s">
        <v>3119</v>
      </c>
      <c r="I311" s="243" t="str">
        <f t="shared" si="0"/>
        <v>OK</v>
      </c>
      <c r="K311" s="263" t="s">
        <v>4337</v>
      </c>
      <c r="L311" s="268" t="s">
        <v>3117</v>
      </c>
      <c r="M311" s="250" t="s">
        <v>840</v>
      </c>
      <c r="N311" s="251" t="s">
        <v>3118</v>
      </c>
      <c r="O311" s="176"/>
    </row>
    <row r="312" spans="1:15" ht="36">
      <c r="A312" s="18" t="s">
        <v>175</v>
      </c>
      <c r="B312" s="19" t="s">
        <v>2034</v>
      </c>
      <c r="C312" s="19" t="s">
        <v>840</v>
      </c>
      <c r="D312" s="20" t="s">
        <v>2035</v>
      </c>
      <c r="E312" s="32" t="s">
        <v>178</v>
      </c>
      <c r="F312" s="33" t="s">
        <v>42</v>
      </c>
      <c r="G312" s="23" t="s">
        <v>2036</v>
      </c>
      <c r="I312" s="243" t="str">
        <f t="shared" si="0"/>
        <v>OK</v>
      </c>
      <c r="K312" s="263" t="s">
        <v>4337</v>
      </c>
      <c r="L312" s="268" t="s">
        <v>2034</v>
      </c>
      <c r="M312" s="250" t="s">
        <v>840</v>
      </c>
      <c r="N312" s="251" t="s">
        <v>2035</v>
      </c>
      <c r="O312" s="176"/>
    </row>
    <row r="313" spans="1:15" ht="48">
      <c r="A313" s="18" t="s">
        <v>132</v>
      </c>
      <c r="B313" s="19" t="s">
        <v>2067</v>
      </c>
      <c r="C313" s="19" t="s">
        <v>2068</v>
      </c>
      <c r="D313" s="20" t="s">
        <v>2069</v>
      </c>
      <c r="E313" s="32" t="s">
        <v>178</v>
      </c>
      <c r="F313" s="22" t="s">
        <v>31</v>
      </c>
      <c r="G313" s="23" t="s">
        <v>2070</v>
      </c>
      <c r="I313" s="243" t="str">
        <f t="shared" si="0"/>
        <v>OK</v>
      </c>
      <c r="K313" s="263" t="s">
        <v>4337</v>
      </c>
      <c r="L313" s="268" t="s">
        <v>2067</v>
      </c>
      <c r="M313" s="250" t="s">
        <v>5069</v>
      </c>
      <c r="N313" s="251" t="s">
        <v>2069</v>
      </c>
      <c r="O313" s="176"/>
    </row>
    <row r="314" spans="1:15" ht="48">
      <c r="A314" s="18" t="s">
        <v>175</v>
      </c>
      <c r="B314" s="19" t="s">
        <v>2262</v>
      </c>
      <c r="C314" s="19" t="s">
        <v>2263</v>
      </c>
      <c r="D314" s="20" t="s">
        <v>2264</v>
      </c>
      <c r="E314" s="32" t="s">
        <v>178</v>
      </c>
      <c r="F314" s="33" t="s">
        <v>31</v>
      </c>
      <c r="G314" s="23" t="s">
        <v>2265</v>
      </c>
      <c r="I314" s="243" t="str">
        <f t="shared" si="0"/>
        <v>OK</v>
      </c>
      <c r="K314" s="263" t="s">
        <v>4337</v>
      </c>
      <c r="L314" s="268" t="s">
        <v>2262</v>
      </c>
      <c r="M314" s="250" t="s">
        <v>4489</v>
      </c>
      <c r="N314" s="251" t="s">
        <v>2264</v>
      </c>
      <c r="O314" s="176"/>
    </row>
    <row r="315" spans="1:15" ht="36">
      <c r="A315" s="18" t="s">
        <v>248</v>
      </c>
      <c r="B315" s="19" t="s">
        <v>3225</v>
      </c>
      <c r="C315" s="19" t="s">
        <v>124</v>
      </c>
      <c r="D315" s="20" t="s">
        <v>3226</v>
      </c>
      <c r="E315" s="32" t="s">
        <v>52</v>
      </c>
      <c r="F315" s="33" t="s">
        <v>42</v>
      </c>
      <c r="G315" s="23" t="s">
        <v>3227</v>
      </c>
      <c r="I315" s="243" t="str">
        <f t="shared" si="0"/>
        <v>OK</v>
      </c>
      <c r="K315" s="263" t="s">
        <v>4337</v>
      </c>
      <c r="L315" s="268" t="s">
        <v>4602</v>
      </c>
      <c r="M315" s="250" t="s">
        <v>255</v>
      </c>
      <c r="N315" s="251" t="s">
        <v>3226</v>
      </c>
      <c r="O315" s="176"/>
    </row>
    <row r="316" spans="1:15" ht="24">
      <c r="A316" s="18" t="s">
        <v>81</v>
      </c>
      <c r="B316" s="19" t="s">
        <v>1057</v>
      </c>
      <c r="C316" s="19" t="s">
        <v>1058</v>
      </c>
      <c r="D316" s="20" t="s">
        <v>1059</v>
      </c>
      <c r="E316" s="32" t="s">
        <v>52</v>
      </c>
      <c r="F316" s="33" t="s">
        <v>42</v>
      </c>
      <c r="G316" s="23" t="s">
        <v>1060</v>
      </c>
      <c r="I316" s="243" t="str">
        <f t="shared" si="0"/>
        <v>OK</v>
      </c>
      <c r="K316" s="263" t="s">
        <v>4337</v>
      </c>
      <c r="L316" s="268" t="s">
        <v>1057</v>
      </c>
      <c r="M316" s="250" t="s">
        <v>1058</v>
      </c>
      <c r="N316" s="251" t="s">
        <v>1059</v>
      </c>
      <c r="O316" s="176"/>
    </row>
    <row r="317" spans="1:15" ht="36">
      <c r="A317" s="18" t="s">
        <v>132</v>
      </c>
      <c r="B317" s="19" t="s">
        <v>439</v>
      </c>
      <c r="C317" s="39" t="s">
        <v>440</v>
      </c>
      <c r="D317" s="20" t="s">
        <v>441</v>
      </c>
      <c r="E317" s="44" t="s">
        <v>5096</v>
      </c>
      <c r="F317" s="22" t="s">
        <v>53</v>
      </c>
      <c r="G317" s="41" t="s">
        <v>443</v>
      </c>
      <c r="I317" s="243" t="str">
        <f t="shared" si="0"/>
        <v>OK</v>
      </c>
      <c r="K317" s="263" t="s">
        <v>4337</v>
      </c>
      <c r="L317" s="268" t="s">
        <v>439</v>
      </c>
      <c r="M317" s="250" t="s">
        <v>4345</v>
      </c>
      <c r="N317" s="251" t="s">
        <v>441</v>
      </c>
      <c r="O317" s="176"/>
    </row>
    <row r="318" spans="1:15" ht="120">
      <c r="A318" s="18" t="s">
        <v>13</v>
      </c>
      <c r="B318" s="19" t="s">
        <v>3157</v>
      </c>
      <c r="C318" s="19" t="s">
        <v>1058</v>
      </c>
      <c r="D318" s="20" t="s">
        <v>3158</v>
      </c>
      <c r="E318" s="32" t="s">
        <v>52</v>
      </c>
      <c r="F318" s="22" t="s">
        <v>42</v>
      </c>
      <c r="G318" s="23" t="s">
        <v>3159</v>
      </c>
      <c r="I318" s="243" t="str">
        <f t="shared" si="0"/>
        <v>OK</v>
      </c>
      <c r="K318" s="263" t="s">
        <v>4337</v>
      </c>
      <c r="L318" s="268" t="s">
        <v>4592</v>
      </c>
      <c r="M318" s="250" t="s">
        <v>1058</v>
      </c>
      <c r="N318" s="251" t="s">
        <v>3158</v>
      </c>
      <c r="O318" s="176"/>
    </row>
    <row r="319" spans="1:15" ht="36">
      <c r="A319" s="18" t="s">
        <v>81</v>
      </c>
      <c r="B319" s="19" t="s">
        <v>1915</v>
      </c>
      <c r="C319" s="19" t="s">
        <v>124</v>
      </c>
      <c r="D319" s="20" t="s">
        <v>1916</v>
      </c>
      <c r="E319" s="32" t="s">
        <v>52</v>
      </c>
      <c r="F319" s="33" t="s">
        <v>42</v>
      </c>
      <c r="G319" s="23" t="s">
        <v>1917</v>
      </c>
      <c r="I319" s="243" t="str">
        <f t="shared" si="0"/>
        <v>OK</v>
      </c>
      <c r="K319" s="263" t="s">
        <v>4337</v>
      </c>
      <c r="L319" s="268" t="s">
        <v>4450</v>
      </c>
      <c r="M319" s="250" t="s">
        <v>255</v>
      </c>
      <c r="N319" s="251" t="s">
        <v>1916</v>
      </c>
      <c r="O319" s="176"/>
    </row>
    <row r="320" spans="1:15" ht="24">
      <c r="A320" s="18" t="s">
        <v>37</v>
      </c>
      <c r="B320" s="19" t="s">
        <v>5001</v>
      </c>
      <c r="C320" s="19" t="s">
        <v>124</v>
      </c>
      <c r="D320" s="20" t="s">
        <v>125</v>
      </c>
      <c r="E320" s="32" t="s">
        <v>2504</v>
      </c>
      <c r="F320" s="22" t="s">
        <v>42</v>
      </c>
      <c r="G320" s="23" t="s">
        <v>127</v>
      </c>
      <c r="I320" s="243" t="str">
        <f t="shared" si="0"/>
        <v>OK</v>
      </c>
      <c r="K320" s="263" t="s">
        <v>4337</v>
      </c>
      <c r="L320" s="268" t="s">
        <v>123</v>
      </c>
      <c r="M320" s="250" t="s">
        <v>361</v>
      </c>
      <c r="N320" s="251" t="s">
        <v>125</v>
      </c>
      <c r="O320" s="176"/>
    </row>
    <row r="321" spans="1:15" ht="36">
      <c r="A321" s="18" t="s">
        <v>1375</v>
      </c>
      <c r="B321" s="19" t="s">
        <v>3133</v>
      </c>
      <c r="C321" s="19" t="s">
        <v>124</v>
      </c>
      <c r="D321" s="20" t="s">
        <v>3134</v>
      </c>
      <c r="E321" s="32" t="s">
        <v>2890</v>
      </c>
      <c r="F321" s="22" t="s">
        <v>42</v>
      </c>
      <c r="G321" s="23" t="s">
        <v>3135</v>
      </c>
      <c r="I321" s="243" t="str">
        <f t="shared" si="0"/>
        <v>OK</v>
      </c>
      <c r="K321" s="263" t="s">
        <v>4337</v>
      </c>
      <c r="L321" s="268" t="s">
        <v>3133</v>
      </c>
      <c r="M321" s="250" t="s">
        <v>255</v>
      </c>
      <c r="N321" s="251" t="s">
        <v>3134</v>
      </c>
      <c r="O321" s="176"/>
    </row>
    <row r="322" spans="1:15" ht="36">
      <c r="A322" s="18" t="s">
        <v>48</v>
      </c>
      <c r="B322" s="19" t="s">
        <v>1591</v>
      </c>
      <c r="C322" s="19" t="s">
        <v>1592</v>
      </c>
      <c r="D322" s="20" t="s">
        <v>1593</v>
      </c>
      <c r="E322" s="32" t="s">
        <v>178</v>
      </c>
      <c r="F322" s="33" t="s">
        <v>42</v>
      </c>
      <c r="G322" s="23" t="s">
        <v>1594</v>
      </c>
      <c r="I322" s="243" t="str">
        <f t="shared" si="0"/>
        <v>OK</v>
      </c>
      <c r="K322" s="263" t="s">
        <v>4337</v>
      </c>
      <c r="L322" s="268" t="s">
        <v>1591</v>
      </c>
      <c r="M322" s="250" t="s">
        <v>1592</v>
      </c>
      <c r="N322" s="251" t="s">
        <v>1593</v>
      </c>
      <c r="O322" s="176"/>
    </row>
    <row r="323" spans="1:15" ht="60">
      <c r="A323" s="18" t="s">
        <v>37</v>
      </c>
      <c r="B323" s="19" t="s">
        <v>1319</v>
      </c>
      <c r="C323" s="19" t="s">
        <v>1320</v>
      </c>
      <c r="D323" s="20" t="s">
        <v>1321</v>
      </c>
      <c r="E323" s="32" t="s">
        <v>52</v>
      </c>
      <c r="F323" s="22" t="s">
        <v>42</v>
      </c>
      <c r="G323" s="23" t="s">
        <v>1322</v>
      </c>
      <c r="I323" s="243" t="str">
        <f t="shared" si="0"/>
        <v>OK</v>
      </c>
      <c r="K323" s="263" t="s">
        <v>4337</v>
      </c>
      <c r="L323" s="268" t="s">
        <v>4407</v>
      </c>
      <c r="M323" s="250" t="s">
        <v>1320</v>
      </c>
      <c r="N323" s="251" t="s">
        <v>1321</v>
      </c>
      <c r="O323" s="176"/>
    </row>
    <row r="324" spans="1:15" ht="72">
      <c r="A324" s="18" t="s">
        <v>37</v>
      </c>
      <c r="B324" s="19" t="s">
        <v>1325</v>
      </c>
      <c r="C324" s="19" t="s">
        <v>1320</v>
      </c>
      <c r="D324" s="20" t="s">
        <v>1326</v>
      </c>
      <c r="E324" s="32" t="s">
        <v>5005</v>
      </c>
      <c r="F324" s="22" t="s">
        <v>31</v>
      </c>
      <c r="G324" s="23" t="s">
        <v>1328</v>
      </c>
      <c r="I324" s="243" t="str">
        <f t="shared" si="0"/>
        <v>OK</v>
      </c>
      <c r="K324" s="263" t="s">
        <v>4337</v>
      </c>
      <c r="L324" s="268" t="s">
        <v>4541</v>
      </c>
      <c r="M324" s="250" t="s">
        <v>1320</v>
      </c>
      <c r="N324" s="251" t="s">
        <v>1326</v>
      </c>
      <c r="O324" s="176"/>
    </row>
    <row r="325" spans="1:15" ht="84">
      <c r="A325" s="18" t="s">
        <v>248</v>
      </c>
      <c r="B325" s="19" t="s">
        <v>2965</v>
      </c>
      <c r="C325" s="19" t="s">
        <v>141</v>
      </c>
      <c r="D325" s="20" t="s">
        <v>2966</v>
      </c>
      <c r="E325" s="32" t="s">
        <v>186</v>
      </c>
      <c r="F325" s="33" t="s">
        <v>42</v>
      </c>
      <c r="G325" s="23" t="s">
        <v>2967</v>
      </c>
      <c r="I325" s="243" t="str">
        <f t="shared" si="0"/>
        <v>OK</v>
      </c>
      <c r="K325" s="263" t="s">
        <v>4337</v>
      </c>
      <c r="L325" s="268" t="s">
        <v>4566</v>
      </c>
      <c r="M325" s="250" t="s">
        <v>558</v>
      </c>
      <c r="N325" s="251" t="s">
        <v>2966</v>
      </c>
      <c r="O325" s="176"/>
    </row>
    <row r="326" spans="1:15" ht="24">
      <c r="A326" s="18" t="s">
        <v>289</v>
      </c>
      <c r="B326" s="31" t="s">
        <v>290</v>
      </c>
      <c r="C326" s="19" t="s">
        <v>291</v>
      </c>
      <c r="D326" s="20" t="s">
        <v>292</v>
      </c>
      <c r="E326" s="32" t="s">
        <v>186</v>
      </c>
      <c r="F326" s="33" t="s">
        <v>42</v>
      </c>
      <c r="G326" s="23" t="s">
        <v>294</v>
      </c>
      <c r="I326" s="243" t="str">
        <f t="shared" si="0"/>
        <v>OK</v>
      </c>
      <c r="K326" s="276" t="s">
        <v>87</v>
      </c>
      <c r="L326" s="281" t="s">
        <v>4858</v>
      </c>
      <c r="M326" s="254" t="s">
        <v>4859</v>
      </c>
      <c r="N326" s="255" t="s">
        <v>292</v>
      </c>
      <c r="O326" s="176"/>
    </row>
    <row r="327" spans="1:15" ht="36">
      <c r="A327" s="18" t="s">
        <v>48</v>
      </c>
      <c r="B327" s="19" t="s">
        <v>3022</v>
      </c>
      <c r="C327" s="19" t="s">
        <v>3023</v>
      </c>
      <c r="D327" s="20" t="s">
        <v>3024</v>
      </c>
      <c r="E327" s="32" t="s">
        <v>186</v>
      </c>
      <c r="F327" s="33" t="s">
        <v>42</v>
      </c>
      <c r="G327" s="23" t="s">
        <v>3025</v>
      </c>
      <c r="I327" s="243" t="str">
        <f t="shared" si="0"/>
        <v>OK</v>
      </c>
      <c r="K327" s="263" t="s">
        <v>4337</v>
      </c>
      <c r="L327" s="268" t="s">
        <v>3022</v>
      </c>
      <c r="M327" s="250" t="s">
        <v>4576</v>
      </c>
      <c r="N327" s="251" t="s">
        <v>3024</v>
      </c>
      <c r="O327" s="176"/>
    </row>
    <row r="328" spans="1:15" ht="48">
      <c r="A328" s="18" t="s">
        <v>1375</v>
      </c>
      <c r="B328" s="19" t="s">
        <v>3987</v>
      </c>
      <c r="C328" s="19" t="s">
        <v>2538</v>
      </c>
      <c r="D328" s="20" t="s">
        <v>3988</v>
      </c>
      <c r="E328" s="32" t="s">
        <v>2504</v>
      </c>
      <c r="F328" s="33" t="s">
        <v>53</v>
      </c>
      <c r="G328" s="23" t="s">
        <v>3989</v>
      </c>
      <c r="I328" s="243" t="str">
        <f t="shared" si="0"/>
        <v>OK</v>
      </c>
      <c r="K328" s="263" t="s">
        <v>4617</v>
      </c>
      <c r="L328" s="268" t="s">
        <v>4696</v>
      </c>
      <c r="M328" s="250" t="s">
        <v>766</v>
      </c>
      <c r="N328" s="251" t="s">
        <v>3988</v>
      </c>
      <c r="O328" s="176"/>
    </row>
    <row r="329" spans="1:15" ht="36">
      <c r="A329" s="18" t="s">
        <v>105</v>
      </c>
      <c r="B329" s="31" t="s">
        <v>459</v>
      </c>
      <c r="C329" s="19" t="s">
        <v>460</v>
      </c>
      <c r="D329" s="20" t="s">
        <v>461</v>
      </c>
      <c r="E329" s="21" t="s">
        <v>5097</v>
      </c>
      <c r="F329" s="33" t="s">
        <v>42</v>
      </c>
      <c r="G329" s="23" t="s">
        <v>463</v>
      </c>
      <c r="I329" s="243" t="str">
        <f t="shared" si="0"/>
        <v>OK</v>
      </c>
      <c r="K329" s="276" t="s">
        <v>87</v>
      </c>
      <c r="L329" s="277" t="s">
        <v>4838</v>
      </c>
      <c r="M329" s="261" t="s">
        <v>4834</v>
      </c>
      <c r="N329" s="262" t="s">
        <v>461</v>
      </c>
      <c r="O329" s="176"/>
    </row>
    <row r="330" spans="1:15" ht="24">
      <c r="A330" s="18" t="s">
        <v>175</v>
      </c>
      <c r="B330" s="31" t="s">
        <v>728</v>
      </c>
      <c r="C330" s="19" t="s">
        <v>729</v>
      </c>
      <c r="D330" s="20" t="s">
        <v>730</v>
      </c>
      <c r="E330" s="21" t="s">
        <v>52</v>
      </c>
      <c r="F330" s="33" t="s">
        <v>42</v>
      </c>
      <c r="G330" s="23" t="s">
        <v>731</v>
      </c>
      <c r="I330" s="243" t="str">
        <f t="shared" si="0"/>
        <v>OK</v>
      </c>
      <c r="K330" s="276" t="s">
        <v>87</v>
      </c>
      <c r="L330" s="281" t="s">
        <v>4875</v>
      </c>
      <c r="M330" s="254" t="s">
        <v>729</v>
      </c>
      <c r="N330" s="255" t="s">
        <v>730</v>
      </c>
      <c r="O330" s="176"/>
    </row>
    <row r="331" spans="1:15" ht="36">
      <c r="A331" s="18" t="s">
        <v>37</v>
      </c>
      <c r="B331" s="19" t="s">
        <v>1490</v>
      </c>
      <c r="C331" s="19" t="s">
        <v>1491</v>
      </c>
      <c r="D331" s="20" t="s">
        <v>1492</v>
      </c>
      <c r="E331" s="32" t="s">
        <v>5006</v>
      </c>
      <c r="F331" s="22" t="s">
        <v>53</v>
      </c>
      <c r="G331" s="23" t="s">
        <v>1494</v>
      </c>
      <c r="I331" s="243" t="str">
        <f t="shared" si="0"/>
        <v>OK</v>
      </c>
      <c r="K331" s="263" t="s">
        <v>4337</v>
      </c>
      <c r="L331" s="268" t="s">
        <v>1490</v>
      </c>
      <c r="M331" s="250" t="s">
        <v>1491</v>
      </c>
      <c r="N331" s="278" t="s">
        <v>1492</v>
      </c>
      <c r="O331" s="176"/>
    </row>
    <row r="332" spans="1:15" ht="36">
      <c r="A332" s="18" t="s">
        <v>13</v>
      </c>
      <c r="B332" s="19" t="s">
        <v>4950</v>
      </c>
      <c r="C332" s="19" t="s">
        <v>480</v>
      </c>
      <c r="D332" s="20" t="s">
        <v>481</v>
      </c>
      <c r="E332" s="32" t="s">
        <v>4951</v>
      </c>
      <c r="F332" s="22" t="s">
        <v>18</v>
      </c>
      <c r="G332" s="23" t="s">
        <v>483</v>
      </c>
      <c r="I332" s="243" t="str">
        <f t="shared" si="0"/>
        <v>OK</v>
      </c>
      <c r="K332" s="263" t="s">
        <v>4337</v>
      </c>
      <c r="L332" s="268" t="s">
        <v>4355</v>
      </c>
      <c r="M332" s="250" t="s">
        <v>4356</v>
      </c>
      <c r="N332" s="251" t="s">
        <v>481</v>
      </c>
      <c r="O332" s="176"/>
    </row>
    <row r="333" spans="1:15" ht="36">
      <c r="A333" s="18" t="s">
        <v>37</v>
      </c>
      <c r="B333" s="19" t="s">
        <v>1803</v>
      </c>
      <c r="C333" s="19" t="s">
        <v>1804</v>
      </c>
      <c r="D333" s="20" t="s">
        <v>1805</v>
      </c>
      <c r="E333" s="32" t="s">
        <v>178</v>
      </c>
      <c r="F333" s="22" t="s">
        <v>42</v>
      </c>
      <c r="G333" s="23" t="s">
        <v>1806</v>
      </c>
      <c r="I333" s="243" t="str">
        <f t="shared" si="0"/>
        <v>OK</v>
      </c>
      <c r="K333" s="263" t="s">
        <v>4337</v>
      </c>
      <c r="L333" s="268" t="s">
        <v>1803</v>
      </c>
      <c r="M333" s="250" t="s">
        <v>4436</v>
      </c>
      <c r="N333" s="251" t="s">
        <v>1805</v>
      </c>
      <c r="O333" s="176"/>
    </row>
    <row r="334" spans="1:15" ht="60">
      <c r="A334" s="18" t="s">
        <v>289</v>
      </c>
      <c r="B334" s="19" t="s">
        <v>347</v>
      </c>
      <c r="C334" s="19" t="s">
        <v>348</v>
      </c>
      <c r="D334" s="20" t="s">
        <v>349</v>
      </c>
      <c r="E334" s="32" t="s">
        <v>52</v>
      </c>
      <c r="F334" s="33" t="s">
        <v>350</v>
      </c>
      <c r="G334" s="23" t="s">
        <v>351</v>
      </c>
      <c r="I334" s="243" t="str">
        <f t="shared" si="0"/>
        <v>OK</v>
      </c>
      <c r="K334" s="263" t="s">
        <v>4337</v>
      </c>
      <c r="L334" s="268" t="s">
        <v>347</v>
      </c>
      <c r="M334" s="250" t="s">
        <v>4352</v>
      </c>
      <c r="N334" s="251" t="s">
        <v>349</v>
      </c>
      <c r="O334" s="176"/>
    </row>
    <row r="335" spans="1:15" ht="36">
      <c r="A335" s="18" t="s">
        <v>37</v>
      </c>
      <c r="B335" s="19" t="s">
        <v>3105</v>
      </c>
      <c r="C335" s="19" t="s">
        <v>168</v>
      </c>
      <c r="D335" s="20" t="s">
        <v>3106</v>
      </c>
      <c r="E335" s="32" t="s">
        <v>5018</v>
      </c>
      <c r="F335" s="22" t="s">
        <v>31</v>
      </c>
      <c r="G335" s="23" t="s">
        <v>3108</v>
      </c>
      <c r="I335" s="243" t="str">
        <f t="shared" si="0"/>
        <v>OK</v>
      </c>
      <c r="K335" s="263" t="s">
        <v>4337</v>
      </c>
      <c r="L335" s="268" t="s">
        <v>4585</v>
      </c>
      <c r="M335" s="250" t="s">
        <v>840</v>
      </c>
      <c r="N335" s="251" t="s">
        <v>3106</v>
      </c>
      <c r="O335" s="176"/>
    </row>
    <row r="336" spans="1:15" ht="36">
      <c r="A336" s="18" t="s">
        <v>233</v>
      </c>
      <c r="B336" s="31" t="s">
        <v>234</v>
      </c>
      <c r="C336" s="19" t="s">
        <v>235</v>
      </c>
      <c r="D336" s="282" t="s">
        <v>236</v>
      </c>
      <c r="E336" s="21" t="s">
        <v>52</v>
      </c>
      <c r="F336" s="22" t="s">
        <v>53</v>
      </c>
      <c r="G336" s="23" t="s">
        <v>237</v>
      </c>
      <c r="I336" s="243" t="str">
        <f t="shared" si="0"/>
        <v>OK</v>
      </c>
      <c r="K336" s="276" t="s">
        <v>87</v>
      </c>
      <c r="L336" s="281" t="s">
        <v>234</v>
      </c>
      <c r="M336" s="254" t="s">
        <v>235</v>
      </c>
      <c r="N336" s="255" t="s">
        <v>236</v>
      </c>
      <c r="O336" s="176"/>
    </row>
    <row r="337" spans="1:15" ht="48">
      <c r="A337" s="18" t="s">
        <v>867</v>
      </c>
      <c r="B337" s="31" t="s">
        <v>3458</v>
      </c>
      <c r="C337" s="19" t="s">
        <v>3459</v>
      </c>
      <c r="D337" s="20" t="s">
        <v>3460</v>
      </c>
      <c r="E337" s="216" t="s">
        <v>2890</v>
      </c>
      <c r="F337" s="33" t="s">
        <v>42</v>
      </c>
      <c r="G337" s="23" t="s">
        <v>3461</v>
      </c>
      <c r="I337" s="243" t="str">
        <f t="shared" si="0"/>
        <v>OK</v>
      </c>
      <c r="K337" s="276" t="s">
        <v>87</v>
      </c>
      <c r="L337" s="281" t="s">
        <v>3458</v>
      </c>
      <c r="M337" s="254" t="s">
        <v>4933</v>
      </c>
      <c r="N337" s="255" t="s">
        <v>3460</v>
      </c>
      <c r="O337" s="176"/>
    </row>
    <row r="338" spans="1:15" ht="48">
      <c r="A338" s="18" t="s">
        <v>1375</v>
      </c>
      <c r="B338" s="19" t="s">
        <v>2595</v>
      </c>
      <c r="C338" s="19" t="s">
        <v>2377</v>
      </c>
      <c r="D338" s="20" t="s">
        <v>2596</v>
      </c>
      <c r="E338" s="32" t="s">
        <v>52</v>
      </c>
      <c r="F338" s="22" t="s">
        <v>53</v>
      </c>
      <c r="G338" s="23" t="s">
        <v>2597</v>
      </c>
      <c r="I338" s="243" t="str">
        <f t="shared" si="0"/>
        <v>OK</v>
      </c>
      <c r="K338" s="263" t="s">
        <v>4337</v>
      </c>
      <c r="L338" s="268" t="s">
        <v>2595</v>
      </c>
      <c r="M338" s="250" t="s">
        <v>2377</v>
      </c>
      <c r="N338" s="251" t="s">
        <v>2596</v>
      </c>
      <c r="O338" s="176"/>
    </row>
    <row r="339" spans="1:15" ht="48">
      <c r="A339" s="18" t="s">
        <v>1375</v>
      </c>
      <c r="B339" s="19" t="s">
        <v>2376</v>
      </c>
      <c r="C339" s="19" t="s">
        <v>2377</v>
      </c>
      <c r="D339" s="113" t="s">
        <v>2378</v>
      </c>
      <c r="E339" s="105" t="s">
        <v>52</v>
      </c>
      <c r="F339" s="22" t="s">
        <v>31</v>
      </c>
      <c r="G339" s="23" t="s">
        <v>2379</v>
      </c>
      <c r="I339" s="243" t="str">
        <f t="shared" si="0"/>
        <v>OK</v>
      </c>
      <c r="K339" s="263" t="s">
        <v>4337</v>
      </c>
      <c r="L339" s="268" t="s">
        <v>2376</v>
      </c>
      <c r="M339" s="250" t="s">
        <v>2377</v>
      </c>
      <c r="N339" s="251" t="s">
        <v>2378</v>
      </c>
      <c r="O339" s="176"/>
    </row>
    <row r="340" spans="1:15" ht="36">
      <c r="A340" s="18" t="s">
        <v>175</v>
      </c>
      <c r="B340" s="31" t="s">
        <v>2008</v>
      </c>
      <c r="C340" s="115" t="s">
        <v>213</v>
      </c>
      <c r="D340" s="20" t="s">
        <v>2009</v>
      </c>
      <c r="E340" s="32" t="s">
        <v>4969</v>
      </c>
      <c r="F340" s="33" t="s">
        <v>42</v>
      </c>
      <c r="G340" s="23" t="s">
        <v>2010</v>
      </c>
      <c r="I340" s="243" t="str">
        <f t="shared" si="0"/>
        <v>OK</v>
      </c>
      <c r="K340" s="283" t="s">
        <v>4337</v>
      </c>
      <c r="L340" s="281" t="s">
        <v>2008</v>
      </c>
      <c r="M340" s="254" t="s">
        <v>213</v>
      </c>
      <c r="N340" s="255" t="s">
        <v>2009</v>
      </c>
      <c r="O340" s="176"/>
    </row>
    <row r="341" spans="1:15" ht="36">
      <c r="A341" s="18" t="s">
        <v>37</v>
      </c>
      <c r="B341" s="19" t="s">
        <v>2341</v>
      </c>
      <c r="C341" s="115" t="s">
        <v>141</v>
      </c>
      <c r="D341" s="20" t="s">
        <v>2342</v>
      </c>
      <c r="E341" s="32" t="s">
        <v>178</v>
      </c>
      <c r="F341" s="22" t="s">
        <v>42</v>
      </c>
      <c r="G341" s="23" t="s">
        <v>2343</v>
      </c>
      <c r="I341" s="243" t="str">
        <f t="shared" si="0"/>
        <v>OK</v>
      </c>
      <c r="K341" s="263" t="s">
        <v>4617</v>
      </c>
      <c r="L341" s="280" t="s">
        <v>4907</v>
      </c>
      <c r="M341" s="259" t="s">
        <v>558</v>
      </c>
      <c r="N341" s="260" t="s">
        <v>2342</v>
      </c>
      <c r="O341" s="176"/>
    </row>
    <row r="342" spans="1:15">
      <c r="I342" s="243" t="str">
        <f t="shared" si="0"/>
        <v>OK</v>
      </c>
      <c r="K342" s="263" t="s">
        <v>4337</v>
      </c>
      <c r="O342" s="176"/>
    </row>
    <row r="343" spans="1:15">
      <c r="I343" s="243" t="str">
        <f>IF(D343=S141,"OK","NO")</f>
        <v>NO</v>
      </c>
      <c r="K343" s="263" t="s">
        <v>4337</v>
      </c>
      <c r="O343" s="176"/>
    </row>
    <row r="344" spans="1:15">
      <c r="I344" s="243" t="str">
        <f t="shared" ref="I344:I345" si="1">IF(D344=N340,"OK","NO")</f>
        <v>NO</v>
      </c>
      <c r="K344" s="276" t="s">
        <v>87</v>
      </c>
      <c r="O344" s="176"/>
    </row>
    <row r="345" spans="1:15">
      <c r="I345" s="243" t="str">
        <f t="shared" si="1"/>
        <v>NO</v>
      </c>
      <c r="K345" s="276" t="s">
        <v>87</v>
      </c>
      <c r="O345" s="176"/>
    </row>
    <row r="346" spans="1:15">
      <c r="I346" s="243" t="str">
        <f>IF(D346=S143,"OK","NO")</f>
        <v>OK</v>
      </c>
      <c r="K346" s="263" t="s">
        <v>4617</v>
      </c>
      <c r="O346" s="176"/>
    </row>
    <row r="347" spans="1:15">
      <c r="I347" s="243" t="str">
        <f t="shared" ref="I347:I348" si="2">IF(D347=N347,"OK","NO")</f>
        <v>OK</v>
      </c>
      <c r="K347" s="176"/>
      <c r="L347" s="176"/>
      <c r="M347" s="176"/>
      <c r="N347" s="176"/>
      <c r="O347" s="176"/>
    </row>
    <row r="348" spans="1:15">
      <c r="I348" s="243" t="str">
        <f t="shared" si="2"/>
        <v>OK</v>
      </c>
      <c r="K348" s="176"/>
      <c r="L348" s="176"/>
      <c r="M348" s="176"/>
      <c r="N348" s="176"/>
      <c r="O348" s="176"/>
    </row>
    <row r="349" spans="1:15">
      <c r="K349" s="176"/>
      <c r="L349" s="176"/>
      <c r="M349" s="176"/>
      <c r="N349" s="176"/>
      <c r="O349" s="176"/>
    </row>
    <row r="350" spans="1:15">
      <c r="K350" s="176"/>
      <c r="L350" s="176"/>
      <c r="M350" s="176"/>
      <c r="N350" s="176"/>
      <c r="O350" s="176"/>
    </row>
    <row r="351" spans="1:15">
      <c r="K351" s="176"/>
      <c r="L351" s="176"/>
      <c r="M351" s="176"/>
      <c r="N351" s="176"/>
      <c r="O351" s="176"/>
    </row>
    <row r="352" spans="1:15">
      <c r="K352" s="176"/>
      <c r="L352" s="176"/>
      <c r="M352" s="176"/>
      <c r="N352" s="176"/>
      <c r="O352" s="176"/>
    </row>
    <row r="353" spans="2:15">
      <c r="K353" s="176"/>
      <c r="L353" s="176"/>
      <c r="M353" s="176"/>
      <c r="N353" s="176"/>
      <c r="O353" s="176"/>
    </row>
    <row r="354" spans="2:15">
      <c r="K354" s="176"/>
      <c r="L354" s="176"/>
      <c r="M354" s="176"/>
      <c r="N354" s="176"/>
      <c r="O354" s="176"/>
    </row>
    <row r="355" spans="2:15">
      <c r="K355" s="176"/>
      <c r="L355" s="176"/>
      <c r="M355" s="176"/>
      <c r="N355" s="176"/>
      <c r="O355" s="176"/>
    </row>
    <row r="356" spans="2:15">
      <c r="K356" s="176"/>
      <c r="L356" s="176"/>
      <c r="M356" s="176"/>
      <c r="N356" s="176"/>
      <c r="O356" s="176"/>
    </row>
    <row r="357" spans="2:15">
      <c r="K357" s="176"/>
      <c r="L357" s="176"/>
      <c r="M357" s="176"/>
      <c r="N357" s="176"/>
      <c r="O357" s="176"/>
    </row>
    <row r="358" spans="2:15">
      <c r="K358" s="176"/>
      <c r="L358" s="176"/>
      <c r="M358" s="176"/>
      <c r="N358" s="176"/>
      <c r="O358" s="176"/>
    </row>
    <row r="359" spans="2:15">
      <c r="K359" s="176"/>
      <c r="L359" s="176"/>
      <c r="M359" s="176"/>
      <c r="N359" s="176"/>
      <c r="O359" s="176"/>
    </row>
    <row r="360" spans="2:15">
      <c r="B360" s="21" t="s">
        <v>17</v>
      </c>
      <c r="K360" s="176"/>
      <c r="L360" s="176"/>
      <c r="M360" s="176"/>
      <c r="N360" s="176"/>
      <c r="O360" s="176"/>
    </row>
    <row r="361" spans="2:15">
      <c r="B361" s="21" t="s">
        <v>17</v>
      </c>
      <c r="K361" s="176"/>
      <c r="L361" s="176"/>
      <c r="M361" s="176"/>
      <c r="N361" s="176"/>
      <c r="O361" s="176"/>
    </row>
    <row r="362" spans="2:15">
      <c r="B362" s="21" t="s">
        <v>41</v>
      </c>
      <c r="K362" s="176"/>
      <c r="L362" s="176"/>
      <c r="M362" s="176"/>
      <c r="N362" s="176"/>
      <c r="O362" s="176"/>
    </row>
    <row r="363" spans="2:15" ht="36">
      <c r="B363" s="21" t="s">
        <v>76</v>
      </c>
      <c r="K363" s="176"/>
      <c r="L363" s="176"/>
      <c r="M363" s="176"/>
      <c r="N363" s="176"/>
      <c r="O363" s="176"/>
    </row>
    <row r="364" spans="2:15">
      <c r="B364" s="21" t="s">
        <v>85</v>
      </c>
      <c r="K364" s="176"/>
      <c r="L364" s="176"/>
      <c r="M364" s="176"/>
      <c r="N364" s="176"/>
      <c r="O364" s="176"/>
    </row>
    <row r="365" spans="2:15">
      <c r="B365" s="21" t="s">
        <v>118</v>
      </c>
      <c r="K365" s="176"/>
      <c r="L365" s="176"/>
      <c r="M365" s="176"/>
      <c r="N365" s="176"/>
      <c r="O365" s="176"/>
    </row>
    <row r="366" spans="2:15">
      <c r="B366" s="21" t="s">
        <v>126</v>
      </c>
      <c r="K366" s="176"/>
      <c r="L366" s="176"/>
      <c r="M366" s="176"/>
      <c r="N366" s="176"/>
      <c r="O366" s="176"/>
    </row>
    <row r="367" spans="2:15">
      <c r="B367" s="21" t="s">
        <v>135</v>
      </c>
      <c r="K367" s="176"/>
      <c r="L367" s="176"/>
      <c r="M367" s="176"/>
      <c r="N367" s="176"/>
      <c r="O367" s="176"/>
    </row>
    <row r="368" spans="2:15">
      <c r="B368" s="40" t="s">
        <v>5098</v>
      </c>
      <c r="K368" s="176"/>
      <c r="L368" s="176"/>
      <c r="M368" s="176"/>
      <c r="N368" s="176"/>
      <c r="O368" s="176"/>
    </row>
    <row r="369" spans="2:15">
      <c r="B369" s="40" t="s">
        <v>229</v>
      </c>
      <c r="K369" s="176"/>
      <c r="L369" s="176"/>
      <c r="M369" s="176"/>
      <c r="N369" s="176"/>
      <c r="O369" s="176"/>
    </row>
    <row r="370" spans="2:15">
      <c r="B370" s="21" t="s">
        <v>135</v>
      </c>
      <c r="K370" s="176"/>
      <c r="L370" s="176"/>
      <c r="M370" s="176"/>
      <c r="N370" s="176"/>
      <c r="O370" s="176"/>
    </row>
    <row r="371" spans="2:15">
      <c r="B371" s="21" t="s">
        <v>293</v>
      </c>
      <c r="K371" s="176"/>
      <c r="L371" s="176"/>
      <c r="M371" s="176"/>
      <c r="N371" s="176"/>
      <c r="O371" s="176"/>
    </row>
    <row r="372" spans="2:15" ht="24">
      <c r="B372" s="21" t="s">
        <v>301</v>
      </c>
      <c r="K372" s="176"/>
      <c r="L372" s="176"/>
      <c r="M372" s="176"/>
      <c r="N372" s="176"/>
      <c r="O372" s="176"/>
    </row>
    <row r="373" spans="2:15">
      <c r="B373" s="21" t="s">
        <v>326</v>
      </c>
      <c r="K373" s="176"/>
      <c r="L373" s="176"/>
      <c r="M373" s="176"/>
      <c r="N373" s="176"/>
      <c r="O373" s="176"/>
    </row>
    <row r="374" spans="2:15">
      <c r="B374" s="21" t="s">
        <v>135</v>
      </c>
      <c r="K374" s="176"/>
      <c r="L374" s="176"/>
      <c r="M374" s="176"/>
      <c r="N374" s="176"/>
      <c r="O374" s="176"/>
    </row>
    <row r="375" spans="2:15">
      <c r="B375" s="21" t="s">
        <v>383</v>
      </c>
      <c r="K375" s="176"/>
      <c r="L375" s="176"/>
      <c r="M375" s="176"/>
      <c r="N375" s="176"/>
      <c r="O375" s="176"/>
    </row>
    <row r="376" spans="2:15">
      <c r="B376" s="21" t="s">
        <v>422</v>
      </c>
      <c r="K376" s="176"/>
      <c r="L376" s="176"/>
      <c r="M376" s="176"/>
      <c r="N376" s="176"/>
      <c r="O376" s="176"/>
    </row>
    <row r="377" spans="2:15">
      <c r="B377" s="40" t="s">
        <v>5099</v>
      </c>
      <c r="K377" s="176"/>
      <c r="L377" s="176"/>
      <c r="M377" s="176"/>
      <c r="N377" s="176"/>
      <c r="O377" s="176"/>
    </row>
    <row r="378" spans="2:15">
      <c r="B378" s="21" t="s">
        <v>462</v>
      </c>
      <c r="K378" s="176"/>
      <c r="L378" s="176"/>
      <c r="M378" s="176"/>
      <c r="N378" s="176"/>
      <c r="O378" s="176"/>
    </row>
    <row r="379" spans="2:15">
      <c r="B379" s="21" t="s">
        <v>135</v>
      </c>
      <c r="K379" s="176"/>
      <c r="L379" s="176"/>
      <c r="M379" s="176"/>
      <c r="N379" s="176"/>
      <c r="O379" s="176"/>
    </row>
    <row r="380" spans="2:15" ht="36">
      <c r="B380" s="21" t="s">
        <v>482</v>
      </c>
      <c r="K380" s="176"/>
      <c r="L380" s="176"/>
      <c r="M380" s="176"/>
      <c r="N380" s="176"/>
      <c r="O380" s="176"/>
    </row>
    <row r="381" spans="2:15">
      <c r="B381" s="21" t="s">
        <v>490</v>
      </c>
      <c r="K381" s="176"/>
      <c r="L381" s="176"/>
      <c r="M381" s="176"/>
      <c r="N381" s="176"/>
      <c r="O381" s="176"/>
    </row>
    <row r="382" spans="2:15" ht="24">
      <c r="B382" s="21" t="s">
        <v>505</v>
      </c>
      <c r="K382" s="176"/>
      <c r="L382" s="176"/>
      <c r="M382" s="176"/>
      <c r="N382" s="176"/>
      <c r="O382" s="176"/>
    </row>
    <row r="383" spans="2:15">
      <c r="B383" s="21" t="s">
        <v>135</v>
      </c>
      <c r="K383" s="176"/>
      <c r="L383" s="176"/>
      <c r="M383" s="176"/>
      <c r="N383" s="176"/>
      <c r="O383" s="176"/>
    </row>
    <row r="384" spans="2:15">
      <c r="B384" s="21" t="s">
        <v>675</v>
      </c>
      <c r="K384" s="176"/>
      <c r="L384" s="176"/>
      <c r="M384" s="176"/>
      <c r="N384" s="176"/>
      <c r="O384" s="176"/>
    </row>
    <row r="385" spans="2:15">
      <c r="B385" s="21" t="s">
        <v>135</v>
      </c>
      <c r="K385" s="176"/>
      <c r="L385" s="176"/>
      <c r="M385" s="176"/>
      <c r="N385" s="176"/>
      <c r="O385" s="176"/>
    </row>
    <row r="386" spans="2:15">
      <c r="B386" s="21" t="s">
        <v>135</v>
      </c>
      <c r="K386" s="176"/>
      <c r="L386" s="176"/>
      <c r="M386" s="176"/>
      <c r="N386" s="176"/>
      <c r="O386" s="176"/>
    </row>
    <row r="387" spans="2:15" ht="24">
      <c r="B387" s="21" t="s">
        <v>784</v>
      </c>
      <c r="K387" s="176"/>
      <c r="L387" s="176"/>
      <c r="M387" s="176"/>
      <c r="N387" s="176"/>
      <c r="O387" s="176"/>
    </row>
    <row r="388" spans="2:15">
      <c r="B388" s="21" t="s">
        <v>135</v>
      </c>
      <c r="K388" s="176"/>
      <c r="L388" s="176"/>
      <c r="M388" s="176"/>
      <c r="N388" s="176"/>
      <c r="O388" s="176"/>
    </row>
    <row r="389" spans="2:15" ht="24">
      <c r="B389" s="21" t="s">
        <v>817</v>
      </c>
      <c r="K389" s="176"/>
      <c r="L389" s="176"/>
      <c r="M389" s="176"/>
      <c r="N389" s="176"/>
      <c r="O389" s="176"/>
    </row>
    <row r="390" spans="2:15">
      <c r="B390" s="21" t="s">
        <v>17</v>
      </c>
      <c r="K390" s="176"/>
      <c r="L390" s="176"/>
      <c r="M390" s="176"/>
      <c r="N390" s="176"/>
      <c r="O390" s="176"/>
    </row>
    <row r="391" spans="2:15">
      <c r="B391" s="21" t="s">
        <v>135</v>
      </c>
      <c r="K391" s="176"/>
      <c r="L391" s="176"/>
      <c r="M391" s="176"/>
      <c r="N391" s="176"/>
      <c r="O391" s="176"/>
    </row>
    <row r="392" spans="2:15">
      <c r="B392" s="21" t="s">
        <v>863</v>
      </c>
      <c r="K392" s="176"/>
      <c r="L392" s="176"/>
      <c r="M392" s="176"/>
      <c r="N392" s="176"/>
      <c r="O392" s="176"/>
    </row>
    <row r="393" spans="2:15" ht="60">
      <c r="B393" s="21" t="s">
        <v>876</v>
      </c>
      <c r="K393" s="176"/>
      <c r="L393" s="176"/>
      <c r="M393" s="176"/>
      <c r="N393" s="176"/>
      <c r="O393" s="176"/>
    </row>
    <row r="394" spans="2:15" ht="24">
      <c r="B394" s="21" t="s">
        <v>882</v>
      </c>
      <c r="K394" s="176"/>
      <c r="L394" s="176"/>
      <c r="M394" s="176"/>
      <c r="N394" s="176"/>
      <c r="O394" s="176"/>
    </row>
    <row r="395" spans="2:15" ht="24">
      <c r="B395" s="21" t="s">
        <v>893</v>
      </c>
      <c r="K395" s="176"/>
      <c r="L395" s="176"/>
      <c r="M395" s="176"/>
      <c r="N395" s="176"/>
      <c r="O395" s="176"/>
    </row>
    <row r="396" spans="2:15" ht="24">
      <c r="B396" s="21" t="s">
        <v>900</v>
      </c>
      <c r="K396" s="176"/>
      <c r="L396" s="176"/>
      <c r="M396" s="176"/>
      <c r="N396" s="176"/>
      <c r="O396" s="176"/>
    </row>
    <row r="397" spans="2:15">
      <c r="B397" s="21" t="s">
        <v>905</v>
      </c>
      <c r="K397" s="176"/>
      <c r="L397" s="176"/>
      <c r="M397" s="176"/>
      <c r="N397" s="176"/>
      <c r="O397" s="176"/>
    </row>
    <row r="398" spans="2:15">
      <c r="B398" s="21" t="s">
        <v>17</v>
      </c>
      <c r="K398" s="176"/>
      <c r="L398" s="176"/>
      <c r="M398" s="176"/>
      <c r="N398" s="176"/>
      <c r="O398" s="176"/>
    </row>
    <row r="399" spans="2:15">
      <c r="B399" s="21" t="s">
        <v>933</v>
      </c>
      <c r="K399" s="176"/>
      <c r="L399" s="176"/>
      <c r="M399" s="176"/>
      <c r="N399" s="176"/>
      <c r="O399" s="176"/>
    </row>
    <row r="400" spans="2:15" ht="24">
      <c r="B400" s="21" t="s">
        <v>959</v>
      </c>
      <c r="K400" s="176"/>
      <c r="L400" s="176"/>
      <c r="M400" s="176"/>
      <c r="N400" s="176"/>
      <c r="O400" s="176"/>
    </row>
    <row r="401" spans="2:15" ht="24">
      <c r="B401" s="21" t="s">
        <v>1005</v>
      </c>
      <c r="K401" s="176"/>
      <c r="L401" s="176"/>
      <c r="M401" s="176"/>
      <c r="N401" s="176"/>
      <c r="O401" s="176"/>
    </row>
    <row r="402" spans="2:15">
      <c r="B402" s="21" t="s">
        <v>1011</v>
      </c>
      <c r="K402" s="176"/>
      <c r="L402" s="176"/>
      <c r="M402" s="176"/>
      <c r="N402" s="176"/>
      <c r="O402" s="176"/>
    </row>
    <row r="403" spans="2:15">
      <c r="B403" s="21" t="s">
        <v>1018</v>
      </c>
      <c r="K403" s="176"/>
      <c r="L403" s="176"/>
      <c r="M403" s="176"/>
      <c r="N403" s="176"/>
      <c r="O403" s="176"/>
    </row>
    <row r="404" spans="2:15">
      <c r="B404" s="21" t="s">
        <v>135</v>
      </c>
      <c r="K404" s="176"/>
      <c r="L404" s="176"/>
      <c r="M404" s="176"/>
      <c r="N404" s="176"/>
      <c r="O404" s="176"/>
    </row>
    <row r="405" spans="2:15">
      <c r="B405" s="21" t="s">
        <v>1075</v>
      </c>
      <c r="K405" s="176"/>
      <c r="L405" s="176"/>
      <c r="M405" s="176"/>
      <c r="N405" s="176"/>
      <c r="O405" s="176"/>
    </row>
    <row r="406" spans="2:15">
      <c r="B406" s="21" t="s">
        <v>905</v>
      </c>
      <c r="K406" s="176"/>
      <c r="L406" s="176"/>
      <c r="M406" s="176"/>
      <c r="N406" s="176"/>
      <c r="O406" s="176"/>
    </row>
    <row r="407" spans="2:15" ht="24">
      <c r="B407" s="21" t="s">
        <v>1108</v>
      </c>
      <c r="K407" s="176"/>
      <c r="L407" s="176"/>
      <c r="M407" s="176"/>
      <c r="N407" s="176"/>
      <c r="O407" s="176"/>
    </row>
    <row r="408" spans="2:15">
      <c r="B408" s="21" t="s">
        <v>135</v>
      </c>
      <c r="K408" s="176"/>
      <c r="L408" s="176"/>
      <c r="M408" s="176"/>
      <c r="N408" s="176"/>
      <c r="O408" s="176"/>
    </row>
    <row r="409" spans="2:15" ht="24">
      <c r="B409" s="21" t="s">
        <v>1171</v>
      </c>
      <c r="K409" s="176"/>
      <c r="L409" s="176"/>
      <c r="M409" s="176"/>
      <c r="N409" s="176"/>
      <c r="O409" s="176"/>
    </row>
    <row r="410" spans="2:15">
      <c r="B410" s="21" t="s">
        <v>135</v>
      </c>
      <c r="K410" s="176"/>
      <c r="L410" s="176"/>
      <c r="M410" s="176"/>
      <c r="N410" s="176"/>
      <c r="O410" s="176"/>
    </row>
    <row r="411" spans="2:15">
      <c r="B411" s="21" t="s">
        <v>135</v>
      </c>
      <c r="K411" s="176"/>
      <c r="L411" s="176"/>
      <c r="M411" s="176"/>
      <c r="N411" s="176"/>
      <c r="O411" s="176"/>
    </row>
    <row r="412" spans="2:15">
      <c r="B412" s="21" t="s">
        <v>135</v>
      </c>
      <c r="K412" s="176"/>
      <c r="L412" s="176"/>
      <c r="M412" s="176"/>
      <c r="N412" s="176"/>
      <c r="O412" s="176"/>
    </row>
    <row r="413" spans="2:15">
      <c r="B413" s="21" t="s">
        <v>135</v>
      </c>
      <c r="K413" s="176"/>
      <c r="L413" s="176"/>
      <c r="M413" s="176"/>
      <c r="N413" s="176"/>
      <c r="O413" s="176"/>
    </row>
    <row r="414" spans="2:15">
      <c r="B414" s="21" t="s">
        <v>135</v>
      </c>
      <c r="K414" s="176"/>
      <c r="L414" s="176"/>
      <c r="M414" s="176"/>
      <c r="N414" s="176"/>
      <c r="O414" s="176"/>
    </row>
    <row r="415" spans="2:15" ht="24">
      <c r="B415" s="21" t="s">
        <v>1327</v>
      </c>
      <c r="K415" s="176"/>
      <c r="L415" s="176"/>
      <c r="M415" s="176"/>
      <c r="N415" s="176"/>
      <c r="O415" s="176"/>
    </row>
    <row r="416" spans="2:15">
      <c r="B416" s="21" t="s">
        <v>135</v>
      </c>
      <c r="K416" s="176"/>
      <c r="L416" s="176"/>
      <c r="M416" s="176"/>
      <c r="N416" s="176"/>
      <c r="O416" s="176"/>
    </row>
    <row r="417" spans="2:15">
      <c r="B417" s="21" t="s">
        <v>1011</v>
      </c>
      <c r="K417" s="176"/>
      <c r="L417" s="176"/>
      <c r="M417" s="176"/>
      <c r="N417" s="176"/>
      <c r="O417" s="176"/>
    </row>
    <row r="418" spans="2:15">
      <c r="B418" s="21" t="s">
        <v>1075</v>
      </c>
      <c r="K418" s="176"/>
      <c r="L418" s="176"/>
      <c r="M418" s="176"/>
      <c r="N418" s="176"/>
      <c r="O418" s="176"/>
    </row>
    <row r="419" spans="2:15">
      <c r="B419" s="21" t="s">
        <v>1363</v>
      </c>
      <c r="K419" s="176"/>
      <c r="L419" s="176"/>
      <c r="M419" s="176"/>
      <c r="N419" s="176"/>
      <c r="O419" s="176"/>
    </row>
    <row r="420" spans="2:15">
      <c r="B420" s="21" t="s">
        <v>135</v>
      </c>
      <c r="K420" s="176"/>
      <c r="L420" s="176"/>
      <c r="M420" s="176"/>
      <c r="N420" s="176"/>
      <c r="O420" s="176"/>
    </row>
    <row r="421" spans="2:15">
      <c r="B421" s="21" t="s">
        <v>135</v>
      </c>
      <c r="K421" s="176"/>
      <c r="L421" s="176"/>
      <c r="M421" s="176"/>
      <c r="N421" s="176"/>
      <c r="O421" s="176"/>
    </row>
    <row r="422" spans="2:15">
      <c r="B422" s="21" t="s">
        <v>1468</v>
      </c>
      <c r="K422" s="176"/>
      <c r="L422" s="176"/>
      <c r="M422" s="176"/>
      <c r="N422" s="176"/>
      <c r="O422" s="176"/>
    </row>
    <row r="423" spans="2:15">
      <c r="B423" s="21" t="s">
        <v>135</v>
      </c>
      <c r="K423" s="176"/>
      <c r="L423" s="176"/>
      <c r="M423" s="176"/>
      <c r="N423" s="176"/>
      <c r="O423" s="176"/>
    </row>
    <row r="424" spans="2:15">
      <c r="B424" s="21" t="s">
        <v>135</v>
      </c>
      <c r="K424" s="176"/>
      <c r="L424" s="176"/>
      <c r="M424" s="176"/>
      <c r="N424" s="176"/>
      <c r="O424" s="176"/>
    </row>
    <row r="425" spans="2:15">
      <c r="B425" s="21" t="s">
        <v>1493</v>
      </c>
      <c r="K425" s="176"/>
      <c r="L425" s="176"/>
      <c r="M425" s="176"/>
      <c r="N425" s="176"/>
      <c r="O425" s="176"/>
    </row>
    <row r="426" spans="2:15" ht="36">
      <c r="B426" s="21" t="s">
        <v>1505</v>
      </c>
      <c r="K426" s="176"/>
      <c r="L426" s="176"/>
      <c r="M426" s="176"/>
      <c r="N426" s="176"/>
      <c r="O426" s="176"/>
    </row>
    <row r="427" spans="2:15">
      <c r="B427" s="21" t="s">
        <v>135</v>
      </c>
      <c r="K427" s="176"/>
      <c r="L427" s="176"/>
      <c r="M427" s="176"/>
      <c r="N427" s="176"/>
      <c r="O427" s="176"/>
    </row>
    <row r="428" spans="2:15">
      <c r="B428" s="21" t="s">
        <v>135</v>
      </c>
      <c r="K428" s="176"/>
      <c r="L428" s="176"/>
      <c r="M428" s="176"/>
      <c r="N428" s="176"/>
      <c r="O428" s="176"/>
    </row>
    <row r="429" spans="2:15">
      <c r="B429" s="21" t="s">
        <v>905</v>
      </c>
      <c r="K429" s="176"/>
      <c r="L429" s="176"/>
      <c r="M429" s="176"/>
      <c r="N429" s="176"/>
      <c r="O429" s="176"/>
    </row>
    <row r="430" spans="2:15">
      <c r="B430" s="21" t="s">
        <v>17</v>
      </c>
      <c r="K430" s="176"/>
      <c r="L430" s="176"/>
      <c r="M430" s="176"/>
      <c r="N430" s="176"/>
      <c r="O430" s="176"/>
    </row>
    <row r="431" spans="2:15">
      <c r="B431" s="21" t="s">
        <v>905</v>
      </c>
      <c r="K431" s="176"/>
      <c r="L431" s="176"/>
      <c r="M431" s="176"/>
      <c r="N431" s="176"/>
      <c r="O431" s="176"/>
    </row>
    <row r="432" spans="2:15">
      <c r="B432" s="21" t="s">
        <v>1609</v>
      </c>
      <c r="K432" s="176"/>
      <c r="L432" s="176"/>
      <c r="M432" s="176"/>
      <c r="N432" s="176"/>
      <c r="O432" s="176"/>
    </row>
    <row r="433" spans="2:15">
      <c r="B433" s="21" t="s">
        <v>1642</v>
      </c>
      <c r="K433" s="176"/>
      <c r="L433" s="176"/>
      <c r="M433" s="176"/>
      <c r="N433" s="176"/>
      <c r="O433" s="176"/>
    </row>
    <row r="434" spans="2:15">
      <c r="B434" s="21" t="s">
        <v>135</v>
      </c>
      <c r="K434" s="176"/>
      <c r="L434" s="176"/>
      <c r="M434" s="176"/>
      <c r="N434" s="176"/>
      <c r="O434" s="176"/>
    </row>
    <row r="435" spans="2:15">
      <c r="B435" s="21" t="s">
        <v>135</v>
      </c>
      <c r="K435" s="176"/>
      <c r="L435" s="176"/>
      <c r="M435" s="176"/>
      <c r="N435" s="176"/>
      <c r="O435" s="176"/>
    </row>
    <row r="436" spans="2:15">
      <c r="B436" s="21" t="s">
        <v>135</v>
      </c>
      <c r="K436" s="176"/>
      <c r="L436" s="176"/>
      <c r="M436" s="176"/>
      <c r="N436" s="176"/>
      <c r="O436" s="176"/>
    </row>
    <row r="437" spans="2:15" ht="24">
      <c r="B437" s="21" t="s">
        <v>1732</v>
      </c>
      <c r="K437" s="176"/>
      <c r="L437" s="176"/>
      <c r="M437" s="176"/>
      <c r="N437" s="176"/>
      <c r="O437" s="176"/>
    </row>
    <row r="438" spans="2:15">
      <c r="B438" s="21" t="s">
        <v>135</v>
      </c>
      <c r="K438" s="176"/>
      <c r="L438" s="176"/>
      <c r="M438" s="176"/>
      <c r="N438" s="176"/>
      <c r="O438" s="176"/>
    </row>
    <row r="439" spans="2:15">
      <c r="B439" s="21" t="s">
        <v>135</v>
      </c>
      <c r="K439" s="176"/>
      <c r="L439" s="176"/>
      <c r="M439" s="176"/>
      <c r="N439" s="176"/>
      <c r="O439" s="176"/>
    </row>
    <row r="440" spans="2:15">
      <c r="B440" s="21" t="s">
        <v>905</v>
      </c>
      <c r="K440" s="176"/>
      <c r="L440" s="176"/>
      <c r="M440" s="176"/>
      <c r="N440" s="176"/>
      <c r="O440" s="176"/>
    </row>
    <row r="441" spans="2:15">
      <c r="B441" s="21" t="s">
        <v>1011</v>
      </c>
      <c r="K441" s="176"/>
      <c r="L441" s="176"/>
      <c r="M441" s="176"/>
      <c r="N441" s="176"/>
      <c r="O441" s="176"/>
    </row>
    <row r="442" spans="2:15">
      <c r="B442" s="21" t="s">
        <v>293</v>
      </c>
      <c r="K442" s="176"/>
      <c r="L442" s="176"/>
      <c r="M442" s="176"/>
      <c r="N442" s="176"/>
      <c r="O442" s="176"/>
    </row>
    <row r="443" spans="2:15">
      <c r="B443" s="21" t="s">
        <v>135</v>
      </c>
      <c r="K443" s="176"/>
      <c r="L443" s="176"/>
      <c r="M443" s="176"/>
      <c r="N443" s="176"/>
      <c r="O443" s="176"/>
    </row>
    <row r="444" spans="2:15">
      <c r="B444" s="21" t="s">
        <v>905</v>
      </c>
      <c r="K444" s="176"/>
      <c r="L444" s="176"/>
      <c r="M444" s="176"/>
      <c r="N444" s="176"/>
      <c r="O444" s="176"/>
    </row>
    <row r="445" spans="2:15">
      <c r="B445" s="21" t="s">
        <v>905</v>
      </c>
      <c r="K445" s="176"/>
      <c r="L445" s="176"/>
      <c r="M445" s="176"/>
      <c r="N445" s="176"/>
      <c r="O445" s="176"/>
    </row>
    <row r="446" spans="2:15">
      <c r="B446" s="21" t="s">
        <v>905</v>
      </c>
      <c r="K446" s="176"/>
      <c r="L446" s="176"/>
      <c r="M446" s="176"/>
      <c r="N446" s="176"/>
      <c r="O446" s="176"/>
    </row>
    <row r="447" spans="2:15">
      <c r="B447" s="21" t="s">
        <v>905</v>
      </c>
      <c r="K447" s="176"/>
      <c r="L447" s="176"/>
      <c r="M447" s="176"/>
      <c r="N447" s="176"/>
      <c r="O447" s="176"/>
    </row>
    <row r="448" spans="2:15">
      <c r="B448" s="21" t="s">
        <v>905</v>
      </c>
      <c r="K448" s="176"/>
      <c r="L448" s="176"/>
      <c r="M448" s="176"/>
      <c r="N448" s="176"/>
      <c r="O448" s="176"/>
    </row>
    <row r="449" spans="2:15">
      <c r="B449" s="21" t="s">
        <v>135</v>
      </c>
      <c r="K449" s="176"/>
      <c r="L449" s="176"/>
      <c r="M449" s="176"/>
      <c r="N449" s="176"/>
      <c r="O449" s="176"/>
    </row>
    <row r="450" spans="2:15">
      <c r="B450" s="21" t="s">
        <v>135</v>
      </c>
      <c r="K450" s="176"/>
      <c r="L450" s="176"/>
      <c r="M450" s="176"/>
      <c r="N450" s="176"/>
      <c r="O450" s="176"/>
    </row>
    <row r="451" spans="2:15">
      <c r="B451" s="21" t="s">
        <v>135</v>
      </c>
      <c r="K451" s="176"/>
      <c r="L451" s="176"/>
      <c r="M451" s="176"/>
      <c r="N451" s="176"/>
      <c r="O451" s="176"/>
    </row>
    <row r="452" spans="2:15">
      <c r="B452" s="21" t="s">
        <v>293</v>
      </c>
      <c r="K452" s="176"/>
      <c r="L452" s="176"/>
      <c r="M452" s="176"/>
      <c r="N452" s="176"/>
      <c r="O452" s="176"/>
    </row>
    <row r="453" spans="2:15">
      <c r="B453" s="21" t="s">
        <v>905</v>
      </c>
      <c r="K453" s="176"/>
      <c r="L453" s="176"/>
      <c r="M453" s="176"/>
      <c r="N453" s="176"/>
      <c r="O453" s="176"/>
    </row>
    <row r="454" spans="2:15" ht="36">
      <c r="B454" s="21" t="s">
        <v>1909</v>
      </c>
      <c r="K454" s="176"/>
      <c r="L454" s="176"/>
      <c r="M454" s="176"/>
      <c r="N454" s="176"/>
      <c r="O454" s="176"/>
    </row>
    <row r="455" spans="2:15">
      <c r="B455" s="21" t="s">
        <v>135</v>
      </c>
      <c r="K455" s="176"/>
      <c r="L455" s="176"/>
      <c r="M455" s="176"/>
      <c r="N455" s="176"/>
      <c r="O455" s="176"/>
    </row>
    <row r="456" spans="2:15" ht="24">
      <c r="B456" s="21" t="s">
        <v>1925</v>
      </c>
      <c r="K456" s="176"/>
      <c r="L456" s="176"/>
      <c r="M456" s="176"/>
      <c r="N456" s="176"/>
      <c r="O456" s="176"/>
    </row>
    <row r="457" spans="2:15" ht="24">
      <c r="B457" s="21" t="s">
        <v>1942</v>
      </c>
      <c r="K457" s="176"/>
      <c r="L457" s="176"/>
      <c r="M457" s="176"/>
      <c r="N457" s="176"/>
      <c r="O457" s="176"/>
    </row>
    <row r="458" spans="2:15">
      <c r="B458" s="21" t="s">
        <v>1970</v>
      </c>
      <c r="K458" s="176"/>
      <c r="L458" s="176"/>
      <c r="M458" s="176"/>
      <c r="N458" s="176"/>
      <c r="O458" s="176"/>
    </row>
    <row r="459" spans="2:15">
      <c r="B459" s="21" t="s">
        <v>135</v>
      </c>
      <c r="K459" s="176"/>
      <c r="L459" s="176"/>
      <c r="M459" s="176"/>
      <c r="N459" s="176"/>
      <c r="O459" s="176"/>
    </row>
    <row r="460" spans="2:15" ht="24">
      <c r="B460" s="21" t="s">
        <v>2006</v>
      </c>
      <c r="K460" s="176"/>
      <c r="L460" s="176"/>
      <c r="M460" s="176"/>
      <c r="N460" s="176"/>
      <c r="O460" s="176"/>
    </row>
    <row r="461" spans="2:15">
      <c r="B461" s="21" t="s">
        <v>1609</v>
      </c>
      <c r="K461" s="176"/>
      <c r="L461" s="176"/>
      <c r="M461" s="176"/>
      <c r="N461" s="176"/>
      <c r="O461" s="176"/>
    </row>
    <row r="462" spans="2:15">
      <c r="B462" s="21" t="s">
        <v>2023</v>
      </c>
      <c r="K462" s="176"/>
      <c r="L462" s="176"/>
      <c r="M462" s="176"/>
      <c r="N462" s="176"/>
      <c r="O462" s="176"/>
    </row>
    <row r="463" spans="2:15">
      <c r="B463" s="21" t="s">
        <v>905</v>
      </c>
      <c r="K463" s="176"/>
      <c r="L463" s="176"/>
      <c r="M463" s="176"/>
      <c r="N463" s="176"/>
      <c r="O463" s="176"/>
    </row>
    <row r="464" spans="2:15">
      <c r="B464" s="21" t="s">
        <v>135</v>
      </c>
      <c r="K464" s="176"/>
      <c r="L464" s="176"/>
      <c r="M464" s="176"/>
      <c r="N464" s="176"/>
      <c r="O464" s="176"/>
    </row>
    <row r="465" spans="2:15">
      <c r="B465" s="21" t="s">
        <v>905</v>
      </c>
      <c r="K465" s="176"/>
      <c r="L465" s="176"/>
      <c r="M465" s="176"/>
      <c r="N465" s="176"/>
      <c r="O465" s="176"/>
    </row>
    <row r="466" spans="2:15">
      <c r="B466" s="21" t="s">
        <v>135</v>
      </c>
      <c r="K466" s="176"/>
      <c r="L466" s="176"/>
      <c r="M466" s="176"/>
      <c r="N466" s="176"/>
      <c r="O466" s="176"/>
    </row>
    <row r="467" spans="2:15" ht="24">
      <c r="B467" s="21" t="s">
        <v>2047</v>
      </c>
      <c r="K467" s="176"/>
      <c r="L467" s="176"/>
      <c r="M467" s="176"/>
      <c r="N467" s="176"/>
      <c r="O467" s="176"/>
    </row>
    <row r="468" spans="2:15">
      <c r="B468" s="21" t="s">
        <v>2052</v>
      </c>
      <c r="K468" s="176"/>
      <c r="L468" s="176"/>
      <c r="M468" s="176"/>
      <c r="N468" s="176"/>
      <c r="O468" s="176"/>
    </row>
    <row r="469" spans="2:15">
      <c r="B469" s="21" t="s">
        <v>2062</v>
      </c>
      <c r="K469" s="176"/>
      <c r="L469" s="176"/>
      <c r="M469" s="176"/>
      <c r="N469" s="176"/>
      <c r="O469" s="176"/>
    </row>
    <row r="470" spans="2:15">
      <c r="B470" s="21" t="s">
        <v>135</v>
      </c>
      <c r="K470" s="176"/>
      <c r="L470" s="176"/>
      <c r="M470" s="176"/>
      <c r="N470" s="176"/>
      <c r="O470" s="176"/>
    </row>
    <row r="471" spans="2:15">
      <c r="B471" s="21" t="s">
        <v>905</v>
      </c>
      <c r="K471" s="176"/>
      <c r="L471" s="176"/>
      <c r="M471" s="176"/>
      <c r="N471" s="176"/>
      <c r="O471" s="176"/>
    </row>
    <row r="472" spans="2:15">
      <c r="B472" s="21" t="s">
        <v>2085</v>
      </c>
      <c r="K472" s="176"/>
      <c r="L472" s="176"/>
      <c r="M472" s="176"/>
      <c r="N472" s="176"/>
      <c r="O472" s="176"/>
    </row>
    <row r="473" spans="2:15">
      <c r="B473" s="21" t="s">
        <v>905</v>
      </c>
      <c r="K473" s="176"/>
      <c r="L473" s="176"/>
      <c r="M473" s="176"/>
      <c r="N473" s="176"/>
      <c r="O473" s="176"/>
    </row>
    <row r="474" spans="2:15" ht="48">
      <c r="B474" s="21" t="s">
        <v>2110</v>
      </c>
      <c r="K474" s="176"/>
      <c r="L474" s="176"/>
      <c r="M474" s="176"/>
      <c r="N474" s="176"/>
      <c r="O474" s="176"/>
    </row>
    <row r="475" spans="2:15">
      <c r="B475" s="21" t="s">
        <v>135</v>
      </c>
      <c r="K475" s="176"/>
      <c r="L475" s="176"/>
      <c r="M475" s="176"/>
      <c r="N475" s="176"/>
      <c r="O475" s="176"/>
    </row>
    <row r="476" spans="2:15">
      <c r="B476" s="21" t="s">
        <v>933</v>
      </c>
      <c r="K476" s="176"/>
      <c r="L476" s="176"/>
      <c r="M476" s="176"/>
      <c r="N476" s="176"/>
      <c r="O476" s="176"/>
    </row>
    <row r="477" spans="2:15" ht="24">
      <c r="B477" s="21" t="s">
        <v>2121</v>
      </c>
      <c r="K477" s="176"/>
      <c r="L477" s="176"/>
      <c r="M477" s="176"/>
      <c r="N477" s="176"/>
      <c r="O477" s="176"/>
    </row>
    <row r="478" spans="2:15" ht="24">
      <c r="B478" s="21" t="s">
        <v>2121</v>
      </c>
      <c r="K478" s="176"/>
      <c r="L478" s="176"/>
      <c r="M478" s="176"/>
      <c r="N478" s="176"/>
      <c r="O478" s="176"/>
    </row>
    <row r="479" spans="2:15">
      <c r="B479" s="21" t="s">
        <v>2129</v>
      </c>
      <c r="K479" s="176"/>
      <c r="L479" s="176"/>
      <c r="M479" s="176"/>
      <c r="N479" s="176"/>
      <c r="O479" s="176"/>
    </row>
    <row r="480" spans="2:15">
      <c r="B480" s="21" t="s">
        <v>1075</v>
      </c>
      <c r="K480" s="176"/>
      <c r="L480" s="176"/>
      <c r="M480" s="176"/>
      <c r="N480" s="176"/>
      <c r="O480" s="176"/>
    </row>
    <row r="481" spans="2:15">
      <c r="B481" s="21" t="s">
        <v>2151</v>
      </c>
      <c r="K481" s="176"/>
      <c r="L481" s="176"/>
      <c r="M481" s="176"/>
      <c r="N481" s="176"/>
      <c r="O481" s="176"/>
    </row>
    <row r="482" spans="2:15">
      <c r="B482" s="21" t="s">
        <v>229</v>
      </c>
      <c r="K482" s="176"/>
      <c r="L482" s="176"/>
      <c r="M482" s="176"/>
      <c r="N482" s="176"/>
      <c r="O482" s="176"/>
    </row>
    <row r="483" spans="2:15" ht="24">
      <c r="B483" s="21" t="s">
        <v>2161</v>
      </c>
      <c r="K483" s="176"/>
      <c r="L483" s="176"/>
      <c r="M483" s="176"/>
      <c r="N483" s="176"/>
      <c r="O483" s="176"/>
    </row>
    <row r="484" spans="2:15">
      <c r="B484" s="21" t="s">
        <v>2052</v>
      </c>
      <c r="K484" s="176"/>
      <c r="L484" s="176"/>
      <c r="M484" s="176"/>
      <c r="N484" s="176"/>
      <c r="O484" s="176"/>
    </row>
    <row r="485" spans="2:15">
      <c r="B485" s="21" t="s">
        <v>135</v>
      </c>
      <c r="K485" s="176"/>
      <c r="L485" s="176"/>
      <c r="M485" s="176"/>
      <c r="N485" s="176"/>
      <c r="O485" s="176"/>
    </row>
    <row r="486" spans="2:15">
      <c r="B486" s="21" t="s">
        <v>135</v>
      </c>
      <c r="K486" s="176"/>
      <c r="L486" s="176"/>
      <c r="M486" s="176"/>
      <c r="N486" s="176"/>
      <c r="O486" s="176"/>
    </row>
    <row r="487" spans="2:15">
      <c r="B487" s="21" t="s">
        <v>1970</v>
      </c>
      <c r="K487" s="176"/>
      <c r="L487" s="176"/>
      <c r="M487" s="176"/>
      <c r="N487" s="176"/>
      <c r="O487" s="176"/>
    </row>
    <row r="488" spans="2:15" ht="24">
      <c r="B488" s="21" t="s">
        <v>2200</v>
      </c>
      <c r="K488" s="176"/>
      <c r="L488" s="176"/>
      <c r="M488" s="176"/>
      <c r="N488" s="176"/>
      <c r="O488" s="176"/>
    </row>
    <row r="489" spans="2:15">
      <c r="B489" s="21" t="s">
        <v>135</v>
      </c>
      <c r="K489" s="176"/>
      <c r="L489" s="176"/>
      <c r="M489" s="176"/>
      <c r="N489" s="176"/>
      <c r="O489" s="176"/>
    </row>
    <row r="490" spans="2:15" ht="24">
      <c r="B490" s="21" t="s">
        <v>2207</v>
      </c>
      <c r="K490" s="176"/>
      <c r="L490" s="176"/>
      <c r="M490" s="176"/>
      <c r="N490" s="176"/>
      <c r="O490" s="176"/>
    </row>
    <row r="491" spans="2:15">
      <c r="B491" s="21" t="s">
        <v>1011</v>
      </c>
      <c r="K491" s="176"/>
      <c r="L491" s="176"/>
      <c r="M491" s="176"/>
      <c r="N491" s="176"/>
      <c r="O491" s="176"/>
    </row>
    <row r="492" spans="2:15">
      <c r="B492" s="21" t="s">
        <v>2236</v>
      </c>
      <c r="K492" s="176"/>
      <c r="L492" s="176"/>
      <c r="M492" s="176"/>
      <c r="N492" s="176"/>
      <c r="O492" s="176"/>
    </row>
    <row r="493" spans="2:15">
      <c r="B493" s="21" t="s">
        <v>85</v>
      </c>
      <c r="K493" s="176"/>
      <c r="L493" s="176"/>
      <c r="M493" s="176"/>
      <c r="N493" s="176"/>
      <c r="O493" s="176"/>
    </row>
    <row r="494" spans="2:15">
      <c r="B494" s="21" t="s">
        <v>1363</v>
      </c>
      <c r="K494" s="176"/>
      <c r="L494" s="176"/>
      <c r="M494" s="176"/>
      <c r="N494" s="176"/>
      <c r="O494" s="176"/>
    </row>
    <row r="495" spans="2:15">
      <c r="B495" s="21" t="s">
        <v>905</v>
      </c>
      <c r="K495" s="176"/>
      <c r="L495" s="176"/>
      <c r="M495" s="176"/>
      <c r="N495" s="176"/>
      <c r="O495" s="176"/>
    </row>
    <row r="496" spans="2:15">
      <c r="B496" s="21" t="s">
        <v>2284</v>
      </c>
      <c r="K496" s="176"/>
      <c r="L496" s="176"/>
      <c r="M496" s="176"/>
      <c r="N496" s="176"/>
      <c r="O496" s="176"/>
    </row>
    <row r="497" spans="2:15">
      <c r="B497" s="21" t="s">
        <v>293</v>
      </c>
      <c r="K497" s="176"/>
      <c r="L497" s="176"/>
      <c r="M497" s="176"/>
      <c r="N497" s="176"/>
      <c r="O497" s="176"/>
    </row>
    <row r="498" spans="2:15">
      <c r="B498" s="21" t="s">
        <v>135</v>
      </c>
      <c r="K498" s="176"/>
      <c r="L498" s="176"/>
      <c r="M498" s="176"/>
      <c r="N498" s="176"/>
      <c r="O498" s="176"/>
    </row>
    <row r="499" spans="2:15">
      <c r="B499" s="21" t="s">
        <v>41</v>
      </c>
      <c r="K499" s="176"/>
      <c r="L499" s="176"/>
      <c r="M499" s="176"/>
      <c r="N499" s="176"/>
      <c r="O499" s="176"/>
    </row>
    <row r="500" spans="2:15">
      <c r="B500" s="21" t="s">
        <v>17</v>
      </c>
      <c r="K500" s="176"/>
      <c r="L500" s="176"/>
      <c r="M500" s="176"/>
      <c r="N500" s="176"/>
      <c r="O500" s="176"/>
    </row>
    <row r="501" spans="2:15">
      <c r="B501" s="21" t="s">
        <v>135</v>
      </c>
      <c r="K501" s="176"/>
      <c r="L501" s="176"/>
      <c r="M501" s="176"/>
      <c r="N501" s="176"/>
      <c r="O501" s="176"/>
    </row>
    <row r="502" spans="2:15">
      <c r="B502" s="21" t="s">
        <v>2330</v>
      </c>
      <c r="K502" s="176"/>
      <c r="L502" s="176"/>
      <c r="M502" s="176"/>
      <c r="N502" s="176"/>
      <c r="O502" s="176"/>
    </row>
    <row r="503" spans="2:15">
      <c r="B503" s="21" t="s">
        <v>905</v>
      </c>
      <c r="K503" s="176"/>
      <c r="L503" s="176"/>
      <c r="M503" s="176"/>
      <c r="N503" s="176"/>
      <c r="O503" s="176"/>
    </row>
    <row r="504" spans="2:15">
      <c r="B504" s="21" t="s">
        <v>905</v>
      </c>
      <c r="K504" s="176"/>
      <c r="L504" s="176"/>
      <c r="M504" s="176"/>
      <c r="N504" s="176"/>
      <c r="O504" s="176"/>
    </row>
    <row r="505" spans="2:15">
      <c r="B505" s="21" t="s">
        <v>2350</v>
      </c>
      <c r="K505" s="176"/>
      <c r="L505" s="176"/>
      <c r="M505" s="176"/>
      <c r="N505" s="176"/>
      <c r="O505" s="176"/>
    </row>
    <row r="506" spans="2:15" ht="36">
      <c r="B506" s="21" t="s">
        <v>2358</v>
      </c>
      <c r="K506" s="176"/>
      <c r="L506" s="176"/>
      <c r="M506" s="176"/>
      <c r="N506" s="176"/>
      <c r="O506" s="176"/>
    </row>
    <row r="507" spans="2:15" ht="24">
      <c r="B507" s="21" t="s">
        <v>1732</v>
      </c>
      <c r="K507" s="176"/>
      <c r="L507" s="176"/>
      <c r="M507" s="176"/>
      <c r="N507" s="176"/>
      <c r="O507" s="176"/>
    </row>
    <row r="508" spans="2:15">
      <c r="B508" s="21" t="s">
        <v>135</v>
      </c>
      <c r="K508" s="176"/>
      <c r="L508" s="176"/>
      <c r="M508" s="176"/>
      <c r="N508" s="176"/>
      <c r="O508" s="176"/>
    </row>
    <row r="509" spans="2:15">
      <c r="B509" s="21" t="s">
        <v>2382</v>
      </c>
      <c r="K509" s="176"/>
      <c r="L509" s="176"/>
      <c r="M509" s="176"/>
      <c r="N509" s="176"/>
      <c r="O509" s="176"/>
    </row>
    <row r="510" spans="2:15">
      <c r="B510" s="21" t="s">
        <v>135</v>
      </c>
      <c r="K510" s="176"/>
      <c r="L510" s="176"/>
      <c r="M510" s="176"/>
      <c r="N510" s="176"/>
      <c r="O510" s="176"/>
    </row>
    <row r="511" spans="2:15" ht="24">
      <c r="B511" s="21" t="s">
        <v>2394</v>
      </c>
      <c r="K511" s="176"/>
      <c r="L511" s="176"/>
      <c r="M511" s="176"/>
      <c r="N511" s="176"/>
      <c r="O511" s="176"/>
    </row>
    <row r="512" spans="2:15">
      <c r="B512" s="21" t="s">
        <v>2284</v>
      </c>
      <c r="K512" s="176"/>
      <c r="L512" s="176"/>
      <c r="M512" s="176"/>
      <c r="N512" s="176"/>
      <c r="O512" s="176"/>
    </row>
    <row r="513" spans="2:15">
      <c r="B513" s="21" t="s">
        <v>905</v>
      </c>
      <c r="K513" s="176"/>
      <c r="L513" s="176"/>
      <c r="M513" s="176"/>
      <c r="N513" s="176"/>
      <c r="O513" s="176"/>
    </row>
    <row r="514" spans="2:15">
      <c r="B514" s="21" t="s">
        <v>2426</v>
      </c>
      <c r="K514" s="176"/>
      <c r="L514" s="176"/>
      <c r="M514" s="176"/>
      <c r="N514" s="176"/>
      <c r="O514" s="176"/>
    </row>
    <row r="515" spans="2:15">
      <c r="B515" s="21" t="s">
        <v>2431</v>
      </c>
      <c r="K515" s="176"/>
      <c r="L515" s="176"/>
      <c r="M515" s="176"/>
      <c r="N515" s="176"/>
      <c r="O515" s="176"/>
    </row>
    <row r="516" spans="2:15" ht="24">
      <c r="B516" s="21" t="s">
        <v>2474</v>
      </c>
      <c r="K516" s="176"/>
      <c r="L516" s="176"/>
      <c r="M516" s="176"/>
      <c r="N516" s="176"/>
      <c r="O516" s="176"/>
    </row>
    <row r="517" spans="2:15">
      <c r="B517" s="21" t="s">
        <v>905</v>
      </c>
      <c r="K517" s="176"/>
      <c r="L517" s="176"/>
      <c r="M517" s="176"/>
      <c r="N517" s="176"/>
      <c r="O517" s="176"/>
    </row>
    <row r="518" spans="2:15">
      <c r="B518" s="21" t="s">
        <v>933</v>
      </c>
      <c r="K518" s="176"/>
      <c r="L518" s="176"/>
      <c r="M518" s="176"/>
      <c r="N518" s="176"/>
      <c r="O518" s="176"/>
    </row>
    <row r="519" spans="2:15">
      <c r="B519" s="21" t="s">
        <v>135</v>
      </c>
      <c r="K519" s="176"/>
      <c r="L519" s="176"/>
      <c r="M519" s="176"/>
      <c r="N519" s="176"/>
      <c r="O519" s="176"/>
    </row>
    <row r="520" spans="2:15">
      <c r="B520" s="21" t="s">
        <v>135</v>
      </c>
      <c r="K520" s="176"/>
      <c r="L520" s="176"/>
      <c r="M520" s="176"/>
      <c r="N520" s="176"/>
      <c r="O520" s="176"/>
    </row>
    <row r="521" spans="2:15" ht="48">
      <c r="B521" s="21" t="s">
        <v>2498</v>
      </c>
      <c r="K521" s="176"/>
      <c r="L521" s="176"/>
      <c r="M521" s="176"/>
      <c r="N521" s="176"/>
      <c r="O521" s="176"/>
    </row>
    <row r="522" spans="2:15">
      <c r="B522" s="21" t="s">
        <v>135</v>
      </c>
      <c r="K522" s="176"/>
      <c r="L522" s="176"/>
      <c r="M522" s="176"/>
      <c r="N522" s="176"/>
      <c r="O522" s="176"/>
    </row>
    <row r="523" spans="2:15">
      <c r="B523" s="21" t="s">
        <v>905</v>
      </c>
      <c r="K523" s="176"/>
      <c r="L523" s="176"/>
      <c r="M523" s="176"/>
      <c r="N523" s="176"/>
      <c r="O523" s="176"/>
    </row>
    <row r="524" spans="2:15">
      <c r="B524" s="21" t="s">
        <v>135</v>
      </c>
      <c r="K524" s="176"/>
      <c r="L524" s="176"/>
      <c r="M524" s="176"/>
      <c r="N524" s="176"/>
      <c r="O524" s="176"/>
    </row>
    <row r="525" spans="2:15">
      <c r="B525" s="97" t="s">
        <v>135</v>
      </c>
      <c r="K525" s="176"/>
      <c r="L525" s="176"/>
      <c r="M525" s="176"/>
      <c r="N525" s="176"/>
      <c r="O525" s="176"/>
    </row>
    <row r="526" spans="2:15">
      <c r="B526" s="21" t="s">
        <v>2523</v>
      </c>
      <c r="K526" s="176"/>
      <c r="L526" s="176"/>
      <c r="M526" s="176"/>
      <c r="N526" s="176"/>
      <c r="O526" s="176"/>
    </row>
    <row r="527" spans="2:15">
      <c r="B527" s="21" t="s">
        <v>905</v>
      </c>
      <c r="K527" s="176"/>
      <c r="L527" s="176"/>
      <c r="M527" s="176"/>
      <c r="N527" s="176"/>
      <c r="O527" s="176"/>
    </row>
    <row r="528" spans="2:15">
      <c r="B528" s="21" t="s">
        <v>135</v>
      </c>
      <c r="K528" s="176"/>
      <c r="L528" s="176"/>
      <c r="M528" s="176"/>
      <c r="N528" s="176"/>
      <c r="O528" s="176"/>
    </row>
    <row r="529" spans="2:15">
      <c r="B529" s="21" t="s">
        <v>905</v>
      </c>
      <c r="K529" s="176"/>
      <c r="L529" s="176"/>
      <c r="M529" s="176"/>
      <c r="N529" s="176"/>
      <c r="O529" s="176"/>
    </row>
    <row r="530" spans="2:15">
      <c r="B530" s="21" t="s">
        <v>1970</v>
      </c>
      <c r="K530" s="176"/>
      <c r="L530" s="176"/>
      <c r="M530" s="176"/>
      <c r="N530" s="176"/>
      <c r="O530" s="176"/>
    </row>
    <row r="531" spans="2:15" ht="24">
      <c r="B531" s="21" t="s">
        <v>2568</v>
      </c>
      <c r="K531" s="176"/>
      <c r="L531" s="176"/>
      <c r="M531" s="176"/>
      <c r="N531" s="176"/>
      <c r="O531" s="176"/>
    </row>
    <row r="532" spans="2:15">
      <c r="B532" s="21" t="s">
        <v>135</v>
      </c>
      <c r="K532" s="176"/>
      <c r="L532" s="176"/>
      <c r="M532" s="176"/>
      <c r="N532" s="176"/>
      <c r="O532" s="176"/>
    </row>
    <row r="533" spans="2:15">
      <c r="B533" s="21" t="s">
        <v>135</v>
      </c>
      <c r="K533" s="176"/>
      <c r="L533" s="176"/>
      <c r="M533" s="176"/>
      <c r="N533" s="176"/>
      <c r="O533" s="176"/>
    </row>
    <row r="534" spans="2:15">
      <c r="B534" s="21" t="s">
        <v>135</v>
      </c>
      <c r="K534" s="176"/>
      <c r="L534" s="176"/>
      <c r="M534" s="176"/>
      <c r="N534" s="176"/>
      <c r="O534" s="176"/>
    </row>
    <row r="535" spans="2:15">
      <c r="B535" s="21" t="s">
        <v>293</v>
      </c>
      <c r="K535" s="176"/>
      <c r="L535" s="176"/>
      <c r="M535" s="176"/>
      <c r="N535" s="176"/>
      <c r="O535" s="176"/>
    </row>
    <row r="536" spans="2:15">
      <c r="B536" s="21" t="s">
        <v>135</v>
      </c>
      <c r="K536" s="176"/>
      <c r="L536" s="176"/>
      <c r="M536" s="176"/>
      <c r="N536" s="176"/>
      <c r="O536" s="176"/>
    </row>
    <row r="537" spans="2:15">
      <c r="B537" s="21" t="s">
        <v>135</v>
      </c>
      <c r="K537" s="176"/>
      <c r="L537" s="176"/>
      <c r="M537" s="176"/>
      <c r="N537" s="176"/>
      <c r="O537" s="176"/>
    </row>
    <row r="538" spans="2:15">
      <c r="B538" s="21" t="s">
        <v>1970</v>
      </c>
      <c r="K538" s="176"/>
      <c r="L538" s="176"/>
      <c r="M538" s="176"/>
      <c r="N538" s="176"/>
      <c r="O538" s="176"/>
    </row>
    <row r="539" spans="2:15">
      <c r="B539" s="21" t="s">
        <v>905</v>
      </c>
      <c r="K539" s="176"/>
      <c r="L539" s="176"/>
      <c r="M539" s="176"/>
      <c r="N539" s="176"/>
      <c r="O539" s="176"/>
    </row>
    <row r="540" spans="2:15">
      <c r="B540" s="21" t="s">
        <v>135</v>
      </c>
      <c r="K540" s="176"/>
      <c r="L540" s="176"/>
      <c r="M540" s="176"/>
      <c r="N540" s="176"/>
      <c r="O540" s="176"/>
    </row>
    <row r="541" spans="2:15">
      <c r="B541" s="21" t="s">
        <v>135</v>
      </c>
      <c r="K541" s="176"/>
      <c r="L541" s="176"/>
      <c r="M541" s="176"/>
      <c r="N541" s="176"/>
      <c r="O541" s="176"/>
    </row>
    <row r="542" spans="2:15">
      <c r="B542" s="21" t="s">
        <v>135</v>
      </c>
      <c r="K542" s="176"/>
      <c r="L542" s="176"/>
      <c r="M542" s="176"/>
      <c r="N542" s="176"/>
      <c r="O542" s="176"/>
    </row>
    <row r="543" spans="2:15" ht="48">
      <c r="B543" s="21" t="s">
        <v>2638</v>
      </c>
      <c r="K543" s="176"/>
      <c r="L543" s="176"/>
      <c r="M543" s="176"/>
      <c r="N543" s="176"/>
      <c r="O543" s="176"/>
    </row>
    <row r="544" spans="2:15">
      <c r="B544" s="21" t="s">
        <v>135</v>
      </c>
      <c r="K544" s="176"/>
      <c r="L544" s="176"/>
      <c r="M544" s="176"/>
      <c r="N544" s="176"/>
      <c r="O544" s="176"/>
    </row>
    <row r="545" spans="2:15">
      <c r="B545" s="21" t="s">
        <v>2669</v>
      </c>
      <c r="K545" s="176"/>
      <c r="L545" s="176"/>
      <c r="M545" s="176"/>
      <c r="N545" s="176"/>
      <c r="O545" s="176"/>
    </row>
    <row r="546" spans="2:15">
      <c r="B546" s="21" t="s">
        <v>2673</v>
      </c>
      <c r="K546" s="176"/>
      <c r="L546" s="176"/>
      <c r="M546" s="176"/>
      <c r="N546" s="176"/>
      <c r="O546" s="176"/>
    </row>
    <row r="547" spans="2:15" ht="24">
      <c r="B547" s="21" t="s">
        <v>2683</v>
      </c>
      <c r="K547" s="176"/>
      <c r="L547" s="176"/>
      <c r="M547" s="176"/>
      <c r="N547" s="176"/>
      <c r="O547" s="176"/>
    </row>
    <row r="548" spans="2:15">
      <c r="B548" s="21" t="s">
        <v>905</v>
      </c>
      <c r="K548" s="176"/>
      <c r="L548" s="176"/>
      <c r="M548" s="176"/>
      <c r="N548" s="176"/>
      <c r="O548" s="176"/>
    </row>
    <row r="549" spans="2:15">
      <c r="B549" s="21" t="s">
        <v>905</v>
      </c>
      <c r="K549" s="176"/>
      <c r="L549" s="176"/>
      <c r="M549" s="176"/>
      <c r="N549" s="176"/>
      <c r="O549" s="176"/>
    </row>
    <row r="550" spans="2:15">
      <c r="B550" s="21" t="s">
        <v>2709</v>
      </c>
      <c r="K550" s="176"/>
      <c r="L550" s="176"/>
      <c r="M550" s="176"/>
      <c r="N550" s="176"/>
      <c r="O550" s="176"/>
    </row>
    <row r="551" spans="2:15">
      <c r="B551" s="21" t="s">
        <v>1970</v>
      </c>
      <c r="K551" s="176"/>
      <c r="L551" s="176"/>
      <c r="M551" s="176"/>
      <c r="N551" s="176"/>
      <c r="O551" s="176"/>
    </row>
    <row r="552" spans="2:15">
      <c r="B552" s="21" t="s">
        <v>135</v>
      </c>
      <c r="K552" s="176"/>
      <c r="L552" s="176"/>
      <c r="M552" s="176"/>
      <c r="N552" s="176"/>
      <c r="O552" s="176"/>
    </row>
    <row r="553" spans="2:15" ht="36">
      <c r="B553" s="21" t="s">
        <v>2768</v>
      </c>
      <c r="K553" s="176"/>
      <c r="L553" s="176"/>
      <c r="M553" s="176"/>
      <c r="N553" s="176"/>
      <c r="O553" s="176"/>
    </row>
    <row r="554" spans="2:15">
      <c r="B554" s="21" t="s">
        <v>1011</v>
      </c>
      <c r="K554" s="176"/>
      <c r="L554" s="176"/>
      <c r="M554" s="176"/>
      <c r="N554" s="176"/>
      <c r="O554" s="176"/>
    </row>
    <row r="555" spans="2:15">
      <c r="B555" s="21" t="s">
        <v>1011</v>
      </c>
      <c r="K555" s="176"/>
      <c r="L555" s="176"/>
      <c r="M555" s="176"/>
      <c r="N555" s="176"/>
      <c r="O555" s="176"/>
    </row>
    <row r="556" spans="2:15" ht="24">
      <c r="B556" s="21" t="s">
        <v>2815</v>
      </c>
      <c r="K556" s="176"/>
      <c r="L556" s="176"/>
      <c r="M556" s="176"/>
      <c r="N556" s="176"/>
      <c r="O556" s="176"/>
    </row>
    <row r="557" spans="2:15">
      <c r="B557" s="21" t="s">
        <v>933</v>
      </c>
      <c r="K557" s="176"/>
      <c r="L557" s="176"/>
      <c r="M557" s="176"/>
      <c r="N557" s="176"/>
      <c r="O557" s="176"/>
    </row>
    <row r="558" spans="2:15">
      <c r="B558" s="21" t="s">
        <v>135</v>
      </c>
      <c r="K558" s="176"/>
      <c r="L558" s="176"/>
      <c r="M558" s="176"/>
      <c r="N558" s="176"/>
      <c r="O558" s="176"/>
    </row>
    <row r="559" spans="2:15">
      <c r="B559" s="21" t="s">
        <v>1363</v>
      </c>
      <c r="K559" s="176"/>
      <c r="L559" s="176"/>
      <c r="M559" s="176"/>
      <c r="N559" s="176"/>
      <c r="O559" s="176"/>
    </row>
    <row r="560" spans="2:15">
      <c r="B560" s="32" t="s">
        <v>1033</v>
      </c>
      <c r="K560" s="176"/>
      <c r="L560" s="176"/>
      <c r="M560" s="176"/>
      <c r="N560" s="176"/>
      <c r="O560" s="176"/>
    </row>
    <row r="561" spans="2:15">
      <c r="B561" s="21" t="s">
        <v>135</v>
      </c>
      <c r="K561" s="176"/>
      <c r="L561" s="176"/>
      <c r="M561" s="176"/>
      <c r="N561" s="176"/>
      <c r="O561" s="176"/>
    </row>
    <row r="562" spans="2:15" ht="24">
      <c r="B562" s="21" t="s">
        <v>2922</v>
      </c>
      <c r="K562" s="176"/>
      <c r="L562" s="176"/>
      <c r="M562" s="176"/>
      <c r="N562" s="176"/>
      <c r="O562" s="176"/>
    </row>
    <row r="563" spans="2:15" ht="24">
      <c r="B563" s="21" t="s">
        <v>2926</v>
      </c>
      <c r="K563" s="176"/>
      <c r="L563" s="176"/>
      <c r="M563" s="176"/>
      <c r="N563" s="176"/>
      <c r="O563" s="176"/>
    </row>
    <row r="564" spans="2:15" ht="24">
      <c r="B564" s="21" t="s">
        <v>2930</v>
      </c>
      <c r="K564" s="176"/>
      <c r="L564" s="176"/>
      <c r="M564" s="176"/>
      <c r="N564" s="176"/>
      <c r="O564" s="176"/>
    </row>
    <row r="565" spans="2:15" ht="24">
      <c r="B565" s="21" t="s">
        <v>2938</v>
      </c>
      <c r="K565" s="176"/>
      <c r="L565" s="176"/>
      <c r="M565" s="176"/>
      <c r="N565" s="176"/>
      <c r="O565" s="176"/>
    </row>
    <row r="566" spans="2:15" ht="24">
      <c r="B566" s="21" t="s">
        <v>2922</v>
      </c>
      <c r="K566" s="176"/>
      <c r="L566" s="176"/>
      <c r="M566" s="176"/>
      <c r="N566" s="176"/>
      <c r="O566" s="176"/>
    </row>
    <row r="567" spans="2:15" ht="24">
      <c r="B567" s="21" t="s">
        <v>2922</v>
      </c>
      <c r="K567" s="176"/>
      <c r="L567" s="176"/>
      <c r="M567" s="176"/>
      <c r="N567" s="176"/>
      <c r="O567" s="176"/>
    </row>
    <row r="568" spans="2:15" ht="24">
      <c r="B568" s="21" t="s">
        <v>2922</v>
      </c>
      <c r="K568" s="176"/>
      <c r="L568" s="176"/>
      <c r="M568" s="176"/>
      <c r="N568" s="176"/>
      <c r="O568" s="176"/>
    </row>
    <row r="569" spans="2:15" ht="24">
      <c r="B569" s="21" t="s">
        <v>2955</v>
      </c>
      <c r="K569" s="176"/>
      <c r="L569" s="176"/>
      <c r="M569" s="176"/>
      <c r="N569" s="176"/>
      <c r="O569" s="176"/>
    </row>
    <row r="570" spans="2:15" ht="24">
      <c r="B570" s="21" t="s">
        <v>2963</v>
      </c>
      <c r="K570" s="176"/>
      <c r="L570" s="176"/>
      <c r="M570" s="176"/>
      <c r="N570" s="176"/>
      <c r="O570" s="176"/>
    </row>
    <row r="571" spans="2:15">
      <c r="B571" s="21" t="s">
        <v>293</v>
      </c>
      <c r="K571" s="176"/>
      <c r="L571" s="176"/>
      <c r="M571" s="176"/>
      <c r="N571" s="176"/>
      <c r="O571" s="176"/>
    </row>
    <row r="572" spans="2:15">
      <c r="B572" s="21" t="s">
        <v>135</v>
      </c>
      <c r="K572" s="176"/>
      <c r="L572" s="176"/>
      <c r="M572" s="176"/>
      <c r="N572" s="176"/>
      <c r="O572" s="176"/>
    </row>
    <row r="573" spans="2:15">
      <c r="B573" s="21" t="s">
        <v>135</v>
      </c>
      <c r="K573" s="176"/>
      <c r="L573" s="176"/>
      <c r="M573" s="176"/>
      <c r="N573" s="176"/>
      <c r="O573" s="176"/>
    </row>
    <row r="574" spans="2:15">
      <c r="B574" s="21" t="s">
        <v>135</v>
      </c>
      <c r="K574" s="176"/>
      <c r="L574" s="176"/>
      <c r="M574" s="176"/>
      <c r="N574" s="176"/>
      <c r="O574" s="176"/>
    </row>
    <row r="575" spans="2:15">
      <c r="B575" s="21" t="s">
        <v>293</v>
      </c>
      <c r="K575" s="176"/>
      <c r="L575" s="176"/>
      <c r="M575" s="176"/>
      <c r="N575" s="176"/>
      <c r="O575" s="176"/>
    </row>
    <row r="576" spans="2:15">
      <c r="B576" s="21" t="s">
        <v>135</v>
      </c>
      <c r="K576" s="176"/>
      <c r="L576" s="176"/>
      <c r="M576" s="176"/>
      <c r="N576" s="176"/>
      <c r="O576" s="176"/>
    </row>
    <row r="577" spans="2:15">
      <c r="B577" s="21" t="s">
        <v>135</v>
      </c>
      <c r="K577" s="176"/>
      <c r="L577" s="176"/>
      <c r="M577" s="176"/>
      <c r="N577" s="176"/>
      <c r="O577" s="176"/>
    </row>
    <row r="578" spans="2:15" ht="24">
      <c r="B578" s="21" t="s">
        <v>3048</v>
      </c>
      <c r="K578" s="176"/>
      <c r="L578" s="176"/>
      <c r="M578" s="176"/>
      <c r="N578" s="176"/>
      <c r="O578" s="176"/>
    </row>
    <row r="579" spans="2:15">
      <c r="B579" s="21" t="s">
        <v>1011</v>
      </c>
      <c r="K579" s="176"/>
      <c r="L579" s="176"/>
      <c r="M579" s="176"/>
      <c r="N579" s="176"/>
      <c r="O579" s="176"/>
    </row>
    <row r="580" spans="2:15">
      <c r="B580" s="21" t="s">
        <v>135</v>
      </c>
      <c r="K580" s="176"/>
      <c r="L580" s="176"/>
      <c r="M580" s="176"/>
      <c r="N580" s="176"/>
      <c r="O580" s="176"/>
    </row>
    <row r="581" spans="2:15" ht="24">
      <c r="B581" s="21" t="s">
        <v>3107</v>
      </c>
      <c r="K581" s="176"/>
      <c r="L581" s="176"/>
      <c r="M581" s="176"/>
      <c r="N581" s="176"/>
      <c r="O581" s="176"/>
    </row>
    <row r="582" spans="2:15">
      <c r="B582" s="21" t="s">
        <v>3111</v>
      </c>
      <c r="K582" s="176"/>
      <c r="L582" s="176"/>
      <c r="M582" s="176"/>
      <c r="N582" s="176"/>
      <c r="O582" s="176"/>
    </row>
    <row r="583" spans="2:15">
      <c r="B583" s="21" t="s">
        <v>135</v>
      </c>
      <c r="K583" s="176"/>
      <c r="L583" s="176"/>
      <c r="M583" s="176"/>
      <c r="N583" s="176"/>
      <c r="O583" s="176"/>
    </row>
    <row r="584" spans="2:15">
      <c r="B584" s="21" t="s">
        <v>135</v>
      </c>
      <c r="K584" s="176"/>
      <c r="L584" s="176"/>
      <c r="M584" s="176"/>
      <c r="N584" s="176"/>
      <c r="O584" s="176"/>
    </row>
    <row r="585" spans="2:15">
      <c r="B585" s="21" t="s">
        <v>2431</v>
      </c>
      <c r="K585" s="176"/>
      <c r="L585" s="176"/>
      <c r="M585" s="176"/>
      <c r="N585" s="176"/>
      <c r="O585" s="176"/>
    </row>
    <row r="586" spans="2:15">
      <c r="B586" s="21" t="s">
        <v>2284</v>
      </c>
      <c r="K586" s="176"/>
      <c r="L586" s="176"/>
      <c r="M586" s="176"/>
      <c r="N586" s="176"/>
      <c r="O586" s="176"/>
    </row>
    <row r="587" spans="2:15">
      <c r="B587" s="21" t="s">
        <v>905</v>
      </c>
      <c r="K587" s="176"/>
      <c r="L587" s="176"/>
      <c r="M587" s="176"/>
      <c r="N587" s="176"/>
      <c r="O587" s="176"/>
    </row>
    <row r="588" spans="2:15">
      <c r="B588" s="21" t="s">
        <v>135</v>
      </c>
      <c r="K588" s="176"/>
      <c r="L588" s="176"/>
      <c r="M588" s="176"/>
      <c r="N588" s="176"/>
      <c r="O588" s="176"/>
    </row>
    <row r="589" spans="2:15">
      <c r="B589" s="21" t="s">
        <v>135</v>
      </c>
      <c r="K589" s="176"/>
      <c r="L589" s="176"/>
      <c r="M589" s="176"/>
      <c r="N589" s="176"/>
      <c r="O589" s="176"/>
    </row>
    <row r="590" spans="2:15">
      <c r="B590" s="21" t="s">
        <v>135</v>
      </c>
      <c r="K590" s="176"/>
      <c r="L590" s="176"/>
      <c r="M590" s="176"/>
      <c r="N590" s="176"/>
      <c r="O590" s="176"/>
    </row>
    <row r="591" spans="2:15">
      <c r="B591" s="21" t="s">
        <v>135</v>
      </c>
      <c r="K591" s="176"/>
      <c r="L591" s="176"/>
      <c r="M591" s="176"/>
      <c r="N591" s="176"/>
      <c r="O591" s="176"/>
    </row>
    <row r="592" spans="2:15">
      <c r="B592" s="21" t="s">
        <v>126</v>
      </c>
      <c r="K592" s="176"/>
      <c r="L592" s="176"/>
      <c r="M592" s="176"/>
      <c r="N592" s="176"/>
      <c r="O592" s="176"/>
    </row>
    <row r="593" spans="2:15">
      <c r="B593" s="21" t="s">
        <v>135</v>
      </c>
      <c r="K593" s="176"/>
      <c r="L593" s="176"/>
      <c r="M593" s="176"/>
      <c r="N593" s="176"/>
      <c r="O593" s="176"/>
    </row>
    <row r="594" spans="2:15">
      <c r="B594" s="21" t="s">
        <v>135</v>
      </c>
      <c r="K594" s="176"/>
      <c r="L594" s="176"/>
      <c r="M594" s="176"/>
      <c r="N594" s="176"/>
      <c r="O594" s="176"/>
    </row>
    <row r="595" spans="2:15">
      <c r="B595" s="21" t="s">
        <v>135</v>
      </c>
      <c r="K595" s="176"/>
      <c r="L595" s="176"/>
      <c r="M595" s="176"/>
      <c r="N595" s="176"/>
      <c r="O595" s="176"/>
    </row>
    <row r="596" spans="2:15">
      <c r="B596" s="21" t="s">
        <v>905</v>
      </c>
      <c r="K596" s="176"/>
      <c r="L596" s="176"/>
      <c r="M596" s="176"/>
      <c r="N596" s="176"/>
      <c r="O596" s="176"/>
    </row>
    <row r="597" spans="2:15">
      <c r="B597" s="21" t="s">
        <v>135</v>
      </c>
      <c r="K597" s="176"/>
      <c r="L597" s="176"/>
      <c r="M597" s="176"/>
      <c r="N597" s="176"/>
      <c r="O597" s="176"/>
    </row>
    <row r="598" spans="2:15">
      <c r="B598" s="21" t="s">
        <v>135</v>
      </c>
      <c r="K598" s="176"/>
      <c r="L598" s="176"/>
      <c r="M598" s="176"/>
      <c r="N598" s="176"/>
      <c r="O598" s="176"/>
    </row>
    <row r="599" spans="2:15">
      <c r="B599" s="21" t="s">
        <v>135</v>
      </c>
      <c r="K599" s="176"/>
      <c r="L599" s="176"/>
      <c r="M599" s="176"/>
      <c r="N599" s="176"/>
      <c r="O599" s="176"/>
    </row>
    <row r="600" spans="2:15">
      <c r="B600" s="21" t="s">
        <v>135</v>
      </c>
      <c r="K600" s="176"/>
      <c r="L600" s="176"/>
      <c r="M600" s="176"/>
      <c r="N600" s="176"/>
      <c r="O600" s="176"/>
    </row>
    <row r="601" spans="2:15">
      <c r="B601" s="21" t="s">
        <v>3266</v>
      </c>
      <c r="K601" s="176"/>
      <c r="L601" s="176"/>
      <c r="M601" s="176"/>
      <c r="N601" s="176"/>
      <c r="O601" s="176"/>
    </row>
    <row r="602" spans="2:15">
      <c r="B602" s="21" t="s">
        <v>135</v>
      </c>
      <c r="K602" s="176"/>
      <c r="L602" s="176"/>
      <c r="M602" s="176"/>
      <c r="N602" s="176"/>
      <c r="O602" s="176"/>
    </row>
    <row r="603" spans="2:15">
      <c r="B603" s="21" t="s">
        <v>135</v>
      </c>
      <c r="K603" s="176"/>
      <c r="L603" s="176"/>
      <c r="M603" s="176"/>
      <c r="N603" s="176"/>
      <c r="O603" s="176"/>
    </row>
    <row r="604" spans="2:15">
      <c r="B604" s="21" t="s">
        <v>135</v>
      </c>
      <c r="K604" s="176"/>
      <c r="L604" s="176"/>
      <c r="M604" s="176"/>
      <c r="N604" s="176"/>
      <c r="O604" s="176"/>
    </row>
    <row r="605" spans="2:15" ht="24">
      <c r="B605" s="21" t="s">
        <v>1005</v>
      </c>
      <c r="K605" s="176"/>
      <c r="L605" s="176"/>
      <c r="M605" s="176"/>
      <c r="N605" s="176"/>
      <c r="O605" s="176"/>
    </row>
    <row r="606" spans="2:15">
      <c r="B606" s="21" t="s">
        <v>2523</v>
      </c>
      <c r="K606" s="176"/>
      <c r="L606" s="176"/>
      <c r="M606" s="176"/>
      <c r="N606" s="176"/>
      <c r="O606" s="176"/>
    </row>
    <row r="607" spans="2:15" ht="36">
      <c r="B607" s="21" t="s">
        <v>3308</v>
      </c>
      <c r="K607" s="176"/>
      <c r="L607" s="176"/>
      <c r="M607" s="176"/>
      <c r="N607" s="176"/>
      <c r="O607" s="176"/>
    </row>
    <row r="608" spans="2:15">
      <c r="B608" s="21" t="s">
        <v>3312</v>
      </c>
      <c r="K608" s="176"/>
      <c r="L608" s="176"/>
      <c r="M608" s="176"/>
      <c r="N608" s="176"/>
      <c r="O608" s="176"/>
    </row>
    <row r="609" spans="2:15">
      <c r="B609" s="21" t="s">
        <v>3316</v>
      </c>
      <c r="K609" s="176"/>
      <c r="L609" s="176"/>
      <c r="M609" s="176"/>
      <c r="N609" s="176"/>
      <c r="O609" s="176"/>
    </row>
    <row r="610" spans="2:15">
      <c r="B610" s="21" t="s">
        <v>2523</v>
      </c>
      <c r="K610" s="176"/>
      <c r="L610" s="176"/>
      <c r="M610" s="176"/>
      <c r="N610" s="176"/>
      <c r="O610" s="176"/>
    </row>
    <row r="611" spans="2:15">
      <c r="B611" s="21" t="s">
        <v>1075</v>
      </c>
      <c r="K611" s="176"/>
      <c r="L611" s="176"/>
      <c r="M611" s="176"/>
      <c r="N611" s="176"/>
      <c r="O611" s="176"/>
    </row>
    <row r="612" spans="2:15">
      <c r="B612" s="21" t="s">
        <v>2062</v>
      </c>
      <c r="K612" s="176"/>
      <c r="L612" s="176"/>
      <c r="M612" s="176"/>
      <c r="N612" s="176"/>
      <c r="O612" s="176"/>
    </row>
    <row r="613" spans="2:15" ht="36">
      <c r="B613" s="21" t="s">
        <v>3352</v>
      </c>
      <c r="K613" s="176"/>
      <c r="L613" s="176"/>
      <c r="M613" s="176"/>
      <c r="N613" s="176"/>
      <c r="O613" s="176"/>
    </row>
    <row r="614" spans="2:15">
      <c r="B614" s="21" t="s">
        <v>293</v>
      </c>
      <c r="K614" s="176"/>
      <c r="L614" s="176"/>
      <c r="M614" s="176"/>
      <c r="N614" s="176"/>
      <c r="O614" s="176"/>
    </row>
    <row r="615" spans="2:15">
      <c r="B615" s="21" t="s">
        <v>135</v>
      </c>
      <c r="K615" s="176"/>
      <c r="L615" s="176"/>
      <c r="M615" s="176"/>
      <c r="N615" s="176"/>
      <c r="O615" s="176"/>
    </row>
    <row r="616" spans="2:15">
      <c r="B616" s="21" t="s">
        <v>135</v>
      </c>
      <c r="K616" s="176"/>
      <c r="L616" s="176"/>
      <c r="M616" s="176"/>
      <c r="N616" s="176"/>
      <c r="O616" s="176"/>
    </row>
    <row r="617" spans="2:15">
      <c r="B617" s="21" t="s">
        <v>135</v>
      </c>
      <c r="K617" s="176"/>
      <c r="L617" s="176"/>
      <c r="M617" s="176"/>
      <c r="N617" s="176"/>
      <c r="O617" s="176"/>
    </row>
    <row r="618" spans="2:15" ht="36">
      <c r="B618" s="21" t="s">
        <v>3381</v>
      </c>
      <c r="K618" s="176"/>
      <c r="L618" s="176"/>
      <c r="M618" s="176"/>
      <c r="N618" s="176"/>
      <c r="O618" s="176"/>
    </row>
    <row r="619" spans="2:15" ht="24">
      <c r="B619" s="21" t="s">
        <v>2200</v>
      </c>
      <c r="K619" s="176"/>
      <c r="L619" s="176"/>
      <c r="M619" s="176"/>
      <c r="N619" s="176"/>
      <c r="O619" s="176"/>
    </row>
    <row r="620" spans="2:15">
      <c r="B620" s="21" t="s">
        <v>135</v>
      </c>
      <c r="K620" s="176"/>
      <c r="L620" s="176"/>
      <c r="M620" s="176"/>
      <c r="N620" s="176"/>
      <c r="O620" s="176"/>
    </row>
    <row r="621" spans="2:15">
      <c r="B621" s="21" t="s">
        <v>3266</v>
      </c>
      <c r="K621" s="176"/>
      <c r="L621" s="176"/>
      <c r="M621" s="176"/>
      <c r="N621" s="176"/>
      <c r="O621" s="176"/>
    </row>
    <row r="622" spans="2:15">
      <c r="B622" s="21" t="s">
        <v>2284</v>
      </c>
      <c r="K622" s="176"/>
      <c r="L622" s="176"/>
      <c r="M622" s="176"/>
      <c r="N622" s="176"/>
      <c r="O622" s="176"/>
    </row>
    <row r="623" spans="2:15">
      <c r="B623" s="21" t="s">
        <v>905</v>
      </c>
      <c r="K623" s="176"/>
      <c r="L623" s="176"/>
      <c r="M623" s="176"/>
      <c r="N623" s="176"/>
      <c r="O623" s="176"/>
    </row>
    <row r="624" spans="2:15">
      <c r="B624" s="21" t="s">
        <v>293</v>
      </c>
      <c r="K624" s="176"/>
      <c r="L624" s="176"/>
      <c r="M624" s="176"/>
      <c r="N624" s="176"/>
      <c r="O624" s="176"/>
    </row>
    <row r="625" spans="2:15">
      <c r="B625" s="21" t="s">
        <v>135</v>
      </c>
      <c r="K625" s="176"/>
      <c r="L625" s="176"/>
      <c r="M625" s="176"/>
      <c r="N625" s="176"/>
      <c r="O625" s="176"/>
    </row>
    <row r="626" spans="2:15">
      <c r="B626" s="21" t="s">
        <v>135</v>
      </c>
      <c r="K626" s="176"/>
      <c r="L626" s="176"/>
      <c r="M626" s="176"/>
      <c r="N626" s="176"/>
      <c r="O626" s="176"/>
    </row>
    <row r="627" spans="2:15">
      <c r="B627" s="21" t="s">
        <v>135</v>
      </c>
      <c r="K627" s="176"/>
      <c r="L627" s="176"/>
      <c r="M627" s="176"/>
      <c r="N627" s="176"/>
      <c r="O627" s="176"/>
    </row>
    <row r="628" spans="2:15">
      <c r="B628" s="21" t="s">
        <v>135</v>
      </c>
      <c r="K628" s="176"/>
      <c r="L628" s="176"/>
      <c r="M628" s="176"/>
      <c r="N628" s="176"/>
      <c r="O628" s="176"/>
    </row>
    <row r="629" spans="2:15" ht="24">
      <c r="B629" s="21" t="s">
        <v>3539</v>
      </c>
      <c r="K629" s="176"/>
      <c r="L629" s="176"/>
      <c r="M629" s="176"/>
      <c r="N629" s="176"/>
      <c r="O629" s="176"/>
    </row>
    <row r="630" spans="2:15">
      <c r="B630" s="21" t="s">
        <v>135</v>
      </c>
      <c r="K630" s="176"/>
      <c r="L630" s="176"/>
      <c r="M630" s="176"/>
      <c r="N630" s="176"/>
      <c r="O630" s="176"/>
    </row>
    <row r="631" spans="2:15">
      <c r="B631" s="21" t="s">
        <v>933</v>
      </c>
      <c r="K631" s="176"/>
      <c r="L631" s="176"/>
      <c r="M631" s="176"/>
      <c r="N631" s="176"/>
      <c r="O631" s="176"/>
    </row>
    <row r="632" spans="2:15">
      <c r="B632" s="21" t="s">
        <v>41</v>
      </c>
      <c r="K632" s="176"/>
      <c r="L632" s="176"/>
      <c r="M632" s="176"/>
      <c r="N632" s="176"/>
      <c r="O632" s="176"/>
    </row>
    <row r="633" spans="2:15" ht="24">
      <c r="B633" s="21" t="s">
        <v>3573</v>
      </c>
      <c r="K633" s="176"/>
      <c r="L633" s="176"/>
      <c r="M633" s="176"/>
      <c r="N633" s="176"/>
      <c r="O633" s="176"/>
    </row>
    <row r="634" spans="2:15">
      <c r="B634" s="21" t="s">
        <v>2052</v>
      </c>
      <c r="K634" s="176"/>
      <c r="L634" s="176"/>
      <c r="M634" s="176"/>
      <c r="N634" s="176"/>
      <c r="O634" s="176"/>
    </row>
    <row r="635" spans="2:15">
      <c r="B635" s="21" t="s">
        <v>905</v>
      </c>
      <c r="K635" s="176"/>
      <c r="L635" s="176"/>
      <c r="M635" s="176"/>
      <c r="N635" s="176"/>
      <c r="O635" s="176"/>
    </row>
    <row r="636" spans="2:15">
      <c r="B636" s="21" t="s">
        <v>135</v>
      </c>
      <c r="K636" s="176"/>
      <c r="L636" s="176"/>
      <c r="M636" s="176"/>
      <c r="N636" s="176"/>
      <c r="O636" s="176"/>
    </row>
    <row r="637" spans="2:15">
      <c r="B637" s="21" t="s">
        <v>1011</v>
      </c>
      <c r="K637" s="176"/>
      <c r="L637" s="176"/>
      <c r="M637" s="176"/>
      <c r="N637" s="176"/>
      <c r="O637" s="176"/>
    </row>
    <row r="638" spans="2:15">
      <c r="B638" s="21" t="s">
        <v>3266</v>
      </c>
      <c r="K638" s="176"/>
      <c r="L638" s="176"/>
      <c r="M638" s="176"/>
      <c r="N638" s="176"/>
      <c r="O638" s="176"/>
    </row>
    <row r="639" spans="2:15" ht="24">
      <c r="B639" s="21" t="s">
        <v>3627</v>
      </c>
      <c r="K639" s="176"/>
      <c r="L639" s="176"/>
      <c r="M639" s="176"/>
      <c r="N639" s="176"/>
      <c r="O639" s="176"/>
    </row>
    <row r="640" spans="2:15">
      <c r="B640" s="21" t="s">
        <v>3637</v>
      </c>
      <c r="K640" s="176"/>
      <c r="L640" s="176"/>
      <c r="M640" s="176"/>
      <c r="N640" s="176"/>
      <c r="O640" s="176"/>
    </row>
    <row r="641" spans="2:15" ht="24">
      <c r="B641" s="21" t="s">
        <v>3642</v>
      </c>
      <c r="K641" s="176"/>
      <c r="L641" s="176"/>
      <c r="M641" s="176"/>
      <c r="N641" s="176"/>
      <c r="O641" s="176"/>
    </row>
    <row r="642" spans="2:15" ht="24">
      <c r="B642" s="21" t="s">
        <v>3647</v>
      </c>
      <c r="K642" s="176"/>
      <c r="L642" s="176"/>
      <c r="M642" s="176"/>
      <c r="N642" s="176"/>
      <c r="O642" s="176"/>
    </row>
    <row r="643" spans="2:15">
      <c r="B643" s="21" t="s">
        <v>3657</v>
      </c>
      <c r="K643" s="176"/>
      <c r="L643" s="176"/>
      <c r="M643" s="176"/>
      <c r="N643" s="176"/>
      <c r="O643" s="176"/>
    </row>
    <row r="644" spans="2:15" ht="36">
      <c r="B644" s="21" t="s">
        <v>3667</v>
      </c>
      <c r="K644" s="176"/>
      <c r="L644" s="176"/>
      <c r="M644" s="176"/>
      <c r="N644" s="176"/>
      <c r="O644" s="176"/>
    </row>
    <row r="645" spans="2:15">
      <c r="B645" s="21" t="s">
        <v>135</v>
      </c>
      <c r="K645" s="176"/>
      <c r="L645" s="176"/>
      <c r="M645" s="176"/>
      <c r="N645" s="176"/>
      <c r="O645" s="176"/>
    </row>
    <row r="646" spans="2:15">
      <c r="B646" s="21" t="s">
        <v>3678</v>
      </c>
      <c r="K646" s="176"/>
      <c r="L646" s="176"/>
      <c r="M646" s="176"/>
      <c r="N646" s="176"/>
      <c r="O646" s="176"/>
    </row>
    <row r="647" spans="2:15">
      <c r="B647" s="21" t="s">
        <v>17</v>
      </c>
      <c r="K647" s="176"/>
      <c r="L647" s="176"/>
      <c r="M647" s="176"/>
      <c r="N647" s="176"/>
      <c r="O647" s="176"/>
    </row>
    <row r="648" spans="2:15">
      <c r="B648" s="21" t="s">
        <v>905</v>
      </c>
      <c r="K648" s="176"/>
      <c r="L648" s="176"/>
      <c r="M648" s="176"/>
      <c r="N648" s="176"/>
      <c r="O648" s="176"/>
    </row>
    <row r="649" spans="2:15" ht="36">
      <c r="B649" s="21" t="s">
        <v>3711</v>
      </c>
      <c r="K649" s="176"/>
      <c r="L649" s="176"/>
      <c r="M649" s="176"/>
      <c r="N649" s="176"/>
      <c r="O649" s="176"/>
    </row>
    <row r="650" spans="2:15">
      <c r="B650" s="21" t="s">
        <v>2382</v>
      </c>
      <c r="K650" s="176"/>
      <c r="L650" s="176"/>
      <c r="M650" s="176"/>
      <c r="N650" s="176"/>
      <c r="O650" s="176"/>
    </row>
    <row r="651" spans="2:15">
      <c r="B651" s="21" t="s">
        <v>3729</v>
      </c>
      <c r="K651" s="176"/>
      <c r="L651" s="176"/>
      <c r="M651" s="176"/>
      <c r="N651" s="176"/>
      <c r="O651" s="176"/>
    </row>
    <row r="652" spans="2:15">
      <c r="B652" s="21" t="s">
        <v>135</v>
      </c>
      <c r="K652" s="176"/>
      <c r="L652" s="176"/>
      <c r="M652" s="176"/>
      <c r="N652" s="176"/>
      <c r="O652" s="176"/>
    </row>
    <row r="653" spans="2:15">
      <c r="B653" s="21" t="s">
        <v>2052</v>
      </c>
      <c r="K653" s="176"/>
      <c r="L653" s="176"/>
      <c r="M653" s="176"/>
      <c r="N653" s="176"/>
      <c r="O653" s="176"/>
    </row>
    <row r="654" spans="2:15">
      <c r="B654" s="21" t="s">
        <v>2052</v>
      </c>
      <c r="K654" s="176"/>
      <c r="L654" s="176"/>
      <c r="M654" s="176"/>
      <c r="N654" s="176"/>
      <c r="O654" s="176"/>
    </row>
    <row r="655" spans="2:15">
      <c r="B655" s="21" t="s">
        <v>2052</v>
      </c>
      <c r="K655" s="176"/>
      <c r="L655" s="176"/>
      <c r="M655" s="176"/>
      <c r="N655" s="176"/>
      <c r="O655" s="176"/>
    </row>
    <row r="656" spans="2:15">
      <c r="B656" s="21" t="s">
        <v>2236</v>
      </c>
      <c r="K656" s="176"/>
      <c r="L656" s="176"/>
      <c r="M656" s="176"/>
      <c r="N656" s="176"/>
      <c r="O656" s="176"/>
    </row>
    <row r="657" spans="2:15">
      <c r="B657" s="21" t="s">
        <v>3792</v>
      </c>
      <c r="K657" s="176"/>
      <c r="L657" s="176"/>
      <c r="M657" s="176"/>
      <c r="N657" s="176"/>
      <c r="O657" s="176"/>
    </row>
    <row r="658" spans="2:15" ht="36">
      <c r="B658" s="21" t="s">
        <v>3800</v>
      </c>
      <c r="K658" s="176"/>
      <c r="L658" s="176"/>
      <c r="M658" s="176"/>
      <c r="N658" s="176"/>
      <c r="O658" s="176"/>
    </row>
    <row r="659" spans="2:15">
      <c r="B659" s="21" t="s">
        <v>3805</v>
      </c>
      <c r="K659" s="176"/>
      <c r="L659" s="176"/>
      <c r="M659" s="176"/>
      <c r="N659" s="176"/>
      <c r="O659" s="176"/>
    </row>
    <row r="660" spans="2:15" ht="48">
      <c r="B660" s="21" t="s">
        <v>3810</v>
      </c>
      <c r="K660" s="176"/>
      <c r="L660" s="176"/>
      <c r="M660" s="176"/>
      <c r="N660" s="176"/>
      <c r="O660" s="176"/>
    </row>
    <row r="661" spans="2:15" ht="24">
      <c r="B661" s="21" t="s">
        <v>3820</v>
      </c>
      <c r="K661" s="176"/>
      <c r="L661" s="176"/>
      <c r="M661" s="176"/>
      <c r="N661" s="176"/>
      <c r="O661" s="176"/>
    </row>
    <row r="662" spans="2:15" ht="24">
      <c r="B662" s="21" t="s">
        <v>3839</v>
      </c>
      <c r="K662" s="176"/>
      <c r="L662" s="176"/>
      <c r="M662" s="176"/>
      <c r="N662" s="176"/>
      <c r="O662" s="176"/>
    </row>
    <row r="663" spans="2:15">
      <c r="B663" s="21" t="s">
        <v>1609</v>
      </c>
      <c r="K663" s="176"/>
      <c r="L663" s="176"/>
      <c r="M663" s="176"/>
      <c r="N663" s="176"/>
      <c r="O663" s="176"/>
    </row>
    <row r="664" spans="2:15" ht="48">
      <c r="B664" s="21" t="s">
        <v>3848</v>
      </c>
      <c r="K664" s="176"/>
      <c r="L664" s="176"/>
      <c r="M664" s="176"/>
      <c r="N664" s="176"/>
      <c r="O664" s="176"/>
    </row>
    <row r="665" spans="2:15">
      <c r="B665" s="21" t="s">
        <v>3853</v>
      </c>
      <c r="K665" s="176"/>
      <c r="L665" s="176"/>
      <c r="M665" s="176"/>
      <c r="N665" s="176"/>
      <c r="O665" s="176"/>
    </row>
    <row r="666" spans="2:15" ht="36">
      <c r="B666" s="21" t="s">
        <v>3858</v>
      </c>
      <c r="K666" s="176"/>
      <c r="L666" s="176"/>
      <c r="M666" s="176"/>
      <c r="N666" s="176"/>
      <c r="O666" s="176"/>
    </row>
    <row r="667" spans="2:15" ht="36">
      <c r="B667" s="21" t="s">
        <v>3863</v>
      </c>
      <c r="K667" s="176"/>
      <c r="L667" s="176"/>
      <c r="M667" s="176"/>
      <c r="N667" s="176"/>
      <c r="O667" s="176"/>
    </row>
    <row r="668" spans="2:15" ht="48">
      <c r="B668" s="21" t="s">
        <v>3871</v>
      </c>
      <c r="K668" s="176"/>
      <c r="L668" s="176"/>
      <c r="M668" s="176"/>
      <c r="N668" s="176"/>
      <c r="O668" s="176"/>
    </row>
    <row r="669" spans="2:15" ht="24">
      <c r="B669" s="21" t="s">
        <v>3883</v>
      </c>
      <c r="K669" s="176"/>
      <c r="L669" s="176"/>
      <c r="M669" s="176"/>
      <c r="N669" s="176"/>
      <c r="O669" s="176"/>
    </row>
    <row r="670" spans="2:15">
      <c r="B670" s="21" t="s">
        <v>863</v>
      </c>
      <c r="K670" s="176"/>
      <c r="L670" s="176"/>
      <c r="M670" s="176"/>
      <c r="N670" s="176"/>
      <c r="O670" s="176"/>
    </row>
    <row r="671" spans="2:15">
      <c r="B671" s="21" t="s">
        <v>326</v>
      </c>
      <c r="K671" s="176"/>
      <c r="L671" s="176"/>
      <c r="M671" s="176"/>
      <c r="N671" s="176"/>
      <c r="O671" s="176"/>
    </row>
    <row r="672" spans="2:15" ht="24">
      <c r="B672" s="21" t="s">
        <v>3915</v>
      </c>
      <c r="K672" s="176"/>
      <c r="L672" s="176"/>
      <c r="M672" s="176"/>
      <c r="N672" s="176"/>
      <c r="O672" s="176"/>
    </row>
    <row r="673" spans="2:15">
      <c r="B673" s="21" t="s">
        <v>490</v>
      </c>
      <c r="K673" s="176"/>
      <c r="L673" s="176"/>
      <c r="M673" s="176"/>
      <c r="N673" s="176"/>
      <c r="O673" s="176"/>
    </row>
    <row r="674" spans="2:15">
      <c r="B674" s="21" t="s">
        <v>3924</v>
      </c>
      <c r="K674" s="176"/>
      <c r="L674" s="176"/>
      <c r="M674" s="176"/>
      <c r="N674" s="176"/>
      <c r="O674" s="176"/>
    </row>
    <row r="675" spans="2:15">
      <c r="B675" s="21" t="s">
        <v>2236</v>
      </c>
      <c r="K675" s="176"/>
      <c r="L675" s="176"/>
      <c r="M675" s="176"/>
      <c r="N675" s="176"/>
      <c r="O675" s="176"/>
    </row>
    <row r="676" spans="2:15">
      <c r="B676" s="21" t="s">
        <v>3266</v>
      </c>
      <c r="K676" s="176"/>
      <c r="L676" s="176"/>
      <c r="M676" s="176"/>
      <c r="N676" s="176"/>
      <c r="O676" s="176"/>
    </row>
    <row r="677" spans="2:15">
      <c r="B677" s="21" t="s">
        <v>863</v>
      </c>
      <c r="K677" s="176"/>
      <c r="L677" s="176"/>
      <c r="M677" s="176"/>
      <c r="N677" s="176"/>
      <c r="O677" s="176"/>
    </row>
    <row r="678" spans="2:15">
      <c r="B678" s="21" t="s">
        <v>3266</v>
      </c>
      <c r="K678" s="176"/>
      <c r="L678" s="176"/>
      <c r="M678" s="176"/>
      <c r="N678" s="176"/>
      <c r="O678" s="176"/>
    </row>
    <row r="679" spans="2:15" ht="36">
      <c r="B679" s="21" t="s">
        <v>3975</v>
      </c>
      <c r="K679" s="176"/>
      <c r="L679" s="176"/>
      <c r="M679" s="176"/>
      <c r="N679" s="176"/>
      <c r="O679" s="176"/>
    </row>
    <row r="680" spans="2:15">
      <c r="B680" s="21" t="s">
        <v>3980</v>
      </c>
      <c r="K680" s="176"/>
      <c r="L680" s="176"/>
      <c r="M680" s="176"/>
      <c r="N680" s="176"/>
      <c r="O680" s="176"/>
    </row>
    <row r="681" spans="2:15" ht="24">
      <c r="B681" s="21" t="s">
        <v>3985</v>
      </c>
      <c r="K681" s="176"/>
      <c r="L681" s="176"/>
      <c r="M681" s="176"/>
      <c r="N681" s="176"/>
      <c r="O681" s="176"/>
    </row>
    <row r="682" spans="2:15">
      <c r="B682" s="21" t="s">
        <v>126</v>
      </c>
      <c r="K682" s="176"/>
      <c r="L682" s="176"/>
      <c r="M682" s="176"/>
      <c r="N682" s="176"/>
      <c r="O682" s="176"/>
    </row>
    <row r="683" spans="2:15">
      <c r="B683" s="21" t="s">
        <v>905</v>
      </c>
      <c r="K683" s="176"/>
      <c r="L683" s="176"/>
      <c r="M683" s="176"/>
      <c r="N683" s="176"/>
      <c r="O683" s="176"/>
    </row>
    <row r="684" spans="2:15">
      <c r="B684" s="21" t="s">
        <v>2382</v>
      </c>
      <c r="K684" s="176"/>
      <c r="L684" s="176"/>
      <c r="M684" s="176"/>
      <c r="N684" s="176"/>
      <c r="O684" s="176"/>
    </row>
    <row r="685" spans="2:15">
      <c r="B685" s="21" t="s">
        <v>2052</v>
      </c>
      <c r="K685" s="176"/>
      <c r="L685" s="176"/>
      <c r="M685" s="176"/>
      <c r="N685" s="176"/>
      <c r="O685" s="176"/>
    </row>
    <row r="686" spans="2:15" ht="36">
      <c r="B686" s="21" t="s">
        <v>4024</v>
      </c>
      <c r="K686" s="176"/>
      <c r="L686" s="176"/>
      <c r="M686" s="176"/>
      <c r="N686" s="176"/>
      <c r="O686" s="176"/>
    </row>
    <row r="687" spans="2:15">
      <c r="B687" s="21" t="s">
        <v>135</v>
      </c>
      <c r="K687" s="176"/>
      <c r="L687" s="176"/>
      <c r="M687" s="176"/>
      <c r="N687" s="176"/>
      <c r="O687" s="176"/>
    </row>
    <row r="688" spans="2:15">
      <c r="B688" s="21" t="s">
        <v>3924</v>
      </c>
      <c r="K688" s="176"/>
      <c r="L688" s="176"/>
      <c r="M688" s="176"/>
      <c r="N688" s="176"/>
      <c r="O688" s="176"/>
    </row>
    <row r="689" spans="2:15">
      <c r="B689" s="21" t="s">
        <v>1642</v>
      </c>
      <c r="K689" s="176"/>
      <c r="L689" s="176"/>
      <c r="M689" s="176"/>
      <c r="N689" s="176"/>
      <c r="O689" s="176"/>
    </row>
    <row r="690" spans="2:15">
      <c r="B690" s="21" t="s">
        <v>2023</v>
      </c>
      <c r="K690" s="176"/>
      <c r="L690" s="176"/>
      <c r="M690" s="176"/>
      <c r="N690" s="176"/>
      <c r="O690" s="176"/>
    </row>
    <row r="691" spans="2:15">
      <c r="B691" s="21" t="s">
        <v>3924</v>
      </c>
      <c r="K691" s="176"/>
      <c r="L691" s="176"/>
      <c r="M691" s="176"/>
      <c r="N691" s="176"/>
      <c r="O691" s="176"/>
    </row>
    <row r="692" spans="2:15" ht="24">
      <c r="B692" s="21" t="s">
        <v>2922</v>
      </c>
      <c r="K692" s="176"/>
      <c r="L692" s="176"/>
      <c r="M692" s="176"/>
      <c r="N692" s="176"/>
      <c r="O692" s="176"/>
    </row>
    <row r="693" spans="2:15">
      <c r="B693" s="21" t="s">
        <v>17</v>
      </c>
      <c r="K693" s="176"/>
      <c r="L693" s="176"/>
      <c r="M693" s="176"/>
      <c r="N693" s="176"/>
      <c r="O693" s="176"/>
    </row>
    <row r="694" spans="2:15">
      <c r="B694" s="21" t="s">
        <v>135</v>
      </c>
      <c r="K694" s="176"/>
      <c r="L694" s="176"/>
      <c r="M694" s="176"/>
      <c r="N694" s="176"/>
      <c r="O694" s="176"/>
    </row>
    <row r="695" spans="2:15" ht="36">
      <c r="B695" s="21" t="s">
        <v>4168</v>
      </c>
      <c r="K695" s="176"/>
      <c r="L695" s="176"/>
      <c r="M695" s="176"/>
      <c r="N695" s="176"/>
      <c r="O695" s="176"/>
    </row>
    <row r="696" spans="2:15">
      <c r="B696" s="21" t="s">
        <v>135</v>
      </c>
      <c r="K696" s="176"/>
      <c r="L696" s="176"/>
      <c r="M696" s="176"/>
      <c r="N696" s="176"/>
      <c r="O696" s="176"/>
    </row>
    <row r="697" spans="2:15" ht="24">
      <c r="B697" s="21" t="s">
        <v>4190</v>
      </c>
      <c r="K697" s="176"/>
      <c r="L697" s="176"/>
      <c r="M697" s="176"/>
      <c r="N697" s="176"/>
      <c r="O697" s="176"/>
    </row>
    <row r="698" spans="2:15" ht="24">
      <c r="B698" s="21" t="s">
        <v>4195</v>
      </c>
      <c r="K698" s="176"/>
      <c r="L698" s="176"/>
      <c r="M698" s="176"/>
      <c r="N698" s="176"/>
      <c r="O698" s="176"/>
    </row>
    <row r="699" spans="2:15">
      <c r="B699" s="32" t="s">
        <v>170</v>
      </c>
      <c r="K699" s="176"/>
      <c r="L699" s="176"/>
      <c r="M699" s="176"/>
      <c r="N699" s="176"/>
      <c r="O699" s="176"/>
    </row>
    <row r="700" spans="2:15" ht="24">
      <c r="B700" s="21" t="s">
        <v>4214</v>
      </c>
      <c r="K700" s="176"/>
      <c r="L700" s="176"/>
      <c r="M700" s="176"/>
      <c r="N700" s="176"/>
      <c r="O700" s="176"/>
    </row>
    <row r="701" spans="2:15">
      <c r="B701" s="21" t="s">
        <v>863</v>
      </c>
      <c r="K701" s="176"/>
      <c r="L701" s="176"/>
      <c r="M701" s="176"/>
      <c r="N701" s="176"/>
      <c r="O701" s="176"/>
    </row>
    <row r="702" spans="2:15">
      <c r="B702" s="112" t="s">
        <v>41</v>
      </c>
      <c r="K702" s="176"/>
      <c r="L702" s="176"/>
      <c r="M702" s="176"/>
      <c r="N702" s="176"/>
      <c r="O702" s="176"/>
    </row>
    <row r="703" spans="2:15">
      <c r="B703" s="21" t="s">
        <v>863</v>
      </c>
      <c r="K703" s="176"/>
      <c r="L703" s="176"/>
      <c r="M703" s="176"/>
      <c r="N703" s="176"/>
      <c r="O703" s="176"/>
    </row>
    <row r="704" spans="2:15" ht="24">
      <c r="B704" s="114" t="s">
        <v>4309</v>
      </c>
      <c r="K704" s="176"/>
      <c r="L704" s="176"/>
      <c r="M704" s="176"/>
      <c r="N704" s="176"/>
      <c r="O704" s="176"/>
    </row>
    <row r="705" spans="2:15" ht="36">
      <c r="B705" s="21" t="s">
        <v>4317</v>
      </c>
      <c r="K705" s="176"/>
      <c r="L705" s="176"/>
      <c r="M705" s="176"/>
      <c r="N705" s="176"/>
      <c r="O705" s="176"/>
    </row>
    <row r="706" spans="2:15">
      <c r="B706" s="21" t="s">
        <v>1609</v>
      </c>
      <c r="K706" s="176"/>
      <c r="L706" s="176"/>
      <c r="M706" s="176"/>
      <c r="N706" s="176"/>
      <c r="O706" s="176"/>
    </row>
    <row r="707" spans="2:15">
      <c r="B707" s="120" t="s">
        <v>4329</v>
      </c>
      <c r="K707" s="176"/>
      <c r="L707" s="176"/>
      <c r="M707" s="176"/>
      <c r="N707" s="176"/>
      <c r="O707" s="176"/>
    </row>
    <row r="708" spans="2:15">
      <c r="K708" s="176"/>
      <c r="L708" s="176"/>
      <c r="M708" s="176"/>
      <c r="N708" s="176"/>
      <c r="O708" s="176"/>
    </row>
    <row r="709" spans="2:15">
      <c r="K709" s="176"/>
      <c r="L709" s="176"/>
      <c r="M709" s="176"/>
      <c r="N709" s="176"/>
      <c r="O709" s="176"/>
    </row>
    <row r="710" spans="2:15">
      <c r="K710" s="176"/>
      <c r="L710" s="176"/>
      <c r="M710" s="176"/>
      <c r="N710" s="176"/>
      <c r="O710" s="176"/>
    </row>
    <row r="711" spans="2:15">
      <c r="K711" s="176"/>
      <c r="L711" s="176"/>
      <c r="M711" s="176"/>
      <c r="N711" s="176"/>
      <c r="O711" s="176"/>
    </row>
    <row r="712" spans="2:15">
      <c r="K712" s="176"/>
      <c r="L712" s="176"/>
      <c r="M712" s="176"/>
      <c r="N712" s="176"/>
      <c r="O712" s="176"/>
    </row>
    <row r="713" spans="2:15">
      <c r="K713" s="176"/>
      <c r="L713" s="176"/>
      <c r="M713" s="176"/>
      <c r="N713" s="176"/>
      <c r="O713" s="176"/>
    </row>
    <row r="714" spans="2:15">
      <c r="K714" s="176"/>
      <c r="L714" s="176"/>
      <c r="M714" s="176"/>
      <c r="N714" s="176"/>
      <c r="O714" s="176"/>
    </row>
    <row r="715" spans="2:15">
      <c r="K715" s="176"/>
      <c r="L715" s="176"/>
      <c r="M715" s="176"/>
      <c r="N715" s="176"/>
      <c r="O715" s="176"/>
    </row>
    <row r="716" spans="2:15">
      <c r="K716" s="176"/>
      <c r="L716" s="176"/>
      <c r="M716" s="176"/>
      <c r="N716" s="176"/>
      <c r="O716" s="176"/>
    </row>
    <row r="717" spans="2:15">
      <c r="K717" s="176"/>
      <c r="L717" s="176"/>
      <c r="M717" s="176"/>
      <c r="N717" s="176"/>
      <c r="O717" s="176"/>
    </row>
    <row r="718" spans="2:15">
      <c r="K718" s="176"/>
      <c r="L718" s="176"/>
      <c r="M718" s="176"/>
      <c r="N718" s="176"/>
      <c r="O718" s="176"/>
    </row>
    <row r="719" spans="2:15">
      <c r="K719" s="176"/>
      <c r="L719" s="176"/>
      <c r="M719" s="176"/>
      <c r="N719" s="176"/>
      <c r="O719" s="176"/>
    </row>
    <row r="720" spans="2:15">
      <c r="K720" s="176"/>
      <c r="L720" s="176"/>
      <c r="M720" s="176"/>
      <c r="N720" s="176"/>
      <c r="O720" s="176"/>
    </row>
    <row r="721" spans="11:15">
      <c r="K721" s="176"/>
      <c r="L721" s="176"/>
      <c r="M721" s="176"/>
      <c r="N721" s="176"/>
      <c r="O721" s="176"/>
    </row>
    <row r="722" spans="11:15">
      <c r="K722" s="176"/>
      <c r="L722" s="176"/>
      <c r="M722" s="176"/>
      <c r="N722" s="176"/>
      <c r="O722" s="176"/>
    </row>
    <row r="723" spans="11:15">
      <c r="K723" s="176"/>
      <c r="L723" s="176"/>
      <c r="M723" s="176"/>
      <c r="N723" s="176"/>
      <c r="O723" s="176"/>
    </row>
    <row r="724" spans="11:15">
      <c r="K724" s="176"/>
      <c r="L724" s="176"/>
      <c r="M724" s="176"/>
      <c r="N724" s="176"/>
      <c r="O724" s="176"/>
    </row>
    <row r="725" spans="11:15">
      <c r="K725" s="176"/>
      <c r="L725" s="176"/>
      <c r="M725" s="176"/>
      <c r="N725" s="176"/>
      <c r="O725" s="176"/>
    </row>
    <row r="726" spans="11:15">
      <c r="K726" s="176"/>
      <c r="L726" s="176"/>
      <c r="M726" s="176"/>
      <c r="N726" s="176"/>
      <c r="O726" s="176"/>
    </row>
    <row r="727" spans="11:15">
      <c r="K727" s="176"/>
      <c r="L727" s="176"/>
      <c r="M727" s="176"/>
      <c r="N727" s="176"/>
      <c r="O727" s="176"/>
    </row>
    <row r="728" spans="11:15">
      <c r="K728" s="176"/>
      <c r="L728" s="176"/>
      <c r="M728" s="176"/>
      <c r="N728" s="176"/>
      <c r="O728" s="176"/>
    </row>
    <row r="729" spans="11:15">
      <c r="K729" s="176"/>
      <c r="L729" s="176"/>
      <c r="M729" s="176"/>
      <c r="N729" s="176"/>
      <c r="O729" s="176"/>
    </row>
    <row r="730" spans="11:15">
      <c r="K730" s="176"/>
      <c r="L730" s="176"/>
      <c r="M730" s="176"/>
      <c r="N730" s="176"/>
      <c r="O730" s="176"/>
    </row>
    <row r="731" spans="11:15">
      <c r="K731" s="176"/>
      <c r="L731" s="176"/>
      <c r="M731" s="176"/>
      <c r="N731" s="176"/>
      <c r="O731" s="176"/>
    </row>
    <row r="732" spans="11:15">
      <c r="K732" s="176"/>
      <c r="L732" s="176"/>
      <c r="M732" s="176"/>
      <c r="N732" s="176"/>
      <c r="O732" s="176"/>
    </row>
    <row r="733" spans="11:15">
      <c r="K733" s="176"/>
      <c r="L733" s="176"/>
      <c r="M733" s="176"/>
      <c r="N733" s="176"/>
      <c r="O733" s="176"/>
    </row>
    <row r="734" spans="11:15">
      <c r="K734" s="176"/>
      <c r="L734" s="176"/>
      <c r="M734" s="176"/>
      <c r="N734" s="176"/>
      <c r="O734" s="176"/>
    </row>
    <row r="735" spans="11:15">
      <c r="K735" s="176"/>
      <c r="L735" s="176"/>
      <c r="M735" s="176"/>
      <c r="N735" s="176"/>
      <c r="O735" s="176"/>
    </row>
    <row r="736" spans="11:15">
      <c r="K736" s="176"/>
      <c r="L736" s="176"/>
      <c r="M736" s="176"/>
      <c r="N736" s="176"/>
      <c r="O736" s="176"/>
    </row>
    <row r="737" spans="11:15">
      <c r="K737" s="176"/>
      <c r="L737" s="176"/>
      <c r="M737" s="176"/>
      <c r="N737" s="176"/>
      <c r="O737" s="176"/>
    </row>
    <row r="738" spans="11:15">
      <c r="K738" s="176"/>
      <c r="L738" s="176"/>
      <c r="M738" s="176"/>
      <c r="N738" s="176"/>
      <c r="O738" s="176"/>
    </row>
    <row r="739" spans="11:15">
      <c r="K739" s="176"/>
      <c r="L739" s="176"/>
      <c r="M739" s="176"/>
      <c r="N739" s="176"/>
      <c r="O739" s="176"/>
    </row>
    <row r="740" spans="11:15">
      <c r="K740" s="176"/>
      <c r="L740" s="176"/>
      <c r="M740" s="176"/>
      <c r="N740" s="176"/>
      <c r="O740" s="176"/>
    </row>
    <row r="741" spans="11:15">
      <c r="K741" s="176"/>
      <c r="L741" s="176"/>
      <c r="M741" s="176"/>
      <c r="N741" s="176"/>
      <c r="O741" s="176"/>
    </row>
    <row r="742" spans="11:15">
      <c r="K742" s="176"/>
      <c r="L742" s="176"/>
      <c r="M742" s="176"/>
      <c r="N742" s="176"/>
      <c r="O742" s="176"/>
    </row>
    <row r="743" spans="11:15">
      <c r="K743" s="176"/>
      <c r="L743" s="176"/>
      <c r="M743" s="176"/>
      <c r="N743" s="176"/>
      <c r="O743" s="176"/>
    </row>
    <row r="744" spans="11:15">
      <c r="K744" s="176"/>
      <c r="L744" s="176"/>
      <c r="M744" s="176"/>
      <c r="N744" s="176"/>
      <c r="O744" s="176"/>
    </row>
    <row r="745" spans="11:15">
      <c r="K745" s="176"/>
      <c r="L745" s="176"/>
      <c r="M745" s="176"/>
      <c r="N745" s="176"/>
      <c r="O745" s="176"/>
    </row>
    <row r="746" spans="11:15">
      <c r="K746" s="176"/>
      <c r="L746" s="176"/>
      <c r="M746" s="176"/>
      <c r="N746" s="176"/>
      <c r="O746" s="176"/>
    </row>
    <row r="747" spans="11:15">
      <c r="K747" s="176"/>
      <c r="L747" s="176"/>
      <c r="M747" s="176"/>
      <c r="N747" s="176"/>
      <c r="O747" s="176"/>
    </row>
    <row r="748" spans="11:15">
      <c r="K748" s="176"/>
      <c r="L748" s="176"/>
      <c r="M748" s="176"/>
      <c r="N748" s="176"/>
      <c r="O748" s="176"/>
    </row>
    <row r="749" spans="11:15">
      <c r="K749" s="176"/>
      <c r="L749" s="176"/>
      <c r="M749" s="176"/>
      <c r="N749" s="176"/>
      <c r="O749" s="176"/>
    </row>
    <row r="750" spans="11:15">
      <c r="K750" s="176"/>
      <c r="L750" s="176"/>
      <c r="M750" s="176"/>
      <c r="N750" s="176"/>
      <c r="O750" s="176"/>
    </row>
    <row r="751" spans="11:15">
      <c r="K751" s="176"/>
      <c r="L751" s="176"/>
      <c r="M751" s="176"/>
      <c r="N751" s="176"/>
      <c r="O751" s="176"/>
    </row>
    <row r="752" spans="11:15">
      <c r="K752" s="176"/>
      <c r="L752" s="176"/>
      <c r="M752" s="176"/>
      <c r="N752" s="176"/>
      <c r="O752" s="176"/>
    </row>
    <row r="753" spans="11:15">
      <c r="K753" s="176"/>
      <c r="L753" s="176"/>
      <c r="M753" s="176"/>
      <c r="N753" s="176"/>
      <c r="O753" s="176"/>
    </row>
    <row r="754" spans="11:15">
      <c r="K754" s="176"/>
      <c r="L754" s="176"/>
      <c r="M754" s="176"/>
      <c r="N754" s="176"/>
      <c r="O754" s="176"/>
    </row>
    <row r="755" spans="11:15">
      <c r="K755" s="176"/>
      <c r="L755" s="176"/>
      <c r="M755" s="176"/>
      <c r="N755" s="176"/>
      <c r="O755" s="176"/>
    </row>
    <row r="756" spans="11:15">
      <c r="K756" s="176"/>
      <c r="L756" s="176"/>
      <c r="M756" s="176"/>
      <c r="N756" s="176"/>
      <c r="O756" s="176"/>
    </row>
    <row r="757" spans="11:15">
      <c r="K757" s="176"/>
      <c r="L757" s="176"/>
      <c r="M757" s="176"/>
      <c r="N757" s="176"/>
      <c r="O757" s="176"/>
    </row>
    <row r="758" spans="11:15">
      <c r="K758" s="176"/>
      <c r="L758" s="176"/>
      <c r="M758" s="176"/>
      <c r="N758" s="176"/>
      <c r="O758" s="176"/>
    </row>
    <row r="759" spans="11:15">
      <c r="K759" s="176"/>
      <c r="L759" s="176"/>
      <c r="M759" s="176"/>
      <c r="N759" s="176"/>
      <c r="O759" s="176"/>
    </row>
    <row r="760" spans="11:15">
      <c r="K760" s="176"/>
      <c r="L760" s="176"/>
      <c r="M760" s="176"/>
      <c r="N760" s="176"/>
      <c r="O760" s="176"/>
    </row>
    <row r="761" spans="11:15">
      <c r="K761" s="176"/>
      <c r="L761" s="176"/>
      <c r="M761" s="176"/>
      <c r="N761" s="176"/>
      <c r="O761" s="176"/>
    </row>
    <row r="762" spans="11:15">
      <c r="K762" s="176"/>
      <c r="L762" s="176"/>
      <c r="M762" s="176"/>
      <c r="N762" s="176"/>
      <c r="O762" s="176"/>
    </row>
    <row r="763" spans="11:15">
      <c r="K763" s="176"/>
      <c r="L763" s="176"/>
      <c r="M763" s="176"/>
      <c r="N763" s="176"/>
      <c r="O763" s="176"/>
    </row>
    <row r="764" spans="11:15">
      <c r="K764" s="176"/>
      <c r="L764" s="176"/>
      <c r="M764" s="176"/>
      <c r="N764" s="176"/>
      <c r="O764" s="176"/>
    </row>
    <row r="765" spans="11:15">
      <c r="K765" s="176"/>
      <c r="L765" s="176"/>
      <c r="M765" s="176"/>
      <c r="N765" s="176"/>
      <c r="O765" s="176"/>
    </row>
    <row r="766" spans="11:15">
      <c r="K766" s="176"/>
      <c r="L766" s="176"/>
      <c r="M766" s="176"/>
      <c r="N766" s="176"/>
      <c r="O766" s="176"/>
    </row>
    <row r="767" spans="11:15">
      <c r="K767" s="176"/>
      <c r="L767" s="176"/>
      <c r="M767" s="176"/>
      <c r="N767" s="176"/>
      <c r="O767" s="176"/>
    </row>
    <row r="768" spans="11:15">
      <c r="K768" s="176"/>
      <c r="L768" s="176"/>
      <c r="M768" s="176"/>
      <c r="N768" s="176"/>
      <c r="O768" s="176"/>
    </row>
    <row r="769" spans="11:15">
      <c r="K769" s="176"/>
      <c r="L769" s="176"/>
      <c r="M769" s="176"/>
      <c r="N769" s="176"/>
      <c r="O769" s="176"/>
    </row>
    <row r="770" spans="11:15">
      <c r="K770" s="176"/>
      <c r="L770" s="176"/>
      <c r="M770" s="176"/>
      <c r="N770" s="176"/>
      <c r="O770" s="176"/>
    </row>
    <row r="771" spans="11:15">
      <c r="K771" s="176"/>
      <c r="L771" s="176"/>
      <c r="M771" s="176"/>
      <c r="N771" s="176"/>
      <c r="O771" s="176"/>
    </row>
    <row r="772" spans="11:15">
      <c r="K772" s="176"/>
      <c r="L772" s="176"/>
      <c r="M772" s="176"/>
      <c r="N772" s="176"/>
      <c r="O772" s="176"/>
    </row>
    <row r="773" spans="11:15">
      <c r="K773" s="176"/>
      <c r="L773" s="176"/>
      <c r="M773" s="176"/>
      <c r="N773" s="176"/>
      <c r="O773" s="176"/>
    </row>
    <row r="774" spans="11:15">
      <c r="K774" s="176"/>
      <c r="L774" s="176"/>
      <c r="M774" s="176"/>
      <c r="N774" s="176"/>
      <c r="O774" s="176"/>
    </row>
    <row r="775" spans="11:15">
      <c r="K775" s="176"/>
      <c r="L775" s="176"/>
      <c r="M775" s="176"/>
      <c r="N775" s="176"/>
      <c r="O775" s="176"/>
    </row>
    <row r="776" spans="11:15">
      <c r="K776" s="176"/>
      <c r="L776" s="176"/>
      <c r="M776" s="176"/>
      <c r="N776" s="176"/>
      <c r="O776" s="176"/>
    </row>
    <row r="777" spans="11:15">
      <c r="K777" s="176"/>
      <c r="L777" s="176"/>
      <c r="M777" s="176"/>
      <c r="N777" s="176"/>
      <c r="O777" s="176"/>
    </row>
    <row r="778" spans="11:15">
      <c r="K778" s="176"/>
      <c r="L778" s="176"/>
      <c r="M778" s="176"/>
      <c r="N778" s="176"/>
      <c r="O778" s="176"/>
    </row>
    <row r="779" spans="11:15">
      <c r="K779" s="176"/>
      <c r="L779" s="176"/>
      <c r="M779" s="176"/>
      <c r="N779" s="176"/>
      <c r="O779" s="176"/>
    </row>
    <row r="780" spans="11:15">
      <c r="K780" s="176"/>
      <c r="L780" s="176"/>
      <c r="M780" s="176"/>
      <c r="N780" s="176"/>
      <c r="O780" s="176"/>
    </row>
    <row r="781" spans="11:15">
      <c r="K781" s="176"/>
      <c r="L781" s="176"/>
      <c r="M781" s="176"/>
      <c r="N781" s="176"/>
      <c r="O781" s="176"/>
    </row>
    <row r="782" spans="11:15">
      <c r="K782" s="176"/>
      <c r="L782" s="176"/>
      <c r="M782" s="176"/>
      <c r="N782" s="176"/>
      <c r="O782" s="176"/>
    </row>
    <row r="783" spans="11:15">
      <c r="K783" s="176"/>
      <c r="L783" s="176"/>
      <c r="M783" s="176"/>
      <c r="N783" s="176"/>
      <c r="O783" s="176"/>
    </row>
    <row r="784" spans="11:15">
      <c r="K784" s="176"/>
      <c r="L784" s="176"/>
      <c r="M784" s="176"/>
      <c r="N784" s="176"/>
      <c r="O784" s="176"/>
    </row>
    <row r="785" spans="11:15">
      <c r="K785" s="176"/>
      <c r="L785" s="176"/>
      <c r="M785" s="176"/>
      <c r="N785" s="176"/>
      <c r="O785" s="176"/>
    </row>
    <row r="786" spans="11:15">
      <c r="K786" s="176"/>
      <c r="L786" s="176"/>
      <c r="M786" s="176"/>
      <c r="N786" s="176"/>
      <c r="O786" s="176"/>
    </row>
    <row r="787" spans="11:15">
      <c r="K787" s="176"/>
      <c r="L787" s="176"/>
      <c r="M787" s="176"/>
      <c r="N787" s="176"/>
      <c r="O787" s="176"/>
    </row>
    <row r="788" spans="11:15">
      <c r="K788" s="176"/>
      <c r="L788" s="176"/>
      <c r="M788" s="176"/>
      <c r="N788" s="176"/>
      <c r="O788" s="176"/>
    </row>
    <row r="789" spans="11:15">
      <c r="K789" s="176"/>
      <c r="L789" s="176"/>
      <c r="M789" s="176"/>
      <c r="N789" s="176"/>
      <c r="O789" s="176"/>
    </row>
    <row r="790" spans="11:15">
      <c r="K790" s="176"/>
      <c r="L790" s="176"/>
      <c r="M790" s="176"/>
      <c r="N790" s="176"/>
      <c r="O790" s="176"/>
    </row>
    <row r="791" spans="11:15">
      <c r="K791" s="176"/>
      <c r="L791" s="176"/>
      <c r="M791" s="176"/>
      <c r="N791" s="176"/>
      <c r="O791" s="176"/>
    </row>
    <row r="792" spans="11:15">
      <c r="K792" s="176"/>
      <c r="L792" s="176"/>
      <c r="M792" s="176"/>
      <c r="N792" s="176"/>
      <c r="O792" s="176"/>
    </row>
    <row r="793" spans="11:15">
      <c r="K793" s="176"/>
      <c r="L793" s="176"/>
      <c r="M793" s="176"/>
      <c r="N793" s="176"/>
      <c r="O793" s="176"/>
    </row>
    <row r="794" spans="11:15">
      <c r="K794" s="176"/>
      <c r="L794" s="176"/>
      <c r="M794" s="176"/>
      <c r="N794" s="176"/>
      <c r="O794" s="176"/>
    </row>
    <row r="795" spans="11:15">
      <c r="K795" s="176"/>
      <c r="L795" s="176"/>
      <c r="M795" s="176"/>
      <c r="N795" s="176"/>
      <c r="O795" s="176"/>
    </row>
    <row r="796" spans="11:15">
      <c r="K796" s="176"/>
      <c r="L796" s="176"/>
      <c r="M796" s="176"/>
      <c r="N796" s="176"/>
      <c r="O796" s="176"/>
    </row>
    <row r="797" spans="11:15">
      <c r="K797" s="176"/>
      <c r="L797" s="176"/>
      <c r="M797" s="176"/>
      <c r="N797" s="176"/>
      <c r="O797" s="176"/>
    </row>
    <row r="798" spans="11:15">
      <c r="K798" s="176"/>
      <c r="L798" s="176"/>
      <c r="M798" s="176"/>
      <c r="N798" s="176"/>
      <c r="O798" s="176"/>
    </row>
    <row r="799" spans="11:15">
      <c r="K799" s="176"/>
      <c r="L799" s="176"/>
      <c r="M799" s="176"/>
      <c r="N799" s="176"/>
      <c r="O799" s="176"/>
    </row>
    <row r="800" spans="11:15">
      <c r="K800" s="176"/>
      <c r="L800" s="176"/>
      <c r="M800" s="176"/>
      <c r="N800" s="176"/>
      <c r="O800" s="176"/>
    </row>
    <row r="801" spans="11:15">
      <c r="K801" s="176"/>
      <c r="L801" s="176"/>
      <c r="M801" s="176"/>
      <c r="N801" s="176"/>
      <c r="O801" s="176"/>
    </row>
    <row r="802" spans="11:15">
      <c r="K802" s="176"/>
      <c r="L802" s="176"/>
      <c r="M802" s="176"/>
      <c r="N802" s="176"/>
      <c r="O802" s="176"/>
    </row>
    <row r="803" spans="11:15">
      <c r="K803" s="176"/>
      <c r="L803" s="176"/>
      <c r="M803" s="176"/>
      <c r="N803" s="176"/>
      <c r="O803" s="176"/>
    </row>
    <row r="804" spans="11:15">
      <c r="K804" s="176"/>
      <c r="L804" s="176"/>
      <c r="M804" s="176"/>
      <c r="N804" s="176"/>
      <c r="O804" s="176"/>
    </row>
    <row r="805" spans="11:15">
      <c r="K805" s="176"/>
      <c r="L805" s="176"/>
      <c r="M805" s="176"/>
      <c r="N805" s="176"/>
      <c r="O805" s="176"/>
    </row>
    <row r="806" spans="11:15">
      <c r="K806" s="176"/>
      <c r="L806" s="176"/>
      <c r="M806" s="176"/>
      <c r="N806" s="176"/>
      <c r="O806" s="176"/>
    </row>
    <row r="807" spans="11:15">
      <c r="K807" s="176"/>
      <c r="L807" s="176"/>
      <c r="M807" s="176"/>
      <c r="N807" s="176"/>
      <c r="O807" s="176"/>
    </row>
    <row r="808" spans="11:15">
      <c r="K808" s="176"/>
      <c r="L808" s="176"/>
      <c r="M808" s="176"/>
      <c r="N808" s="176"/>
      <c r="O808" s="176"/>
    </row>
    <row r="809" spans="11:15">
      <c r="K809" s="176"/>
      <c r="L809" s="176"/>
      <c r="M809" s="176"/>
      <c r="N809" s="176"/>
      <c r="O809" s="176"/>
    </row>
    <row r="810" spans="11:15">
      <c r="K810" s="176"/>
      <c r="L810" s="176"/>
      <c r="M810" s="176"/>
      <c r="N810" s="176"/>
      <c r="O810" s="176"/>
    </row>
    <row r="811" spans="11:15">
      <c r="K811" s="176"/>
      <c r="L811" s="176"/>
      <c r="M811" s="176"/>
      <c r="N811" s="176"/>
      <c r="O811" s="176"/>
    </row>
    <row r="812" spans="11:15">
      <c r="K812" s="176"/>
      <c r="L812" s="176"/>
      <c r="M812" s="176"/>
      <c r="N812" s="176"/>
      <c r="O812" s="176"/>
    </row>
    <row r="813" spans="11:15">
      <c r="K813" s="176"/>
      <c r="L813" s="176"/>
      <c r="M813" s="176"/>
      <c r="N813" s="176"/>
      <c r="O813" s="176"/>
    </row>
    <row r="814" spans="11:15">
      <c r="K814" s="176"/>
      <c r="L814" s="176"/>
      <c r="M814" s="176"/>
      <c r="N814" s="176"/>
      <c r="O814" s="176"/>
    </row>
    <row r="815" spans="11:15">
      <c r="K815" s="176"/>
      <c r="L815" s="176"/>
      <c r="M815" s="176"/>
      <c r="N815" s="176"/>
      <c r="O815" s="176"/>
    </row>
    <row r="816" spans="11:15">
      <c r="K816" s="176"/>
      <c r="L816" s="176"/>
      <c r="M816" s="176"/>
      <c r="N816" s="176"/>
      <c r="O816" s="176"/>
    </row>
    <row r="817" spans="11:15">
      <c r="K817" s="176"/>
      <c r="L817" s="176"/>
      <c r="M817" s="176"/>
      <c r="N817" s="176"/>
      <c r="O817" s="176"/>
    </row>
    <row r="818" spans="11:15">
      <c r="K818" s="176"/>
      <c r="L818" s="176"/>
      <c r="M818" s="176"/>
      <c r="N818" s="176"/>
      <c r="O818" s="176"/>
    </row>
    <row r="819" spans="11:15">
      <c r="K819" s="176"/>
      <c r="L819" s="176"/>
      <c r="M819" s="176"/>
      <c r="N819" s="176"/>
      <c r="O819" s="176"/>
    </row>
    <row r="820" spans="11:15">
      <c r="K820" s="176"/>
      <c r="L820" s="176"/>
      <c r="M820" s="176"/>
      <c r="N820" s="176"/>
      <c r="O820" s="176"/>
    </row>
    <row r="821" spans="11:15">
      <c r="K821" s="176"/>
      <c r="L821" s="176"/>
      <c r="M821" s="176"/>
      <c r="N821" s="176"/>
      <c r="O821" s="176"/>
    </row>
    <row r="822" spans="11:15">
      <c r="K822" s="176"/>
      <c r="L822" s="176"/>
      <c r="M822" s="176"/>
      <c r="N822" s="176"/>
      <c r="O822" s="176"/>
    </row>
    <row r="823" spans="11:15">
      <c r="K823" s="176"/>
      <c r="L823" s="176"/>
      <c r="M823" s="176"/>
      <c r="N823" s="176"/>
      <c r="O823" s="176"/>
    </row>
    <row r="824" spans="11:15">
      <c r="K824" s="176"/>
      <c r="L824" s="176"/>
      <c r="M824" s="176"/>
      <c r="N824" s="176"/>
      <c r="O824" s="176"/>
    </row>
    <row r="825" spans="11:15">
      <c r="K825" s="176"/>
      <c r="L825" s="176"/>
      <c r="M825" s="176"/>
      <c r="N825" s="176"/>
      <c r="O825" s="176"/>
    </row>
    <row r="826" spans="11:15">
      <c r="K826" s="176"/>
      <c r="L826" s="176"/>
      <c r="M826" s="176"/>
      <c r="N826" s="176"/>
      <c r="O826" s="176"/>
    </row>
    <row r="827" spans="11:15">
      <c r="K827" s="176"/>
      <c r="L827" s="176"/>
      <c r="M827" s="176"/>
      <c r="N827" s="176"/>
      <c r="O827" s="176"/>
    </row>
    <row r="828" spans="11:15">
      <c r="K828" s="176"/>
      <c r="L828" s="176"/>
      <c r="M828" s="176"/>
      <c r="N828" s="176"/>
      <c r="O828" s="176"/>
    </row>
    <row r="829" spans="11:15">
      <c r="K829" s="176"/>
      <c r="L829" s="176"/>
      <c r="M829" s="176"/>
      <c r="N829" s="176"/>
      <c r="O829" s="176"/>
    </row>
    <row r="830" spans="11:15">
      <c r="K830" s="176"/>
      <c r="L830" s="176"/>
      <c r="M830" s="176"/>
      <c r="N830" s="176"/>
      <c r="O830" s="176"/>
    </row>
    <row r="831" spans="11:15">
      <c r="K831" s="176"/>
      <c r="L831" s="176"/>
      <c r="M831" s="176"/>
      <c r="N831" s="176"/>
      <c r="O831" s="176"/>
    </row>
    <row r="832" spans="11:15">
      <c r="K832" s="176"/>
      <c r="L832" s="176"/>
      <c r="M832" s="176"/>
      <c r="N832" s="176"/>
      <c r="O832" s="176"/>
    </row>
    <row r="833" spans="11:15">
      <c r="K833" s="176"/>
      <c r="L833" s="176"/>
      <c r="M833" s="176"/>
      <c r="N833" s="176"/>
      <c r="O833" s="176"/>
    </row>
    <row r="834" spans="11:15">
      <c r="K834" s="176"/>
      <c r="L834" s="176"/>
      <c r="M834" s="176"/>
      <c r="N834" s="176"/>
      <c r="O834" s="176"/>
    </row>
    <row r="835" spans="11:15">
      <c r="K835" s="176"/>
      <c r="L835" s="176"/>
      <c r="M835" s="176"/>
      <c r="N835" s="176"/>
      <c r="O835" s="176"/>
    </row>
    <row r="836" spans="11:15">
      <c r="K836" s="176"/>
      <c r="L836" s="176"/>
      <c r="M836" s="176"/>
      <c r="N836" s="176"/>
      <c r="O836" s="176"/>
    </row>
    <row r="837" spans="11:15">
      <c r="K837" s="176"/>
      <c r="L837" s="176"/>
      <c r="M837" s="176"/>
      <c r="N837" s="176"/>
      <c r="O837" s="176"/>
    </row>
    <row r="838" spans="11:15">
      <c r="K838" s="176"/>
      <c r="L838" s="176"/>
      <c r="M838" s="176"/>
      <c r="N838" s="176"/>
      <c r="O838" s="176"/>
    </row>
    <row r="839" spans="11:15">
      <c r="K839" s="176"/>
      <c r="L839" s="176"/>
      <c r="M839" s="176"/>
      <c r="N839" s="176"/>
      <c r="O839" s="176"/>
    </row>
    <row r="840" spans="11:15">
      <c r="K840" s="176"/>
      <c r="L840" s="176"/>
      <c r="M840" s="176"/>
      <c r="N840" s="176"/>
      <c r="O840" s="176"/>
    </row>
    <row r="841" spans="11:15">
      <c r="K841" s="176"/>
      <c r="L841" s="176"/>
      <c r="M841" s="176"/>
      <c r="N841" s="176"/>
      <c r="O841" s="176"/>
    </row>
    <row r="842" spans="11:15">
      <c r="K842" s="176"/>
      <c r="L842" s="176"/>
      <c r="M842" s="176"/>
      <c r="N842" s="176"/>
      <c r="O842" s="176"/>
    </row>
    <row r="843" spans="11:15">
      <c r="K843" s="176"/>
      <c r="L843" s="176"/>
      <c r="M843" s="176"/>
      <c r="N843" s="176"/>
      <c r="O843" s="176"/>
    </row>
    <row r="844" spans="11:15">
      <c r="K844" s="176"/>
      <c r="L844" s="176"/>
      <c r="M844" s="176"/>
      <c r="N844" s="176"/>
      <c r="O844" s="176"/>
    </row>
    <row r="845" spans="11:15">
      <c r="K845" s="176"/>
      <c r="L845" s="176"/>
      <c r="M845" s="176"/>
      <c r="N845" s="176"/>
      <c r="O845" s="176"/>
    </row>
    <row r="846" spans="11:15">
      <c r="K846" s="176"/>
      <c r="L846" s="176"/>
      <c r="M846" s="176"/>
      <c r="N846" s="176"/>
      <c r="O846" s="176"/>
    </row>
    <row r="847" spans="11:15">
      <c r="K847" s="176"/>
      <c r="L847" s="176"/>
      <c r="M847" s="176"/>
      <c r="N847" s="176"/>
      <c r="O847" s="176"/>
    </row>
    <row r="848" spans="11:15">
      <c r="K848" s="176"/>
      <c r="L848" s="176"/>
      <c r="M848" s="176"/>
      <c r="N848" s="176"/>
      <c r="O848" s="176"/>
    </row>
    <row r="849" spans="11:15">
      <c r="K849" s="176"/>
      <c r="L849" s="176"/>
      <c r="M849" s="176"/>
      <c r="N849" s="176"/>
      <c r="O849" s="176"/>
    </row>
    <row r="850" spans="11:15">
      <c r="K850" s="176"/>
      <c r="L850" s="176"/>
      <c r="M850" s="176"/>
      <c r="N850" s="176"/>
      <c r="O850" s="176"/>
    </row>
    <row r="851" spans="11:15">
      <c r="K851" s="176"/>
      <c r="L851" s="176"/>
      <c r="M851" s="176"/>
      <c r="N851" s="176"/>
      <c r="O851" s="176"/>
    </row>
    <row r="852" spans="11:15">
      <c r="K852" s="176"/>
      <c r="L852" s="176"/>
      <c r="M852" s="176"/>
      <c r="N852" s="176"/>
      <c r="O852" s="176"/>
    </row>
    <row r="853" spans="11:15">
      <c r="K853" s="176"/>
      <c r="L853" s="176"/>
      <c r="M853" s="176"/>
      <c r="N853" s="176"/>
      <c r="O853" s="176"/>
    </row>
    <row r="854" spans="11:15">
      <c r="K854" s="176"/>
      <c r="L854" s="176"/>
      <c r="M854" s="176"/>
      <c r="N854" s="176"/>
      <c r="O854" s="176"/>
    </row>
    <row r="855" spans="11:15">
      <c r="K855" s="176"/>
      <c r="L855" s="176"/>
      <c r="M855" s="176"/>
      <c r="N855" s="176"/>
      <c r="O855" s="176"/>
    </row>
    <row r="856" spans="11:15">
      <c r="K856" s="176"/>
      <c r="L856" s="176"/>
      <c r="M856" s="176"/>
      <c r="N856" s="176"/>
      <c r="O856" s="176"/>
    </row>
    <row r="857" spans="11:15">
      <c r="K857" s="176"/>
      <c r="L857" s="176"/>
      <c r="M857" s="176"/>
      <c r="N857" s="176"/>
      <c r="O857" s="176"/>
    </row>
    <row r="858" spans="11:15">
      <c r="K858" s="176"/>
      <c r="L858" s="176"/>
      <c r="M858" s="176"/>
      <c r="N858" s="176"/>
      <c r="O858" s="176"/>
    </row>
    <row r="859" spans="11:15">
      <c r="K859" s="176"/>
      <c r="L859" s="176"/>
      <c r="M859" s="176"/>
      <c r="N859" s="176"/>
      <c r="O859" s="176"/>
    </row>
    <row r="860" spans="11:15">
      <c r="K860" s="176"/>
      <c r="L860" s="176"/>
      <c r="M860" s="176"/>
      <c r="N860" s="176"/>
      <c r="O860" s="176"/>
    </row>
    <row r="861" spans="11:15">
      <c r="K861" s="176"/>
      <c r="L861" s="176"/>
      <c r="M861" s="176"/>
      <c r="N861" s="176"/>
      <c r="O861" s="176"/>
    </row>
    <row r="862" spans="11:15">
      <c r="K862" s="176"/>
      <c r="L862" s="176"/>
      <c r="M862" s="176"/>
      <c r="N862" s="176"/>
      <c r="O862" s="176"/>
    </row>
    <row r="863" spans="11:15">
      <c r="K863" s="176"/>
      <c r="L863" s="176"/>
      <c r="M863" s="176"/>
      <c r="N863" s="176"/>
      <c r="O863" s="176"/>
    </row>
    <row r="864" spans="11:15">
      <c r="K864" s="176"/>
      <c r="L864" s="176"/>
      <c r="M864" s="176"/>
      <c r="N864" s="176"/>
      <c r="O864" s="176"/>
    </row>
    <row r="865" spans="11:15">
      <c r="K865" s="176"/>
      <c r="L865" s="176"/>
      <c r="M865" s="176"/>
      <c r="N865" s="176"/>
      <c r="O865" s="176"/>
    </row>
    <row r="866" spans="11:15">
      <c r="K866" s="176"/>
      <c r="L866" s="176"/>
      <c r="M866" s="176"/>
      <c r="N866" s="176"/>
      <c r="O866" s="176"/>
    </row>
    <row r="867" spans="11:15">
      <c r="K867" s="176"/>
      <c r="L867" s="176"/>
      <c r="M867" s="176"/>
      <c r="N867" s="176"/>
      <c r="O867" s="176"/>
    </row>
    <row r="868" spans="11:15">
      <c r="K868" s="176"/>
      <c r="L868" s="176"/>
      <c r="M868" s="176"/>
      <c r="N868" s="176"/>
      <c r="O868" s="176"/>
    </row>
    <row r="869" spans="11:15">
      <c r="K869" s="176"/>
      <c r="L869" s="176"/>
      <c r="M869" s="176"/>
      <c r="N869" s="176"/>
      <c r="O869" s="176"/>
    </row>
    <row r="870" spans="11:15">
      <c r="K870" s="176"/>
      <c r="L870" s="176"/>
      <c r="M870" s="176"/>
      <c r="N870" s="176"/>
      <c r="O870" s="176"/>
    </row>
    <row r="871" spans="11:15">
      <c r="K871" s="176"/>
      <c r="L871" s="176"/>
      <c r="M871" s="176"/>
      <c r="N871" s="176"/>
      <c r="O871" s="176"/>
    </row>
    <row r="872" spans="11:15">
      <c r="K872" s="176"/>
      <c r="L872" s="176"/>
      <c r="M872" s="176"/>
      <c r="N872" s="176"/>
      <c r="O872" s="176"/>
    </row>
    <row r="873" spans="11:15">
      <c r="K873" s="176"/>
      <c r="L873" s="176"/>
      <c r="M873" s="176"/>
      <c r="N873" s="176"/>
      <c r="O873" s="176"/>
    </row>
    <row r="874" spans="11:15">
      <c r="K874" s="176"/>
      <c r="L874" s="176"/>
      <c r="M874" s="176"/>
      <c r="N874" s="176"/>
      <c r="O874" s="176"/>
    </row>
    <row r="875" spans="11:15">
      <c r="K875" s="176"/>
      <c r="L875" s="176"/>
      <c r="M875" s="176"/>
      <c r="N875" s="176"/>
      <c r="O875" s="176"/>
    </row>
    <row r="876" spans="11:15">
      <c r="K876" s="176"/>
      <c r="L876" s="176"/>
      <c r="M876" s="176"/>
      <c r="N876" s="176"/>
      <c r="O876" s="176"/>
    </row>
    <row r="877" spans="11:15">
      <c r="K877" s="176"/>
      <c r="L877" s="176"/>
      <c r="M877" s="176"/>
      <c r="N877" s="176"/>
      <c r="O877" s="176"/>
    </row>
    <row r="878" spans="11:15">
      <c r="K878" s="176"/>
      <c r="L878" s="176"/>
      <c r="M878" s="176"/>
      <c r="N878" s="176"/>
      <c r="O878" s="176"/>
    </row>
    <row r="879" spans="11:15">
      <c r="K879" s="176"/>
      <c r="L879" s="176"/>
      <c r="M879" s="176"/>
      <c r="N879" s="176"/>
      <c r="O879" s="176"/>
    </row>
    <row r="880" spans="11:15">
      <c r="K880" s="176"/>
      <c r="L880" s="176"/>
      <c r="M880" s="176"/>
      <c r="N880" s="176"/>
      <c r="O880" s="176"/>
    </row>
    <row r="881" spans="11:15">
      <c r="K881" s="176"/>
      <c r="L881" s="176"/>
      <c r="M881" s="176"/>
      <c r="N881" s="176"/>
      <c r="O881" s="176"/>
    </row>
    <row r="882" spans="11:15">
      <c r="K882" s="176"/>
      <c r="L882" s="176"/>
      <c r="M882" s="176"/>
      <c r="N882" s="176"/>
      <c r="O882" s="176"/>
    </row>
    <row r="883" spans="11:15">
      <c r="K883" s="176"/>
      <c r="L883" s="176"/>
      <c r="M883" s="176"/>
      <c r="N883" s="176"/>
      <c r="O883" s="176"/>
    </row>
    <row r="884" spans="11:15">
      <c r="K884" s="176"/>
      <c r="L884" s="176"/>
      <c r="M884" s="176"/>
      <c r="N884" s="176"/>
      <c r="O884" s="176"/>
    </row>
    <row r="885" spans="11:15">
      <c r="K885" s="176"/>
      <c r="L885" s="176"/>
      <c r="M885" s="176"/>
      <c r="N885" s="176"/>
      <c r="O885" s="176"/>
    </row>
    <row r="886" spans="11:15">
      <c r="K886" s="176"/>
      <c r="L886" s="176"/>
      <c r="M886" s="176"/>
      <c r="N886" s="176"/>
      <c r="O886" s="176"/>
    </row>
    <row r="887" spans="11:15">
      <c r="K887" s="176"/>
      <c r="L887" s="176"/>
      <c r="M887" s="176"/>
      <c r="N887" s="176"/>
      <c r="O887" s="176"/>
    </row>
    <row r="888" spans="11:15">
      <c r="K888" s="176"/>
      <c r="L888" s="176"/>
      <c r="M888" s="176"/>
      <c r="N888" s="176"/>
      <c r="O888" s="176"/>
    </row>
    <row r="889" spans="11:15">
      <c r="K889" s="176"/>
      <c r="L889" s="176"/>
      <c r="M889" s="176"/>
      <c r="N889" s="176"/>
      <c r="O889" s="176"/>
    </row>
    <row r="890" spans="11:15">
      <c r="K890" s="176"/>
      <c r="L890" s="176"/>
      <c r="M890" s="176"/>
      <c r="N890" s="176"/>
      <c r="O890" s="176"/>
    </row>
    <row r="891" spans="11:15">
      <c r="K891" s="176"/>
      <c r="L891" s="176"/>
      <c r="M891" s="176"/>
      <c r="N891" s="176"/>
      <c r="O891" s="176"/>
    </row>
    <row r="892" spans="11:15">
      <c r="K892" s="176"/>
      <c r="L892" s="176"/>
      <c r="M892" s="176"/>
      <c r="N892" s="176"/>
      <c r="O892" s="176"/>
    </row>
    <row r="893" spans="11:15">
      <c r="K893" s="176"/>
      <c r="L893" s="176"/>
      <c r="M893" s="176"/>
      <c r="N893" s="176"/>
      <c r="O893" s="176"/>
    </row>
    <row r="894" spans="11:15">
      <c r="K894" s="176"/>
      <c r="L894" s="176"/>
      <c r="M894" s="176"/>
      <c r="N894" s="176"/>
      <c r="O894" s="176"/>
    </row>
    <row r="895" spans="11:15">
      <c r="K895" s="176"/>
      <c r="L895" s="176"/>
      <c r="M895" s="176"/>
      <c r="N895" s="176"/>
      <c r="O895" s="176"/>
    </row>
    <row r="896" spans="11:15">
      <c r="K896" s="176"/>
      <c r="L896" s="176"/>
      <c r="M896" s="176"/>
      <c r="N896" s="176"/>
      <c r="O896" s="176"/>
    </row>
    <row r="897" spans="11:15">
      <c r="K897" s="176"/>
      <c r="L897" s="176"/>
      <c r="M897" s="176"/>
      <c r="N897" s="176"/>
      <c r="O897" s="176"/>
    </row>
    <row r="898" spans="11:15">
      <c r="K898" s="176"/>
      <c r="L898" s="176"/>
      <c r="M898" s="176"/>
      <c r="N898" s="176"/>
      <c r="O898" s="176"/>
    </row>
    <row r="899" spans="11:15">
      <c r="K899" s="176"/>
      <c r="L899" s="176"/>
      <c r="M899" s="176"/>
      <c r="N899" s="176"/>
      <c r="O899" s="176"/>
    </row>
    <row r="900" spans="11:15">
      <c r="K900" s="176"/>
      <c r="L900" s="176"/>
      <c r="M900" s="176"/>
      <c r="N900" s="176"/>
      <c r="O900" s="176"/>
    </row>
    <row r="901" spans="11:15">
      <c r="K901" s="176"/>
      <c r="L901" s="176"/>
      <c r="M901" s="176"/>
      <c r="N901" s="176"/>
      <c r="O901" s="176"/>
    </row>
    <row r="902" spans="11:15">
      <c r="K902" s="176"/>
      <c r="L902" s="176"/>
      <c r="M902" s="176"/>
      <c r="N902" s="176"/>
      <c r="O902" s="176"/>
    </row>
    <row r="903" spans="11:15">
      <c r="K903" s="176"/>
      <c r="L903" s="176"/>
      <c r="M903" s="176"/>
      <c r="N903" s="176"/>
      <c r="O903" s="176"/>
    </row>
    <row r="904" spans="11:15">
      <c r="K904" s="176"/>
      <c r="L904" s="176"/>
      <c r="M904" s="176"/>
      <c r="N904" s="176"/>
      <c r="O904" s="176"/>
    </row>
    <row r="905" spans="11:15">
      <c r="K905" s="176"/>
      <c r="L905" s="176"/>
      <c r="M905" s="176"/>
      <c r="N905" s="176"/>
      <c r="O905" s="176"/>
    </row>
    <row r="906" spans="11:15">
      <c r="K906" s="176"/>
      <c r="L906" s="176"/>
      <c r="M906" s="176"/>
      <c r="N906" s="176"/>
      <c r="O906" s="176"/>
    </row>
    <row r="907" spans="11:15">
      <c r="K907" s="176"/>
      <c r="L907" s="176"/>
      <c r="M907" s="176"/>
      <c r="N907" s="176"/>
      <c r="O907" s="176"/>
    </row>
    <row r="908" spans="11:15">
      <c r="K908" s="176"/>
      <c r="L908" s="176"/>
      <c r="M908" s="176"/>
      <c r="N908" s="176"/>
      <c r="O908" s="176"/>
    </row>
    <row r="909" spans="11:15">
      <c r="K909" s="176"/>
      <c r="L909" s="176"/>
      <c r="M909" s="176"/>
      <c r="N909" s="176"/>
      <c r="O909" s="176"/>
    </row>
    <row r="910" spans="11:15">
      <c r="K910" s="176"/>
      <c r="L910" s="176"/>
      <c r="M910" s="176"/>
      <c r="N910" s="176"/>
      <c r="O910" s="176"/>
    </row>
    <row r="911" spans="11:15">
      <c r="K911" s="176"/>
      <c r="L911" s="176"/>
      <c r="M911" s="176"/>
      <c r="N911" s="176"/>
      <c r="O911" s="176"/>
    </row>
    <row r="912" spans="11:15">
      <c r="K912" s="176"/>
      <c r="L912" s="176"/>
      <c r="M912" s="176"/>
      <c r="N912" s="176"/>
      <c r="O912" s="176"/>
    </row>
    <row r="913" spans="11:15">
      <c r="K913" s="176"/>
      <c r="L913" s="176"/>
      <c r="M913" s="176"/>
      <c r="N913" s="176"/>
      <c r="O913" s="176"/>
    </row>
    <row r="914" spans="11:15">
      <c r="K914" s="176"/>
      <c r="L914" s="176"/>
      <c r="M914" s="176"/>
      <c r="N914" s="176"/>
      <c r="O914" s="176"/>
    </row>
    <row r="915" spans="11:15">
      <c r="K915" s="176"/>
      <c r="L915" s="176"/>
      <c r="M915" s="176"/>
      <c r="N915" s="176"/>
      <c r="O915" s="176"/>
    </row>
    <row r="916" spans="11:15">
      <c r="K916" s="176"/>
      <c r="L916" s="176"/>
      <c r="M916" s="176"/>
      <c r="N916" s="176"/>
      <c r="O916" s="176"/>
    </row>
    <row r="917" spans="11:15">
      <c r="K917" s="176"/>
      <c r="L917" s="176"/>
      <c r="M917" s="176"/>
      <c r="N917" s="176"/>
      <c r="O917" s="176"/>
    </row>
    <row r="918" spans="11:15">
      <c r="K918" s="176"/>
      <c r="L918" s="176"/>
      <c r="M918" s="176"/>
      <c r="N918" s="176"/>
      <c r="O918" s="176"/>
    </row>
    <row r="919" spans="11:15">
      <c r="K919" s="176"/>
      <c r="L919" s="176"/>
      <c r="M919" s="176"/>
      <c r="N919" s="176"/>
      <c r="O919" s="176"/>
    </row>
    <row r="920" spans="11:15">
      <c r="K920" s="176"/>
      <c r="L920" s="176"/>
      <c r="M920" s="176"/>
      <c r="N920" s="176"/>
      <c r="O920" s="176"/>
    </row>
    <row r="921" spans="11:15">
      <c r="K921" s="176"/>
      <c r="L921" s="176"/>
      <c r="M921" s="176"/>
      <c r="N921" s="176"/>
      <c r="O921" s="176"/>
    </row>
    <row r="922" spans="11:15">
      <c r="K922" s="176"/>
      <c r="L922" s="176"/>
      <c r="M922" s="176"/>
      <c r="N922" s="176"/>
      <c r="O922" s="176"/>
    </row>
    <row r="923" spans="11:15">
      <c r="K923" s="176"/>
      <c r="L923" s="176"/>
      <c r="M923" s="176"/>
      <c r="N923" s="176"/>
      <c r="O923" s="176"/>
    </row>
    <row r="924" spans="11:15">
      <c r="K924" s="176"/>
      <c r="L924" s="176"/>
      <c r="M924" s="176"/>
      <c r="N924" s="176"/>
      <c r="O924" s="176"/>
    </row>
    <row r="925" spans="11:15">
      <c r="K925" s="176"/>
      <c r="L925" s="176"/>
      <c r="M925" s="176"/>
      <c r="N925" s="176"/>
      <c r="O925" s="176"/>
    </row>
    <row r="926" spans="11:15">
      <c r="K926" s="176"/>
      <c r="L926" s="176"/>
      <c r="M926" s="176"/>
      <c r="N926" s="176"/>
      <c r="O926" s="176"/>
    </row>
    <row r="927" spans="11:15">
      <c r="K927" s="176"/>
      <c r="L927" s="176"/>
      <c r="M927" s="176"/>
      <c r="N927" s="176"/>
      <c r="O927" s="176"/>
    </row>
    <row r="928" spans="11:15">
      <c r="K928" s="176"/>
      <c r="L928" s="176"/>
      <c r="M928" s="176"/>
      <c r="N928" s="176"/>
      <c r="O928" s="176"/>
    </row>
    <row r="929" spans="11:15">
      <c r="K929" s="176"/>
      <c r="L929" s="176"/>
      <c r="M929" s="176"/>
      <c r="N929" s="176"/>
      <c r="O929" s="176"/>
    </row>
    <row r="930" spans="11:15">
      <c r="K930" s="176"/>
      <c r="L930" s="176"/>
      <c r="M930" s="176"/>
      <c r="N930" s="176"/>
      <c r="O930" s="176"/>
    </row>
    <row r="931" spans="11:15">
      <c r="K931" s="176"/>
      <c r="L931" s="176"/>
      <c r="M931" s="176"/>
      <c r="N931" s="176"/>
      <c r="O931" s="176"/>
    </row>
    <row r="932" spans="11:15">
      <c r="K932" s="176"/>
      <c r="L932" s="176"/>
      <c r="M932" s="176"/>
      <c r="N932" s="176"/>
      <c r="O932" s="176"/>
    </row>
    <row r="933" spans="11:15">
      <c r="K933" s="176"/>
      <c r="L933" s="176"/>
      <c r="M933" s="176"/>
      <c r="N933" s="176"/>
      <c r="O933" s="176"/>
    </row>
    <row r="934" spans="11:15">
      <c r="K934" s="176"/>
      <c r="L934" s="176"/>
      <c r="M934" s="176"/>
      <c r="N934" s="176"/>
      <c r="O934" s="176"/>
    </row>
    <row r="935" spans="11:15">
      <c r="K935" s="176"/>
      <c r="L935" s="176"/>
      <c r="M935" s="176"/>
      <c r="N935" s="176"/>
      <c r="O935" s="176"/>
    </row>
    <row r="936" spans="11:15">
      <c r="K936" s="176"/>
      <c r="L936" s="176"/>
      <c r="M936" s="176"/>
      <c r="N936" s="176"/>
      <c r="O936" s="176"/>
    </row>
    <row r="937" spans="11:15">
      <c r="K937" s="176"/>
      <c r="L937" s="176"/>
      <c r="M937" s="176"/>
      <c r="N937" s="176"/>
      <c r="O937" s="176"/>
    </row>
    <row r="938" spans="11:15">
      <c r="K938" s="176"/>
      <c r="L938" s="176"/>
      <c r="M938" s="176"/>
      <c r="N938" s="176"/>
      <c r="O938" s="176"/>
    </row>
    <row r="939" spans="11:15">
      <c r="K939" s="176"/>
      <c r="L939" s="176"/>
      <c r="M939" s="176"/>
      <c r="N939" s="176"/>
      <c r="O939" s="176"/>
    </row>
    <row r="940" spans="11:15">
      <c r="K940" s="176"/>
      <c r="L940" s="176"/>
      <c r="M940" s="176"/>
      <c r="N940" s="176"/>
      <c r="O940" s="176"/>
    </row>
    <row r="941" spans="11:15">
      <c r="K941" s="176"/>
      <c r="L941" s="176"/>
      <c r="M941" s="176"/>
      <c r="N941" s="176"/>
      <c r="O941" s="176"/>
    </row>
    <row r="942" spans="11:15">
      <c r="K942" s="176"/>
      <c r="L942" s="176"/>
      <c r="M942" s="176"/>
      <c r="N942" s="176"/>
      <c r="O942" s="176"/>
    </row>
    <row r="943" spans="11:15">
      <c r="K943" s="176"/>
      <c r="L943" s="176"/>
      <c r="M943" s="176"/>
      <c r="N943" s="176"/>
      <c r="O943" s="176"/>
    </row>
    <row r="944" spans="11:15">
      <c r="K944" s="176"/>
      <c r="L944" s="176"/>
      <c r="M944" s="176"/>
      <c r="N944" s="176"/>
      <c r="O944" s="176"/>
    </row>
    <row r="945" spans="11:15">
      <c r="K945" s="176"/>
      <c r="L945" s="176"/>
      <c r="M945" s="176"/>
      <c r="N945" s="176"/>
      <c r="O945" s="176"/>
    </row>
    <row r="946" spans="11:15">
      <c r="K946" s="176"/>
      <c r="L946" s="176"/>
      <c r="M946" s="176"/>
      <c r="N946" s="176"/>
      <c r="O946" s="176"/>
    </row>
    <row r="947" spans="11:15">
      <c r="K947" s="176"/>
      <c r="L947" s="176"/>
      <c r="M947" s="176"/>
      <c r="N947" s="176"/>
      <c r="O947" s="176"/>
    </row>
    <row r="948" spans="11:15">
      <c r="K948" s="176"/>
      <c r="L948" s="176"/>
      <c r="M948" s="176"/>
      <c r="N948" s="176"/>
      <c r="O948" s="176"/>
    </row>
    <row r="949" spans="11:15">
      <c r="K949" s="176"/>
      <c r="L949" s="176"/>
      <c r="M949" s="176"/>
      <c r="N949" s="176"/>
      <c r="O949" s="176"/>
    </row>
    <row r="950" spans="11:15">
      <c r="K950" s="176"/>
      <c r="L950" s="176"/>
      <c r="M950" s="176"/>
      <c r="N950" s="176"/>
      <c r="O950" s="176"/>
    </row>
    <row r="951" spans="11:15">
      <c r="K951" s="176"/>
      <c r="L951" s="176"/>
      <c r="M951" s="176"/>
      <c r="N951" s="176"/>
      <c r="O951" s="176"/>
    </row>
    <row r="952" spans="11:15">
      <c r="K952" s="176"/>
      <c r="L952" s="176"/>
      <c r="M952" s="176"/>
      <c r="N952" s="176"/>
      <c r="O952" s="176"/>
    </row>
    <row r="953" spans="11:15">
      <c r="K953" s="176"/>
      <c r="L953" s="176"/>
      <c r="M953" s="176"/>
      <c r="N953" s="176"/>
      <c r="O953" s="176"/>
    </row>
    <row r="954" spans="11:15">
      <c r="K954" s="176"/>
      <c r="L954" s="176"/>
      <c r="M954" s="176"/>
      <c r="N954" s="176"/>
      <c r="O954" s="176"/>
    </row>
    <row r="955" spans="11:15">
      <c r="K955" s="176"/>
      <c r="L955" s="176"/>
      <c r="M955" s="176"/>
      <c r="N955" s="176"/>
      <c r="O955" s="176"/>
    </row>
    <row r="956" spans="11:15">
      <c r="K956" s="176"/>
      <c r="L956" s="176"/>
      <c r="M956" s="176"/>
      <c r="N956" s="176"/>
      <c r="O956" s="176"/>
    </row>
    <row r="957" spans="11:15">
      <c r="K957" s="176"/>
      <c r="L957" s="176"/>
      <c r="M957" s="176"/>
      <c r="N957" s="176"/>
      <c r="O957" s="176"/>
    </row>
    <row r="958" spans="11:15">
      <c r="K958" s="176"/>
      <c r="L958" s="176"/>
      <c r="M958" s="176"/>
      <c r="N958" s="176"/>
      <c r="O958" s="176"/>
    </row>
    <row r="959" spans="11:15">
      <c r="K959" s="176"/>
      <c r="L959" s="176"/>
      <c r="M959" s="176"/>
      <c r="N959" s="176"/>
      <c r="O959" s="176"/>
    </row>
    <row r="960" spans="11:15">
      <c r="K960" s="176"/>
      <c r="L960" s="176"/>
      <c r="M960" s="176"/>
      <c r="N960" s="176"/>
      <c r="O960" s="176"/>
    </row>
    <row r="961" spans="11:15">
      <c r="K961" s="176"/>
      <c r="L961" s="176"/>
      <c r="M961" s="176"/>
      <c r="N961" s="176"/>
      <c r="O961" s="176"/>
    </row>
    <row r="962" spans="11:15">
      <c r="K962" s="176"/>
      <c r="L962" s="176"/>
      <c r="M962" s="176"/>
      <c r="N962" s="176"/>
      <c r="O962" s="176"/>
    </row>
    <row r="963" spans="11:15">
      <c r="K963" s="176"/>
      <c r="L963" s="176"/>
      <c r="M963" s="176"/>
      <c r="N963" s="176"/>
      <c r="O963" s="176"/>
    </row>
    <row r="964" spans="11:15">
      <c r="K964" s="176"/>
      <c r="L964" s="176"/>
      <c r="M964" s="176"/>
      <c r="N964" s="176"/>
      <c r="O964" s="176"/>
    </row>
    <row r="965" spans="11:15">
      <c r="K965" s="176"/>
      <c r="L965" s="176"/>
      <c r="M965" s="176"/>
      <c r="N965" s="176"/>
      <c r="O965" s="176"/>
    </row>
    <row r="966" spans="11:15">
      <c r="K966" s="176"/>
      <c r="L966" s="176"/>
      <c r="M966" s="176"/>
      <c r="N966" s="176"/>
      <c r="O966" s="176"/>
    </row>
    <row r="967" spans="11:15">
      <c r="K967" s="176"/>
      <c r="L967" s="176"/>
      <c r="M967" s="176"/>
      <c r="N967" s="176"/>
      <c r="O967" s="176"/>
    </row>
    <row r="968" spans="11:15">
      <c r="K968" s="176"/>
      <c r="L968" s="176"/>
      <c r="M968" s="176"/>
      <c r="N968" s="176"/>
      <c r="O968" s="176"/>
    </row>
    <row r="969" spans="11:15">
      <c r="K969" s="176"/>
      <c r="L969" s="176"/>
      <c r="M969" s="176"/>
      <c r="N969" s="176"/>
      <c r="O969" s="176"/>
    </row>
    <row r="970" spans="11:15">
      <c r="K970" s="176"/>
      <c r="L970" s="176"/>
      <c r="M970" s="176"/>
      <c r="N970" s="176"/>
      <c r="O970" s="176"/>
    </row>
    <row r="971" spans="11:15">
      <c r="K971" s="176"/>
      <c r="L971" s="176"/>
      <c r="M971" s="176"/>
      <c r="N971" s="176"/>
      <c r="O971" s="176"/>
    </row>
    <row r="972" spans="11:15">
      <c r="K972" s="176"/>
      <c r="L972" s="176"/>
      <c r="M972" s="176"/>
      <c r="N972" s="176"/>
      <c r="O972" s="176"/>
    </row>
    <row r="973" spans="11:15">
      <c r="K973" s="176"/>
      <c r="L973" s="176"/>
      <c r="M973" s="176"/>
      <c r="N973" s="176"/>
      <c r="O973" s="176"/>
    </row>
    <row r="974" spans="11:15">
      <c r="K974" s="176"/>
      <c r="L974" s="176"/>
      <c r="M974" s="176"/>
      <c r="N974" s="176"/>
      <c r="O974" s="176"/>
    </row>
    <row r="975" spans="11:15">
      <c r="K975" s="176"/>
      <c r="L975" s="176"/>
      <c r="M975" s="176"/>
      <c r="N975" s="176"/>
      <c r="O975" s="176"/>
    </row>
    <row r="976" spans="11:15">
      <c r="K976" s="176"/>
      <c r="L976" s="176"/>
      <c r="M976" s="176"/>
      <c r="N976" s="176"/>
      <c r="O976" s="176"/>
    </row>
    <row r="977" spans="11:15">
      <c r="K977" s="176"/>
      <c r="L977" s="176"/>
      <c r="M977" s="176"/>
      <c r="N977" s="176"/>
      <c r="O977" s="176"/>
    </row>
    <row r="978" spans="11:15">
      <c r="K978" s="176"/>
      <c r="L978" s="176"/>
      <c r="M978" s="176"/>
      <c r="N978" s="176"/>
      <c r="O978" s="176"/>
    </row>
    <row r="979" spans="11:15">
      <c r="K979" s="176"/>
      <c r="L979" s="176"/>
      <c r="M979" s="176"/>
      <c r="N979" s="176"/>
      <c r="O979" s="176"/>
    </row>
    <row r="980" spans="11:15">
      <c r="K980" s="176"/>
      <c r="L980" s="176"/>
      <c r="M980" s="176"/>
      <c r="N980" s="176"/>
      <c r="O980" s="176"/>
    </row>
    <row r="981" spans="11:15">
      <c r="K981" s="176"/>
      <c r="L981" s="176"/>
      <c r="M981" s="176"/>
      <c r="N981" s="176"/>
      <c r="O981" s="176"/>
    </row>
    <row r="982" spans="11:15">
      <c r="K982" s="176"/>
      <c r="L982" s="176"/>
      <c r="M982" s="176"/>
      <c r="N982" s="176"/>
      <c r="O982" s="176"/>
    </row>
    <row r="983" spans="11:15">
      <c r="K983" s="176"/>
      <c r="L983" s="176"/>
      <c r="M983" s="176"/>
      <c r="N983" s="176"/>
      <c r="O983" s="176"/>
    </row>
    <row r="984" spans="11:15">
      <c r="K984" s="176"/>
      <c r="L984" s="176"/>
      <c r="M984" s="176"/>
      <c r="N984" s="176"/>
      <c r="O984" s="176"/>
    </row>
    <row r="985" spans="11:15">
      <c r="K985" s="176"/>
      <c r="L985" s="176"/>
      <c r="M985" s="176"/>
      <c r="N985" s="176"/>
      <c r="O985" s="176"/>
    </row>
    <row r="986" spans="11:15">
      <c r="K986" s="176"/>
      <c r="L986" s="176"/>
      <c r="M986" s="176"/>
      <c r="N986" s="176"/>
      <c r="O986" s="176"/>
    </row>
    <row r="987" spans="11:15">
      <c r="K987" s="176"/>
      <c r="L987" s="176"/>
      <c r="M987" s="176"/>
      <c r="N987" s="176"/>
      <c r="O987" s="176"/>
    </row>
    <row r="988" spans="11:15">
      <c r="K988" s="176"/>
      <c r="L988" s="176"/>
      <c r="M988" s="176"/>
      <c r="N988" s="176"/>
      <c r="O988" s="176"/>
    </row>
    <row r="989" spans="11:15">
      <c r="K989" s="176"/>
      <c r="L989" s="176"/>
      <c r="M989" s="176"/>
      <c r="N989" s="176"/>
      <c r="O989" s="176"/>
    </row>
    <row r="990" spans="11:15">
      <c r="K990" s="176"/>
      <c r="L990" s="176"/>
      <c r="M990" s="176"/>
      <c r="N990" s="176"/>
      <c r="O990" s="176"/>
    </row>
    <row r="991" spans="11:15">
      <c r="K991" s="176"/>
      <c r="L991" s="176"/>
      <c r="M991" s="176"/>
      <c r="N991" s="176"/>
      <c r="O991" s="176"/>
    </row>
    <row r="992" spans="11:15">
      <c r="K992" s="176"/>
      <c r="L992" s="176"/>
      <c r="M992" s="176"/>
      <c r="N992" s="176"/>
      <c r="O992" s="176"/>
    </row>
    <row r="993" spans="11:15">
      <c r="K993" s="176"/>
      <c r="L993" s="176"/>
      <c r="M993" s="176"/>
      <c r="N993" s="176"/>
      <c r="O993" s="176"/>
    </row>
    <row r="994" spans="11:15">
      <c r="K994" s="176"/>
      <c r="L994" s="176"/>
      <c r="M994" s="176"/>
      <c r="N994" s="176"/>
      <c r="O994" s="176"/>
    </row>
    <row r="995" spans="11:15">
      <c r="K995" s="176"/>
      <c r="L995" s="176"/>
      <c r="M995" s="176"/>
      <c r="N995" s="176"/>
      <c r="O995" s="176"/>
    </row>
    <row r="996" spans="11:15">
      <c r="K996" s="176"/>
      <c r="L996" s="176"/>
      <c r="M996" s="176"/>
      <c r="N996" s="176"/>
      <c r="O996" s="176"/>
    </row>
    <row r="997" spans="11:15">
      <c r="K997" s="176"/>
      <c r="L997" s="176"/>
      <c r="M997" s="176"/>
      <c r="N997" s="176"/>
      <c r="O997" s="176"/>
    </row>
    <row r="998" spans="11:15">
      <c r="K998" s="176"/>
      <c r="L998" s="176"/>
      <c r="M998" s="176"/>
      <c r="N998" s="176"/>
      <c r="O998" s="176"/>
    </row>
    <row r="999" spans="11:15">
      <c r="O999" s="176"/>
    </row>
    <row r="1000" spans="11:15">
      <c r="O1000" s="176"/>
    </row>
  </sheetData>
  <phoneticPr fontId="65" type="noConversion"/>
  <hyperlinks>
    <hyperlink ref="G1" r:id="rId1"/>
    <hyperlink ref="G2" r:id="rId2"/>
    <hyperlink ref="G3" r:id="rId3"/>
    <hyperlink ref="G4" r:id="rId4"/>
    <hyperlink ref="G5" r:id="rId5"/>
    <hyperlink ref="G6" r:id="rId6"/>
    <hyperlink ref="G7" r:id="rId7"/>
    <hyperlink ref="G8" r:id="rId8"/>
    <hyperlink ref="G9" r:id="rId9"/>
    <hyperlink ref="G10" r:id="rId10"/>
    <hyperlink ref="G11" r:id="rId11"/>
    <hyperlink ref="G12" r:id="rId12"/>
    <hyperlink ref="G13" r:id="rId13"/>
    <hyperlink ref="G14" r:id="rId14"/>
    <hyperlink ref="G15" r:id="rId15"/>
    <hyperlink ref="G16" r:id="rId16"/>
    <hyperlink ref="G17" r:id="rId17"/>
    <hyperlink ref="G18" r:id="rId18"/>
    <hyperlink ref="G19" r:id="rId19"/>
    <hyperlink ref="G20" r:id="rId20"/>
    <hyperlink ref="G21" r:id="rId21"/>
    <hyperlink ref="G22" r:id="rId22"/>
    <hyperlink ref="G23" r:id="rId23"/>
    <hyperlink ref="G24" r:id="rId24"/>
    <hyperlink ref="G25" r:id="rId25"/>
    <hyperlink ref="G26" r:id="rId26"/>
    <hyperlink ref="G27" r:id="rId27"/>
    <hyperlink ref="G28" r:id="rId28"/>
    <hyperlink ref="G29" r:id="rId29"/>
    <hyperlink ref="G30" r:id="rId30"/>
    <hyperlink ref="G31" r:id="rId31"/>
    <hyperlink ref="G32" r:id="rId32"/>
    <hyperlink ref="G33" r:id="rId33"/>
    <hyperlink ref="G34" r:id="rId34"/>
    <hyperlink ref="G35" r:id="rId35"/>
    <hyperlink ref="G36" r:id="rId36"/>
    <hyperlink ref="G37" r:id="rId37"/>
    <hyperlink ref="G38" r:id="rId38"/>
    <hyperlink ref="G39" r:id="rId39"/>
    <hyperlink ref="G40" r:id="rId40"/>
    <hyperlink ref="G41" r:id="rId41"/>
    <hyperlink ref="G42" r:id="rId42"/>
    <hyperlink ref="G43" r:id="rId43"/>
    <hyperlink ref="G44" r:id="rId44"/>
    <hyperlink ref="G45" r:id="rId45"/>
    <hyperlink ref="G46" r:id="rId46"/>
    <hyperlink ref="G47" r:id="rId47"/>
    <hyperlink ref="G48" r:id="rId48"/>
    <hyperlink ref="G49" r:id="rId49"/>
    <hyperlink ref="G50" r:id="rId50"/>
    <hyperlink ref="G51" r:id="rId51"/>
    <hyperlink ref="G52" r:id="rId52"/>
    <hyperlink ref="G53" r:id="rId53"/>
    <hyperlink ref="G54" r:id="rId54"/>
    <hyperlink ref="G55" r:id="rId55"/>
    <hyperlink ref="G56" r:id="rId56"/>
    <hyperlink ref="G57" r:id="rId57"/>
    <hyperlink ref="G58" r:id="rId58"/>
    <hyperlink ref="G59" r:id="rId59"/>
    <hyperlink ref="G60" r:id="rId60"/>
    <hyperlink ref="G61" r:id="rId61"/>
    <hyperlink ref="G62" r:id="rId62"/>
    <hyperlink ref="G63" r:id="rId63"/>
    <hyperlink ref="G64" r:id="rId64"/>
    <hyperlink ref="G65" r:id="rId65"/>
    <hyperlink ref="G66" r:id="rId66"/>
    <hyperlink ref="G67" r:id="rId67"/>
    <hyperlink ref="G68" r:id="rId68"/>
    <hyperlink ref="G69" r:id="rId69"/>
    <hyperlink ref="G70" r:id="rId70"/>
    <hyperlink ref="G71" r:id="rId71"/>
    <hyperlink ref="G72" r:id="rId72"/>
    <hyperlink ref="G73" r:id="rId73"/>
    <hyperlink ref="G74" r:id="rId74"/>
    <hyperlink ref="G75" r:id="rId75"/>
    <hyperlink ref="G76" r:id="rId76"/>
    <hyperlink ref="G77" r:id="rId77"/>
    <hyperlink ref="G78" r:id="rId78"/>
    <hyperlink ref="G79" r:id="rId79"/>
    <hyperlink ref="G80" r:id="rId80"/>
    <hyperlink ref="G81" r:id="rId81"/>
    <hyperlink ref="G82" r:id="rId82"/>
    <hyperlink ref="G83" r:id="rId83"/>
    <hyperlink ref="G84" r:id="rId84"/>
    <hyperlink ref="G85" r:id="rId85"/>
    <hyperlink ref="G86" r:id="rId86"/>
    <hyperlink ref="G87" r:id="rId87"/>
    <hyperlink ref="G88" r:id="rId88"/>
    <hyperlink ref="G89" r:id="rId89"/>
    <hyperlink ref="G90" r:id="rId90"/>
    <hyperlink ref="G91" r:id="rId91"/>
    <hyperlink ref="G92" r:id="rId92"/>
    <hyperlink ref="G93" r:id="rId93"/>
    <hyperlink ref="G94" r:id="rId94"/>
    <hyperlink ref="G95" r:id="rId95"/>
    <hyperlink ref="G96" r:id="rId96"/>
    <hyperlink ref="G97" r:id="rId97"/>
    <hyperlink ref="G98" r:id="rId98"/>
    <hyperlink ref="G99" r:id="rId99"/>
    <hyperlink ref="G100" r:id="rId100"/>
    <hyperlink ref="G101" r:id="rId101"/>
    <hyperlink ref="G102" r:id="rId102"/>
    <hyperlink ref="G103" r:id="rId103"/>
    <hyperlink ref="G104" r:id="rId104"/>
    <hyperlink ref="G105" r:id="rId105"/>
    <hyperlink ref="G106" r:id="rId106"/>
    <hyperlink ref="G107" r:id="rId107"/>
    <hyperlink ref="G108" r:id="rId108"/>
    <hyperlink ref="G109" r:id="rId109"/>
    <hyperlink ref="G110" r:id="rId110"/>
    <hyperlink ref="G111" r:id="rId111"/>
    <hyperlink ref="G112" r:id="rId112"/>
    <hyperlink ref="G113" r:id="rId113"/>
    <hyperlink ref="G114" r:id="rId114"/>
    <hyperlink ref="G115" r:id="rId115"/>
    <hyperlink ref="G116" r:id="rId116"/>
    <hyperlink ref="G117" r:id="rId117"/>
    <hyperlink ref="G118" r:id="rId118"/>
    <hyperlink ref="G119" r:id="rId119"/>
    <hyperlink ref="G120" r:id="rId120"/>
    <hyperlink ref="G121" r:id="rId121"/>
    <hyperlink ref="G122" r:id="rId122"/>
    <hyperlink ref="G123" r:id="rId123"/>
    <hyperlink ref="G124" r:id="rId124"/>
    <hyperlink ref="G125" r:id="rId125"/>
    <hyperlink ref="G126" r:id="rId126"/>
    <hyperlink ref="G127" r:id="rId127"/>
    <hyperlink ref="G128" r:id="rId128"/>
    <hyperlink ref="G129" r:id="rId129"/>
    <hyperlink ref="G130" r:id="rId130"/>
    <hyperlink ref="G131" r:id="rId131"/>
    <hyperlink ref="G132" r:id="rId132"/>
    <hyperlink ref="G133" r:id="rId133"/>
    <hyperlink ref="G134" r:id="rId134"/>
    <hyperlink ref="G135" r:id="rId135"/>
    <hyperlink ref="G136" r:id="rId136"/>
    <hyperlink ref="G137" r:id="rId137"/>
    <hyperlink ref="G138" r:id="rId138"/>
    <hyperlink ref="G139" r:id="rId139"/>
    <hyperlink ref="G140" r:id="rId140"/>
    <hyperlink ref="G141" r:id="rId141"/>
    <hyperlink ref="G142" r:id="rId142"/>
    <hyperlink ref="G143" r:id="rId143"/>
    <hyperlink ref="G144" r:id="rId144"/>
    <hyperlink ref="G145" r:id="rId145"/>
    <hyperlink ref="G146" r:id="rId146"/>
    <hyperlink ref="G147" r:id="rId147"/>
    <hyperlink ref="G148" r:id="rId148"/>
    <hyperlink ref="G149" r:id="rId149"/>
    <hyperlink ref="G150" r:id="rId150"/>
    <hyperlink ref="G151" r:id="rId151"/>
    <hyperlink ref="G152" r:id="rId152"/>
    <hyperlink ref="G153" r:id="rId153"/>
    <hyperlink ref="G154" r:id="rId154"/>
    <hyperlink ref="G155" r:id="rId155"/>
    <hyperlink ref="G156" r:id="rId156"/>
    <hyperlink ref="G157" r:id="rId157"/>
    <hyperlink ref="G158" r:id="rId158"/>
    <hyperlink ref="G159" r:id="rId159"/>
    <hyperlink ref="G160" r:id="rId160"/>
    <hyperlink ref="G161" r:id="rId161"/>
    <hyperlink ref="G162" r:id="rId162"/>
    <hyperlink ref="G163" r:id="rId163"/>
    <hyperlink ref="G164" r:id="rId164"/>
    <hyperlink ref="G165" r:id="rId165"/>
    <hyperlink ref="G166" r:id="rId166"/>
    <hyperlink ref="G167" r:id="rId167"/>
    <hyperlink ref="G168" r:id="rId168"/>
    <hyperlink ref="G169" r:id="rId169"/>
    <hyperlink ref="G170" r:id="rId170"/>
    <hyperlink ref="G171" r:id="rId171"/>
    <hyperlink ref="G172" r:id="rId172"/>
    <hyperlink ref="G173" r:id="rId173"/>
    <hyperlink ref="G174" r:id="rId174"/>
    <hyperlink ref="G175" r:id="rId175"/>
    <hyperlink ref="G176" r:id="rId176"/>
    <hyperlink ref="G177" r:id="rId177"/>
    <hyperlink ref="G178" r:id="rId178"/>
    <hyperlink ref="G179" r:id="rId179"/>
    <hyperlink ref="G180" r:id="rId180"/>
    <hyperlink ref="G181" r:id="rId181"/>
    <hyperlink ref="G182" r:id="rId182"/>
    <hyperlink ref="G183" r:id="rId183"/>
    <hyperlink ref="G184" r:id="rId184"/>
    <hyperlink ref="G185" r:id="rId185"/>
    <hyperlink ref="G186" r:id="rId186"/>
    <hyperlink ref="G187" r:id="rId187"/>
    <hyperlink ref="G188" r:id="rId188"/>
    <hyperlink ref="G189" r:id="rId189"/>
    <hyperlink ref="G190" r:id="rId190"/>
    <hyperlink ref="G191" r:id="rId191"/>
    <hyperlink ref="G192" r:id="rId192"/>
    <hyperlink ref="G193" r:id="rId193"/>
    <hyperlink ref="G194" r:id="rId194"/>
    <hyperlink ref="G195" r:id="rId195"/>
    <hyperlink ref="G196" r:id="rId196"/>
    <hyperlink ref="G197" r:id="rId197"/>
    <hyperlink ref="G198" r:id="rId198"/>
    <hyperlink ref="G199" r:id="rId199"/>
    <hyperlink ref="G200" r:id="rId200"/>
    <hyperlink ref="G201" r:id="rId201"/>
    <hyperlink ref="G202" r:id="rId202"/>
    <hyperlink ref="G203" r:id="rId203"/>
    <hyperlink ref="G204" r:id="rId204"/>
    <hyperlink ref="G205" r:id="rId205"/>
    <hyperlink ref="G206" r:id="rId206"/>
    <hyperlink ref="G207" r:id="rId207"/>
    <hyperlink ref="G208" r:id="rId208"/>
    <hyperlink ref="G209" r:id="rId209"/>
    <hyperlink ref="G210" r:id="rId210"/>
    <hyperlink ref="G211" r:id="rId211"/>
    <hyperlink ref="G212" r:id="rId212"/>
    <hyperlink ref="G213" r:id="rId213"/>
    <hyperlink ref="G214" r:id="rId214"/>
    <hyperlink ref="G215" r:id="rId215"/>
    <hyperlink ref="G216" r:id="rId216"/>
    <hyperlink ref="G217" r:id="rId217"/>
    <hyperlink ref="G218" r:id="rId218"/>
    <hyperlink ref="G219" r:id="rId219"/>
    <hyperlink ref="G220" r:id="rId220"/>
    <hyperlink ref="G221" r:id="rId221"/>
    <hyperlink ref="G222" r:id="rId222"/>
    <hyperlink ref="G223" r:id="rId223"/>
    <hyperlink ref="G224" r:id="rId224"/>
    <hyperlink ref="G225" r:id="rId225"/>
    <hyperlink ref="G226" r:id="rId226"/>
    <hyperlink ref="G227" r:id="rId227"/>
    <hyperlink ref="G228" r:id="rId228"/>
    <hyperlink ref="G229" r:id="rId229"/>
    <hyperlink ref="G230" r:id="rId230"/>
    <hyperlink ref="G231" r:id="rId231"/>
    <hyperlink ref="G232" r:id="rId232"/>
    <hyperlink ref="G233" r:id="rId233"/>
    <hyperlink ref="G234" r:id="rId234"/>
    <hyperlink ref="G235" r:id="rId235"/>
    <hyperlink ref="G236" r:id="rId236"/>
    <hyperlink ref="G237" r:id="rId237"/>
    <hyperlink ref="G238" r:id="rId238"/>
    <hyperlink ref="G239" r:id="rId239"/>
    <hyperlink ref="G240" r:id="rId240"/>
    <hyperlink ref="G241" r:id="rId241"/>
    <hyperlink ref="G242" r:id="rId242"/>
    <hyperlink ref="G243" r:id="rId243"/>
    <hyperlink ref="G244" r:id="rId244"/>
    <hyperlink ref="G245" r:id="rId245"/>
    <hyperlink ref="G246" r:id="rId246"/>
    <hyperlink ref="G247" r:id="rId247"/>
    <hyperlink ref="G248" r:id="rId248"/>
    <hyperlink ref="G249" r:id="rId249"/>
    <hyperlink ref="G250" r:id="rId250"/>
    <hyperlink ref="G251" r:id="rId251"/>
    <hyperlink ref="G252" r:id="rId252"/>
    <hyperlink ref="G253" r:id="rId253"/>
    <hyperlink ref="G254" r:id="rId254"/>
    <hyperlink ref="G255" r:id="rId255"/>
    <hyperlink ref="G256" r:id="rId256"/>
    <hyperlink ref="G257" r:id="rId257"/>
    <hyperlink ref="G258" r:id="rId258"/>
    <hyperlink ref="G259" r:id="rId259"/>
    <hyperlink ref="G260" r:id="rId260"/>
    <hyperlink ref="G261" r:id="rId261"/>
    <hyperlink ref="G262" r:id="rId262"/>
    <hyperlink ref="G263" r:id="rId263"/>
    <hyperlink ref="G264" r:id="rId264"/>
    <hyperlink ref="G265" r:id="rId265"/>
    <hyperlink ref="G266" r:id="rId266"/>
    <hyperlink ref="G267" r:id="rId267"/>
    <hyperlink ref="G268" r:id="rId268"/>
    <hyperlink ref="G269" r:id="rId269"/>
    <hyperlink ref="G270" r:id="rId270"/>
    <hyperlink ref="G271" r:id="rId271"/>
    <hyperlink ref="G272" r:id="rId272"/>
    <hyperlink ref="G273" r:id="rId273"/>
    <hyperlink ref="G274" r:id="rId274"/>
    <hyperlink ref="G275" r:id="rId275"/>
    <hyperlink ref="G276" r:id="rId276"/>
    <hyperlink ref="G277" r:id="rId277"/>
    <hyperlink ref="G278" r:id="rId278"/>
    <hyperlink ref="G279" r:id="rId279"/>
    <hyperlink ref="G280" r:id="rId280"/>
    <hyperlink ref="G281" r:id="rId281"/>
    <hyperlink ref="G282" r:id="rId282"/>
    <hyperlink ref="G283" r:id="rId283"/>
    <hyperlink ref="G284" r:id="rId284"/>
    <hyperlink ref="G285" r:id="rId285"/>
    <hyperlink ref="G286" r:id="rId286"/>
    <hyperlink ref="G287" r:id="rId287"/>
    <hyperlink ref="G288" r:id="rId288"/>
    <hyperlink ref="G289" r:id="rId289"/>
    <hyperlink ref="G290" r:id="rId290"/>
    <hyperlink ref="G291" r:id="rId291"/>
    <hyperlink ref="G292" r:id="rId292"/>
    <hyperlink ref="G293" r:id="rId293"/>
    <hyperlink ref="G294" r:id="rId294"/>
    <hyperlink ref="G295" r:id="rId295"/>
    <hyperlink ref="G296" r:id="rId296"/>
    <hyperlink ref="G297" r:id="rId297"/>
    <hyperlink ref="G298" r:id="rId298"/>
    <hyperlink ref="G299" r:id="rId299"/>
    <hyperlink ref="G300" r:id="rId300"/>
    <hyperlink ref="G301" r:id="rId301"/>
    <hyperlink ref="G302" r:id="rId302"/>
    <hyperlink ref="G303" r:id="rId303"/>
    <hyperlink ref="G304" r:id="rId304"/>
    <hyperlink ref="G305" r:id="rId305"/>
    <hyperlink ref="G306" r:id="rId306"/>
    <hyperlink ref="G307" r:id="rId307"/>
    <hyperlink ref="G308" r:id="rId308"/>
    <hyperlink ref="G309" r:id="rId309"/>
    <hyperlink ref="G310" r:id="rId310"/>
    <hyperlink ref="G311" r:id="rId311"/>
    <hyperlink ref="G312" r:id="rId312"/>
    <hyperlink ref="G313" r:id="rId313"/>
    <hyperlink ref="G314" r:id="rId314"/>
    <hyperlink ref="G315" r:id="rId315"/>
    <hyperlink ref="G316" r:id="rId316"/>
    <hyperlink ref="G317" r:id="rId317"/>
    <hyperlink ref="G318" r:id="rId318"/>
    <hyperlink ref="G319" r:id="rId319"/>
    <hyperlink ref="G320" r:id="rId320"/>
    <hyperlink ref="G321" r:id="rId321"/>
    <hyperlink ref="G322" r:id="rId322"/>
    <hyperlink ref="G323" r:id="rId323"/>
    <hyperlink ref="G324" r:id="rId324"/>
    <hyperlink ref="G325" r:id="rId325"/>
    <hyperlink ref="G326" r:id="rId326"/>
    <hyperlink ref="G327" r:id="rId327"/>
    <hyperlink ref="G328" r:id="rId328"/>
    <hyperlink ref="G329" r:id="rId329"/>
    <hyperlink ref="G330" r:id="rId330"/>
    <hyperlink ref="G331" r:id="rId331"/>
    <hyperlink ref="G332" r:id="rId332"/>
    <hyperlink ref="G333" r:id="rId333"/>
    <hyperlink ref="G334" r:id="rId334"/>
    <hyperlink ref="G335" r:id="rId335"/>
    <hyperlink ref="G336" r:id="rId336"/>
    <hyperlink ref="G337" r:id="rId337"/>
    <hyperlink ref="G338" r:id="rId338"/>
    <hyperlink ref="G339" r:id="rId339"/>
    <hyperlink ref="G340" r:id="rId340"/>
    <hyperlink ref="G341" r:id="rId34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9.5" customWidth="1"/>
    <col min="3" max="3" width="34.125" customWidth="1"/>
    <col min="4" max="4" width="10.75" customWidth="1"/>
    <col min="5" max="5" width="13.875" customWidth="1"/>
    <col min="6" max="6" width="12.5" customWidth="1"/>
    <col min="7" max="7" width="25" customWidth="1"/>
    <col min="8" max="9" width="7.625" customWidth="1"/>
    <col min="10" max="10" width="33.125" customWidth="1"/>
    <col min="11" max="25" width="7.625" customWidth="1"/>
  </cols>
  <sheetData>
    <row r="1" spans="1:12" ht="36" customHeight="1">
      <c r="A1" s="292" t="s">
        <v>5100</v>
      </c>
      <c r="B1" s="290"/>
      <c r="C1" s="290"/>
      <c r="D1" s="290"/>
      <c r="E1" s="290"/>
      <c r="F1" s="290"/>
      <c r="G1" s="290"/>
      <c r="H1" s="290"/>
      <c r="J1" s="284"/>
    </row>
    <row r="2" spans="1:12" ht="19.5" customHeight="1">
      <c r="A2" s="3"/>
      <c r="B2" s="125"/>
      <c r="C2" s="5"/>
      <c r="D2" s="5"/>
      <c r="E2" s="6"/>
      <c r="F2" s="5"/>
      <c r="G2" s="291" t="str">
        <f>CONCATENATE("2020년 구독종수: ", COUNTIF(H4:H1995,"O"))</f>
        <v>2020년 구독종수: 422</v>
      </c>
      <c r="H2" s="290"/>
      <c r="J2" s="284"/>
    </row>
    <row r="3" spans="1:12" ht="27.75" customHeight="1">
      <c r="A3" s="9" t="s">
        <v>2</v>
      </c>
      <c r="B3" s="10" t="s">
        <v>3</v>
      </c>
      <c r="C3" s="11" t="s">
        <v>4</v>
      </c>
      <c r="D3" s="12" t="s">
        <v>6</v>
      </c>
      <c r="E3" s="11" t="s">
        <v>7</v>
      </c>
      <c r="F3" s="13" t="s">
        <v>8</v>
      </c>
      <c r="G3" s="11" t="s">
        <v>9</v>
      </c>
      <c r="H3" s="14" t="s">
        <v>10</v>
      </c>
      <c r="J3" s="284"/>
    </row>
    <row r="4" spans="1:12" ht="26.25" customHeight="1">
      <c r="A4" s="17">
        <f t="shared" ref="A4:A982" si="0">IF(B4="","",ROW(B4)-3)</f>
        <v>1</v>
      </c>
      <c r="B4" s="18" t="s">
        <v>13</v>
      </c>
      <c r="C4" s="19" t="s">
        <v>14</v>
      </c>
      <c r="D4" s="20" t="s">
        <v>16</v>
      </c>
      <c r="E4" s="32" t="s">
        <v>3736</v>
      </c>
      <c r="F4" s="22" t="s">
        <v>18</v>
      </c>
      <c r="G4" s="23" t="s">
        <v>19</v>
      </c>
      <c r="H4" s="24" t="s">
        <v>20</v>
      </c>
      <c r="J4" s="284" t="str">
        <f t="shared" ref="J4:J7" si="1">CONCATENATE(C4," │  ISSN:  ",D4," *")</f>
        <v>A+U │  ISSN:  0389-9160 *</v>
      </c>
      <c r="L4" s="243" t="s">
        <v>5101</v>
      </c>
    </row>
    <row r="5" spans="1:12" ht="26.25" customHeight="1">
      <c r="A5" s="17">
        <f t="shared" si="0"/>
        <v>2</v>
      </c>
      <c r="B5" s="18" t="s">
        <v>27</v>
      </c>
      <c r="C5" s="19" t="s">
        <v>28</v>
      </c>
      <c r="D5" s="20" t="s">
        <v>30</v>
      </c>
      <c r="E5" s="32" t="s">
        <v>3736</v>
      </c>
      <c r="F5" s="22" t="s">
        <v>31</v>
      </c>
      <c r="G5" s="23" t="s">
        <v>32</v>
      </c>
      <c r="H5" s="24" t="s">
        <v>20</v>
      </c>
      <c r="J5" s="284" t="str">
        <f t="shared" si="1"/>
        <v>AAPG Bulletin │  ISSN:  0149-1423 *</v>
      </c>
      <c r="L5" s="243" t="s">
        <v>5102</v>
      </c>
    </row>
    <row r="6" spans="1:12" ht="26.25" customHeight="1">
      <c r="A6" s="17">
        <f t="shared" si="0"/>
        <v>3</v>
      </c>
      <c r="B6" s="18" t="s">
        <v>37</v>
      </c>
      <c r="C6" s="19" t="s">
        <v>38</v>
      </c>
      <c r="D6" s="20" t="s">
        <v>40</v>
      </c>
      <c r="E6" s="32" t="s">
        <v>5000</v>
      </c>
      <c r="F6" s="22" t="s">
        <v>42</v>
      </c>
      <c r="G6" s="23" t="s">
        <v>43</v>
      </c>
      <c r="H6" s="24" t="s">
        <v>20</v>
      </c>
      <c r="J6" s="284" t="str">
        <f t="shared" si="1"/>
        <v>AATCC Review │  ISSN:  1532-8813 *</v>
      </c>
      <c r="L6" s="243" t="s">
        <v>5103</v>
      </c>
    </row>
    <row r="7" spans="1:12" ht="26.25" customHeight="1">
      <c r="A7" s="17">
        <f t="shared" si="0"/>
        <v>4</v>
      </c>
      <c r="B7" s="18" t="s">
        <v>48</v>
      </c>
      <c r="C7" s="31" t="s">
        <v>49</v>
      </c>
      <c r="D7" s="20" t="s">
        <v>51</v>
      </c>
      <c r="E7" s="32" t="s">
        <v>52</v>
      </c>
      <c r="F7" s="33" t="s">
        <v>53</v>
      </c>
      <c r="G7" s="23" t="s">
        <v>54</v>
      </c>
      <c r="H7" s="24" t="s">
        <v>20</v>
      </c>
      <c r="J7" s="284" t="str">
        <f t="shared" si="1"/>
        <v>ABU Technical Review │  ISSN:  0126-6209 *</v>
      </c>
      <c r="L7" s="243" t="s">
        <v>5104</v>
      </c>
    </row>
    <row r="8" spans="1:12" ht="26.25" hidden="1" customHeight="1">
      <c r="A8" s="17">
        <f t="shared" si="0"/>
        <v>5</v>
      </c>
      <c r="B8" s="18" t="s">
        <v>37</v>
      </c>
      <c r="C8" s="31" t="s">
        <v>59</v>
      </c>
      <c r="D8" s="20" t="s">
        <v>61</v>
      </c>
      <c r="E8" s="32" t="s">
        <v>62</v>
      </c>
      <c r="F8" s="22" t="s">
        <v>63</v>
      </c>
      <c r="G8" s="23" t="s">
        <v>64</v>
      </c>
      <c r="H8" s="24" t="s">
        <v>55</v>
      </c>
    </row>
    <row r="9" spans="1:12" ht="26.25" hidden="1" customHeight="1">
      <c r="A9" s="17">
        <f t="shared" si="0"/>
        <v>6</v>
      </c>
      <c r="B9" s="18" t="s">
        <v>37</v>
      </c>
      <c r="C9" s="31" t="s">
        <v>67</v>
      </c>
      <c r="D9" s="20" t="s">
        <v>68</v>
      </c>
      <c r="E9" s="32" t="s">
        <v>69</v>
      </c>
      <c r="F9" s="22" t="s">
        <v>42</v>
      </c>
      <c r="G9" s="23" t="s">
        <v>70</v>
      </c>
      <c r="H9" s="24" t="s">
        <v>55</v>
      </c>
    </row>
    <row r="10" spans="1:12" ht="26.25" customHeight="1">
      <c r="A10" s="17">
        <f t="shared" si="0"/>
        <v>7</v>
      </c>
      <c r="B10" s="18" t="s">
        <v>13</v>
      </c>
      <c r="C10" s="19" t="s">
        <v>74</v>
      </c>
      <c r="D10" s="20" t="s">
        <v>75</v>
      </c>
      <c r="E10" s="32" t="s">
        <v>4949</v>
      </c>
      <c r="F10" s="22" t="s">
        <v>42</v>
      </c>
      <c r="G10" s="23" t="s">
        <v>77</v>
      </c>
      <c r="H10" s="24" t="s">
        <v>20</v>
      </c>
      <c r="J10" s="284" t="str">
        <f t="shared" ref="J10:J11" si="2">CONCATENATE(C10," │  ISSN:  ",D10," *")</f>
        <v>ACI Structural Journal │  ISSN:  0889-3241 *</v>
      </c>
      <c r="L10" s="243" t="s">
        <v>5105</v>
      </c>
    </row>
    <row r="11" spans="1:12" ht="26.25" customHeight="1">
      <c r="A11" s="17">
        <f t="shared" si="0"/>
        <v>8</v>
      </c>
      <c r="B11" s="18" t="s">
        <v>81</v>
      </c>
      <c r="C11" s="31" t="s">
        <v>82</v>
      </c>
      <c r="D11" s="20" t="s">
        <v>84</v>
      </c>
      <c r="E11" s="32" t="s">
        <v>5011</v>
      </c>
      <c r="F11" s="33" t="s">
        <v>42</v>
      </c>
      <c r="G11" s="23" t="s">
        <v>86</v>
      </c>
      <c r="H11" s="24" t="s">
        <v>20</v>
      </c>
      <c r="J11" s="284" t="str">
        <f t="shared" si="2"/>
        <v>ACM Computing Surveys │  ISSN:  0360-0300 *</v>
      </c>
      <c r="L11" s="243" t="s">
        <v>5106</v>
      </c>
    </row>
    <row r="12" spans="1:12" ht="26.25" hidden="1" customHeight="1">
      <c r="A12" s="17">
        <f t="shared" si="0"/>
        <v>9</v>
      </c>
      <c r="B12" s="18" t="s">
        <v>81</v>
      </c>
      <c r="C12" s="31" t="s">
        <v>91</v>
      </c>
      <c r="D12" s="20" t="s">
        <v>92</v>
      </c>
      <c r="E12" s="32" t="s">
        <v>93</v>
      </c>
      <c r="F12" s="33" t="s">
        <v>42</v>
      </c>
      <c r="G12" s="23" t="s">
        <v>94</v>
      </c>
      <c r="H12" s="24" t="s">
        <v>55</v>
      </c>
    </row>
    <row r="13" spans="1:12" ht="26.25" hidden="1" customHeight="1">
      <c r="A13" s="17">
        <f t="shared" si="0"/>
        <v>10</v>
      </c>
      <c r="B13" s="18" t="s">
        <v>81</v>
      </c>
      <c r="C13" s="31" t="s">
        <v>98</v>
      </c>
      <c r="D13" s="20" t="s">
        <v>99</v>
      </c>
      <c r="E13" s="32" t="s">
        <v>100</v>
      </c>
      <c r="F13" s="33" t="s">
        <v>31</v>
      </c>
      <c r="G13" s="23" t="s">
        <v>101</v>
      </c>
      <c r="H13" s="24" t="s">
        <v>55</v>
      </c>
    </row>
    <row r="14" spans="1:12" ht="26.25" hidden="1" customHeight="1">
      <c r="A14" s="17">
        <f t="shared" si="0"/>
        <v>11</v>
      </c>
      <c r="B14" s="18" t="s">
        <v>105</v>
      </c>
      <c r="C14" s="31" t="s">
        <v>106</v>
      </c>
      <c r="D14" s="20" t="s">
        <v>108</v>
      </c>
      <c r="E14" s="32" t="s">
        <v>109</v>
      </c>
      <c r="F14" s="33" t="s">
        <v>31</v>
      </c>
      <c r="G14" s="23" t="s">
        <v>110</v>
      </c>
      <c r="H14" s="24" t="s">
        <v>55</v>
      </c>
    </row>
    <row r="15" spans="1:12" ht="26.25" customHeight="1">
      <c r="A15" s="17">
        <f t="shared" si="0"/>
        <v>12</v>
      </c>
      <c r="B15" s="18" t="s">
        <v>105</v>
      </c>
      <c r="C15" s="31" t="s">
        <v>115</v>
      </c>
      <c r="D15" s="20" t="s">
        <v>117</v>
      </c>
      <c r="E15" s="21" t="s">
        <v>5092</v>
      </c>
      <c r="F15" s="33" t="s">
        <v>42</v>
      </c>
      <c r="G15" s="23" t="s">
        <v>119</v>
      </c>
      <c r="H15" s="34" t="s">
        <v>20</v>
      </c>
      <c r="J15" s="284" t="str">
        <f t="shared" ref="J15:J17" si="3">CONCATENATE(C15," │  ISSN:  ",D15," *")</f>
        <v>Acta Phytotaxonomica et Geobotanica │  ISSN:  1346-7565 *</v>
      </c>
      <c r="L15" s="243" t="s">
        <v>5107</v>
      </c>
    </row>
    <row r="16" spans="1:12" ht="26.25" customHeight="1">
      <c r="A16" s="17">
        <f t="shared" si="0"/>
        <v>13</v>
      </c>
      <c r="B16" s="18" t="s">
        <v>37</v>
      </c>
      <c r="C16" s="19" t="s">
        <v>5001</v>
      </c>
      <c r="D16" s="20" t="s">
        <v>125</v>
      </c>
      <c r="E16" s="32" t="s">
        <v>2504</v>
      </c>
      <c r="F16" s="22" t="s">
        <v>42</v>
      </c>
      <c r="G16" s="23" t="s">
        <v>127</v>
      </c>
      <c r="H16" s="24" t="s">
        <v>20</v>
      </c>
      <c r="J16" s="284" t="str">
        <f t="shared" si="3"/>
        <v>Advaces in Applied Ceramics │  ISSN:  1743-6753 *</v>
      </c>
      <c r="L16" s="243" t="s">
        <v>5108</v>
      </c>
    </row>
    <row r="17" spans="1:12" ht="26.25" customHeight="1">
      <c r="A17" s="17">
        <f t="shared" si="0"/>
        <v>14</v>
      </c>
      <c r="B17" s="18" t="s">
        <v>132</v>
      </c>
      <c r="C17" s="19" t="s">
        <v>133</v>
      </c>
      <c r="D17" s="20" t="s">
        <v>134</v>
      </c>
      <c r="E17" s="32" t="s">
        <v>52</v>
      </c>
      <c r="F17" s="22" t="s">
        <v>42</v>
      </c>
      <c r="G17" s="23" t="s">
        <v>136</v>
      </c>
      <c r="H17" s="24" t="s">
        <v>20</v>
      </c>
      <c r="J17" s="284" t="str">
        <f t="shared" si="3"/>
        <v>Advanced Composite Materials │  ISSN:  0924-3046 *</v>
      </c>
      <c r="L17" s="243" t="s">
        <v>5109</v>
      </c>
    </row>
    <row r="18" spans="1:12" ht="26.25" hidden="1" customHeight="1">
      <c r="A18" s="17">
        <f t="shared" si="0"/>
        <v>15</v>
      </c>
      <c r="B18" s="18" t="s">
        <v>27</v>
      </c>
      <c r="C18" s="31" t="s">
        <v>22</v>
      </c>
      <c r="D18" s="20" t="s">
        <v>24</v>
      </c>
      <c r="E18" s="32" t="s">
        <v>142</v>
      </c>
      <c r="F18" s="22" t="s">
        <v>42</v>
      </c>
      <c r="G18" s="23" t="s">
        <v>143</v>
      </c>
      <c r="H18" s="24" t="s">
        <v>55</v>
      </c>
    </row>
    <row r="19" spans="1:12" ht="26.25" hidden="1" customHeight="1">
      <c r="A19" s="17">
        <f t="shared" si="0"/>
        <v>16</v>
      </c>
      <c r="B19" s="18" t="s">
        <v>146</v>
      </c>
      <c r="C19" s="31" t="s">
        <v>33</v>
      </c>
      <c r="D19" s="20" t="s">
        <v>35</v>
      </c>
      <c r="E19" s="32" t="s">
        <v>148</v>
      </c>
      <c r="F19" s="33" t="s">
        <v>42</v>
      </c>
      <c r="G19" s="23" t="s">
        <v>149</v>
      </c>
      <c r="H19" s="24" t="s">
        <v>55</v>
      </c>
    </row>
    <row r="20" spans="1:12" ht="26.25" customHeight="1">
      <c r="A20" s="17">
        <f t="shared" si="0"/>
        <v>17</v>
      </c>
      <c r="B20" s="18" t="s">
        <v>37</v>
      </c>
      <c r="C20" s="19" t="s">
        <v>153</v>
      </c>
      <c r="D20" s="20" t="s">
        <v>155</v>
      </c>
      <c r="E20" s="44" t="s">
        <v>5110</v>
      </c>
      <c r="F20" s="22" t="s">
        <v>53</v>
      </c>
      <c r="G20" s="41" t="s">
        <v>157</v>
      </c>
      <c r="H20" s="24" t="s">
        <v>20</v>
      </c>
      <c r="J20" s="284" t="str">
        <f>CONCATENATE(C20," │  ISSN:  ",D20," *")</f>
        <v>Advanced Materials Research │  ISSN:  1022-6680 *</v>
      </c>
      <c r="L20" s="243" t="s">
        <v>5111</v>
      </c>
    </row>
    <row r="21" spans="1:12" ht="26.25" hidden="1" customHeight="1">
      <c r="A21" s="17">
        <f t="shared" si="0"/>
        <v>18</v>
      </c>
      <c r="B21" s="18" t="s">
        <v>81</v>
      </c>
      <c r="C21" s="31" t="s">
        <v>160</v>
      </c>
      <c r="D21" s="20" t="s">
        <v>162</v>
      </c>
      <c r="E21" s="32" t="s">
        <v>163</v>
      </c>
      <c r="F21" s="33" t="s">
        <v>42</v>
      </c>
      <c r="G21" s="23" t="s">
        <v>164</v>
      </c>
      <c r="H21" s="24" t="s">
        <v>55</v>
      </c>
    </row>
    <row r="22" spans="1:12" ht="26.25" hidden="1" customHeight="1">
      <c r="A22" s="17">
        <f t="shared" si="0"/>
        <v>19</v>
      </c>
      <c r="B22" s="18" t="s">
        <v>105</v>
      </c>
      <c r="C22" s="31" t="s">
        <v>167</v>
      </c>
      <c r="D22" s="20" t="s">
        <v>169</v>
      </c>
      <c r="E22" s="32" t="s">
        <v>170</v>
      </c>
      <c r="F22" s="33" t="s">
        <v>53</v>
      </c>
      <c r="G22" s="23" t="s">
        <v>171</v>
      </c>
      <c r="H22" s="24" t="s">
        <v>55</v>
      </c>
    </row>
    <row r="23" spans="1:12" ht="26.25" customHeight="1">
      <c r="A23" s="17">
        <f t="shared" si="0"/>
        <v>20</v>
      </c>
      <c r="B23" s="18" t="s">
        <v>175</v>
      </c>
      <c r="C23" s="31" t="s">
        <v>176</v>
      </c>
      <c r="D23" s="20" t="s">
        <v>177</v>
      </c>
      <c r="E23" s="32" t="s">
        <v>178</v>
      </c>
      <c r="F23" s="33" t="s">
        <v>53</v>
      </c>
      <c r="G23" s="23" t="s">
        <v>179</v>
      </c>
      <c r="H23" s="24" t="s">
        <v>20</v>
      </c>
      <c r="J23" s="284" t="str">
        <f t="shared" ref="J23:J24" si="4">CONCATENATE(C23," │  ISSN:  ",D23," *")</f>
        <v>Advanced science, Engineering and Medicine │  ISSN:  2164-6627 *</v>
      </c>
      <c r="L23" s="243" t="s">
        <v>5112</v>
      </c>
    </row>
    <row r="24" spans="1:12" ht="26.25" customHeight="1">
      <c r="A24" s="17">
        <f t="shared" si="0"/>
        <v>21</v>
      </c>
      <c r="B24" s="18" t="s">
        <v>105</v>
      </c>
      <c r="C24" s="31" t="s">
        <v>183</v>
      </c>
      <c r="D24" s="20" t="s">
        <v>185</v>
      </c>
      <c r="E24" s="32" t="s">
        <v>186</v>
      </c>
      <c r="F24" s="33" t="s">
        <v>42</v>
      </c>
      <c r="G24" s="23" t="s">
        <v>187</v>
      </c>
      <c r="H24" s="24" t="s">
        <v>20</v>
      </c>
      <c r="J24" s="284" t="str">
        <f t="shared" si="4"/>
        <v>Advances in Applied Mathematics and Mechanics │  ISSN:  2070-0733 *</v>
      </c>
      <c r="L24" s="243" t="s">
        <v>5113</v>
      </c>
    </row>
    <row r="25" spans="1:12" ht="26.25" hidden="1" customHeight="1">
      <c r="A25" s="17">
        <f t="shared" si="0"/>
        <v>22</v>
      </c>
      <c r="B25" s="18" t="s">
        <v>132</v>
      </c>
      <c r="C25" s="22" t="s">
        <v>190</v>
      </c>
      <c r="D25" s="43" t="s">
        <v>192</v>
      </c>
      <c r="E25" s="44" t="s">
        <v>193</v>
      </c>
      <c r="F25" s="22" t="s">
        <v>31</v>
      </c>
      <c r="G25" s="41" t="s">
        <v>194</v>
      </c>
      <c r="H25" s="45" t="s">
        <v>55</v>
      </c>
    </row>
    <row r="26" spans="1:12" ht="26.25" customHeight="1">
      <c r="A26" s="17">
        <f t="shared" si="0"/>
        <v>23</v>
      </c>
      <c r="B26" s="18" t="s">
        <v>13</v>
      </c>
      <c r="C26" s="19" t="s">
        <v>198</v>
      </c>
      <c r="D26" s="20" t="s">
        <v>200</v>
      </c>
      <c r="E26" s="32" t="s">
        <v>52</v>
      </c>
      <c r="F26" s="22" t="s">
        <v>42</v>
      </c>
      <c r="G26" s="23" t="s">
        <v>201</v>
      </c>
      <c r="H26" s="24" t="s">
        <v>20</v>
      </c>
      <c r="J26" s="284" t="str">
        <f>CONCATENATE(C26," │  ISSN:  ",D26," *")</f>
        <v>Advances in Cement Research │  ISSN:  0951-7197 *</v>
      </c>
      <c r="L26" s="243" t="s">
        <v>5114</v>
      </c>
    </row>
    <row r="27" spans="1:12" ht="26.25" hidden="1" customHeight="1">
      <c r="A27" s="17">
        <f t="shared" si="0"/>
        <v>24</v>
      </c>
      <c r="B27" s="18" t="s">
        <v>37</v>
      </c>
      <c r="C27" s="31" t="s">
        <v>206</v>
      </c>
      <c r="D27" s="20" t="s">
        <v>208</v>
      </c>
      <c r="E27" s="32" t="s">
        <v>209</v>
      </c>
      <c r="F27" s="22" t="s">
        <v>42</v>
      </c>
      <c r="G27" s="23" t="s">
        <v>210</v>
      </c>
      <c r="H27" s="24" t="s">
        <v>55</v>
      </c>
    </row>
    <row r="28" spans="1:12" ht="26.25" hidden="1" customHeight="1">
      <c r="A28" s="17">
        <f t="shared" si="0"/>
        <v>25</v>
      </c>
      <c r="B28" s="18" t="s">
        <v>175</v>
      </c>
      <c r="C28" s="22" t="s">
        <v>212</v>
      </c>
      <c r="D28" s="43" t="s">
        <v>214</v>
      </c>
      <c r="E28" s="44" t="s">
        <v>215</v>
      </c>
      <c r="F28" s="33" t="s">
        <v>42</v>
      </c>
      <c r="G28" s="41" t="s">
        <v>216</v>
      </c>
      <c r="H28" s="45" t="s">
        <v>55</v>
      </c>
    </row>
    <row r="29" spans="1:12" ht="26.25" hidden="1" customHeight="1">
      <c r="A29" s="17">
        <f t="shared" si="0"/>
        <v>26</v>
      </c>
      <c r="B29" s="18" t="s">
        <v>13</v>
      </c>
      <c r="C29" s="31" t="s">
        <v>220</v>
      </c>
      <c r="D29" s="20" t="s">
        <v>221</v>
      </c>
      <c r="E29" s="32" t="s">
        <v>222</v>
      </c>
      <c r="F29" s="22" t="s">
        <v>42</v>
      </c>
      <c r="G29" s="23" t="s">
        <v>223</v>
      </c>
      <c r="H29" s="24" t="s">
        <v>55</v>
      </c>
    </row>
    <row r="30" spans="1:12" ht="26.25" customHeight="1">
      <c r="A30" s="17">
        <f t="shared" si="0"/>
        <v>27</v>
      </c>
      <c r="B30" s="18" t="s">
        <v>27</v>
      </c>
      <c r="C30" s="22" t="s">
        <v>226</v>
      </c>
      <c r="D30" s="43" t="s">
        <v>228</v>
      </c>
      <c r="E30" s="44" t="s">
        <v>4956</v>
      </c>
      <c r="F30" s="22" t="s">
        <v>42</v>
      </c>
      <c r="G30" s="41" t="s">
        <v>230</v>
      </c>
      <c r="H30" s="45" t="s">
        <v>20</v>
      </c>
      <c r="J30" s="284" t="str">
        <f t="shared" ref="J30:J31" si="5">CONCATENATE(C30," │  ISSN:  ",D30," *")</f>
        <v>Aerosol science and Technology │  ISSN:  0278-6826 *</v>
      </c>
      <c r="L30" s="243" t="s">
        <v>5115</v>
      </c>
    </row>
    <row r="31" spans="1:12" ht="26.25" customHeight="1">
      <c r="A31" s="17">
        <f t="shared" si="0"/>
        <v>28</v>
      </c>
      <c r="B31" s="18" t="s">
        <v>233</v>
      </c>
      <c r="C31" s="31" t="s">
        <v>234</v>
      </c>
      <c r="D31" s="48" t="s">
        <v>236</v>
      </c>
      <c r="E31" s="21" t="s">
        <v>52</v>
      </c>
      <c r="F31" s="22" t="s">
        <v>53</v>
      </c>
      <c r="G31" s="23" t="s">
        <v>237</v>
      </c>
      <c r="H31" s="34" t="s">
        <v>20</v>
      </c>
      <c r="J31" s="284" t="str">
        <f t="shared" si="5"/>
        <v>Aerospace │  ISSN:  2052-451X *</v>
      </c>
      <c r="L31" s="243" t="s">
        <v>5116</v>
      </c>
    </row>
    <row r="32" spans="1:12" ht="26.25" hidden="1" customHeight="1">
      <c r="A32" s="17">
        <f t="shared" si="0"/>
        <v>29</v>
      </c>
      <c r="B32" s="18" t="s">
        <v>233</v>
      </c>
      <c r="C32" s="22" t="s">
        <v>241</v>
      </c>
      <c r="D32" s="43" t="s">
        <v>243</v>
      </c>
      <c r="E32" s="44" t="s">
        <v>170</v>
      </c>
      <c r="F32" s="22" t="s">
        <v>31</v>
      </c>
      <c r="G32" s="41" t="s">
        <v>244</v>
      </c>
      <c r="H32" s="45" t="s">
        <v>55</v>
      </c>
    </row>
    <row r="33" spans="1:12" ht="26.25" hidden="1" customHeight="1">
      <c r="A33" s="17">
        <f t="shared" si="0"/>
        <v>30</v>
      </c>
      <c r="B33" s="18" t="s">
        <v>248</v>
      </c>
      <c r="C33" s="31" t="s">
        <v>249</v>
      </c>
      <c r="D33" s="20" t="s">
        <v>251</v>
      </c>
      <c r="E33" s="32" t="s">
        <v>252</v>
      </c>
      <c r="F33" s="33" t="s">
        <v>31</v>
      </c>
      <c r="G33" s="23" t="s">
        <v>253</v>
      </c>
      <c r="H33" s="24" t="s">
        <v>55</v>
      </c>
    </row>
    <row r="34" spans="1:12" ht="26.25" hidden="1" customHeight="1">
      <c r="A34" s="17">
        <f t="shared" si="0"/>
        <v>31</v>
      </c>
      <c r="B34" s="18" t="s">
        <v>81</v>
      </c>
      <c r="C34" s="31" t="s">
        <v>257</v>
      </c>
      <c r="D34" s="20" t="s">
        <v>259</v>
      </c>
      <c r="E34" s="32" t="s">
        <v>260</v>
      </c>
      <c r="F34" s="33" t="s">
        <v>31</v>
      </c>
      <c r="G34" s="23" t="s">
        <v>261</v>
      </c>
      <c r="H34" s="24" t="s">
        <v>55</v>
      </c>
    </row>
    <row r="35" spans="1:12" ht="26.25" hidden="1" customHeight="1">
      <c r="A35" s="17">
        <f t="shared" si="0"/>
        <v>32</v>
      </c>
      <c r="B35" s="18" t="s">
        <v>233</v>
      </c>
      <c r="C35" s="31" t="s">
        <v>217</v>
      </c>
      <c r="D35" s="20" t="s">
        <v>219</v>
      </c>
      <c r="E35" s="32" t="s">
        <v>265</v>
      </c>
      <c r="F35" s="22" t="s">
        <v>42</v>
      </c>
      <c r="G35" s="23" t="s">
        <v>266</v>
      </c>
      <c r="H35" s="24" t="s">
        <v>55</v>
      </c>
    </row>
    <row r="36" spans="1:12" ht="26.25" hidden="1" customHeight="1">
      <c r="A36" s="17">
        <f t="shared" si="0"/>
        <v>33</v>
      </c>
      <c r="B36" s="18" t="s">
        <v>233</v>
      </c>
      <c r="C36" s="31" t="s">
        <v>270</v>
      </c>
      <c r="D36" s="20" t="s">
        <v>272</v>
      </c>
      <c r="E36" s="32" t="s">
        <v>222</v>
      </c>
      <c r="F36" s="22" t="s">
        <v>31</v>
      </c>
      <c r="G36" s="23" t="s">
        <v>273</v>
      </c>
      <c r="H36" s="24" t="s">
        <v>55</v>
      </c>
    </row>
    <row r="37" spans="1:12" ht="26.25" hidden="1" customHeight="1">
      <c r="A37" s="17">
        <f t="shared" si="0"/>
        <v>34</v>
      </c>
      <c r="B37" s="18" t="s">
        <v>105</v>
      </c>
      <c r="C37" s="31" t="s">
        <v>276</v>
      </c>
      <c r="D37" s="20" t="s">
        <v>278</v>
      </c>
      <c r="E37" s="32" t="s">
        <v>279</v>
      </c>
      <c r="F37" s="33" t="s">
        <v>42</v>
      </c>
      <c r="G37" s="23" t="s">
        <v>280</v>
      </c>
      <c r="H37" s="24" t="s">
        <v>55</v>
      </c>
    </row>
    <row r="38" spans="1:12" ht="26.25" hidden="1" customHeight="1">
      <c r="A38" s="17">
        <f t="shared" si="0"/>
        <v>35</v>
      </c>
      <c r="B38" s="18" t="s">
        <v>81</v>
      </c>
      <c r="C38" s="31" t="s">
        <v>285</v>
      </c>
      <c r="D38" s="20" t="s">
        <v>286</v>
      </c>
      <c r="E38" s="32" t="s">
        <v>252</v>
      </c>
      <c r="F38" s="33" t="s">
        <v>42</v>
      </c>
      <c r="G38" s="23" t="s">
        <v>287</v>
      </c>
      <c r="H38" s="24" t="s">
        <v>55</v>
      </c>
    </row>
    <row r="39" spans="1:12" ht="26.25" customHeight="1">
      <c r="A39" s="17">
        <f t="shared" si="0"/>
        <v>36</v>
      </c>
      <c r="B39" s="18" t="s">
        <v>289</v>
      </c>
      <c r="C39" s="31" t="s">
        <v>290</v>
      </c>
      <c r="D39" s="20" t="s">
        <v>292</v>
      </c>
      <c r="E39" s="32" t="s">
        <v>186</v>
      </c>
      <c r="F39" s="33" t="s">
        <v>42</v>
      </c>
      <c r="G39" s="23" t="s">
        <v>294</v>
      </c>
      <c r="H39" s="24" t="s">
        <v>20</v>
      </c>
      <c r="J39" s="284" t="str">
        <f t="shared" ref="J39:J40" si="6">CONCATENATE(C39," │  ISSN:  ",D39," *")</f>
        <v>ALTEX. Alternatives to Animal Experimentation │  ISSN:  1868-596X *</v>
      </c>
      <c r="L39" s="243" t="s">
        <v>5117</v>
      </c>
    </row>
    <row r="40" spans="1:12" ht="26.25" customHeight="1">
      <c r="A40" s="17">
        <f t="shared" si="0"/>
        <v>37</v>
      </c>
      <c r="B40" s="18" t="s">
        <v>37</v>
      </c>
      <c r="C40" s="19" t="s">
        <v>298</v>
      </c>
      <c r="D40" s="20" t="s">
        <v>300</v>
      </c>
      <c r="E40" s="32" t="s">
        <v>5003</v>
      </c>
      <c r="F40" s="22" t="s">
        <v>31</v>
      </c>
      <c r="G40" s="23" t="s">
        <v>302</v>
      </c>
      <c r="H40" s="24" t="s">
        <v>20</v>
      </c>
      <c r="J40" s="284" t="str">
        <f t="shared" si="6"/>
        <v>American Ceramic Society Bulletin │  ISSN:  0002-7812 *</v>
      </c>
      <c r="L40" s="243" t="s">
        <v>5118</v>
      </c>
    </row>
    <row r="41" spans="1:12" ht="26.25" hidden="1" customHeight="1">
      <c r="A41" s="17">
        <f t="shared" si="0"/>
        <v>38</v>
      </c>
      <c r="B41" s="18" t="s">
        <v>175</v>
      </c>
      <c r="C41" s="31" t="s">
        <v>307</v>
      </c>
      <c r="D41" s="20" t="s">
        <v>309</v>
      </c>
      <c r="E41" s="32" t="s">
        <v>310</v>
      </c>
      <c r="F41" s="33" t="s">
        <v>42</v>
      </c>
      <c r="G41" s="23" t="s">
        <v>311</v>
      </c>
      <c r="H41" s="24" t="s">
        <v>55</v>
      </c>
    </row>
    <row r="42" spans="1:12" ht="26.25" hidden="1" customHeight="1">
      <c r="A42" s="17">
        <f t="shared" si="0"/>
        <v>39</v>
      </c>
      <c r="B42" s="18" t="s">
        <v>175</v>
      </c>
      <c r="C42" s="31" t="s">
        <v>314</v>
      </c>
      <c r="D42" s="20" t="s">
        <v>316</v>
      </c>
      <c r="E42" s="32" t="s">
        <v>317</v>
      </c>
      <c r="F42" s="33" t="s">
        <v>42</v>
      </c>
      <c r="G42" s="23" t="s">
        <v>318</v>
      </c>
      <c r="H42" s="24" t="s">
        <v>55</v>
      </c>
    </row>
    <row r="43" spans="1:12" ht="26.25" customHeight="1">
      <c r="A43" s="17">
        <f t="shared" si="0"/>
        <v>40</v>
      </c>
      <c r="B43" s="18" t="s">
        <v>175</v>
      </c>
      <c r="C43" s="31" t="s">
        <v>323</v>
      </c>
      <c r="D43" s="20" t="s">
        <v>325</v>
      </c>
      <c r="E43" s="32" t="s">
        <v>3834</v>
      </c>
      <c r="F43" s="33" t="s">
        <v>42</v>
      </c>
      <c r="G43" s="23" t="s">
        <v>327</v>
      </c>
      <c r="H43" s="24" t="s">
        <v>20</v>
      </c>
      <c r="J43" s="284" t="str">
        <f t="shared" ref="J43:J44" si="7">CONCATENATE(C43," │  ISSN:  ",D43," *")</f>
        <v>American Journal of Human Genetics │  ISSN:  0002-9297 *</v>
      </c>
      <c r="L43" s="243" t="s">
        <v>5119</v>
      </c>
    </row>
    <row r="44" spans="1:12" ht="26.25" customHeight="1">
      <c r="A44" s="17">
        <f t="shared" si="0"/>
        <v>41</v>
      </c>
      <c r="B44" s="18" t="s">
        <v>105</v>
      </c>
      <c r="C44" s="31" t="s">
        <v>331</v>
      </c>
      <c r="D44" s="20" t="s">
        <v>333</v>
      </c>
      <c r="E44" s="21" t="s">
        <v>334</v>
      </c>
      <c r="F44" s="33" t="s">
        <v>42</v>
      </c>
      <c r="G44" s="23" t="s">
        <v>335</v>
      </c>
      <c r="H44" s="34" t="s">
        <v>20</v>
      </c>
      <c r="J44" s="284" t="str">
        <f t="shared" si="7"/>
        <v>American Journal of Mathematics │  ISSN:  0002-9327 *</v>
      </c>
      <c r="L44" s="243" t="s">
        <v>5120</v>
      </c>
    </row>
    <row r="45" spans="1:12" ht="26.25" hidden="1" customHeight="1">
      <c r="A45" s="17">
        <f t="shared" si="0"/>
        <v>42</v>
      </c>
      <c r="B45" s="18" t="s">
        <v>105</v>
      </c>
      <c r="C45" s="31" t="s">
        <v>339</v>
      </c>
      <c r="D45" s="20" t="s">
        <v>341</v>
      </c>
      <c r="E45" s="32" t="s">
        <v>342</v>
      </c>
      <c r="F45" s="33" t="s">
        <v>42</v>
      </c>
      <c r="G45" s="23" t="s">
        <v>343</v>
      </c>
      <c r="H45" s="24" t="s">
        <v>55</v>
      </c>
    </row>
    <row r="46" spans="1:12" ht="26.25" customHeight="1">
      <c r="A46" s="17">
        <f t="shared" si="0"/>
        <v>43</v>
      </c>
      <c r="B46" s="18" t="s">
        <v>289</v>
      </c>
      <c r="C46" s="19" t="s">
        <v>347</v>
      </c>
      <c r="D46" s="20" t="s">
        <v>349</v>
      </c>
      <c r="E46" s="32" t="s">
        <v>52</v>
      </c>
      <c r="F46" s="33" t="s">
        <v>350</v>
      </c>
      <c r="G46" s="23" t="s">
        <v>351</v>
      </c>
      <c r="H46" s="24" t="s">
        <v>20</v>
      </c>
      <c r="J46" s="284" t="str">
        <f>CONCATENATE(C46," │  ISSN:  ",D46," *")</f>
        <v>American Journal on Intellectual and Developmental Disabilities │  ISSN:  1944-7515 *</v>
      </c>
      <c r="L46" s="243" t="s">
        <v>5121</v>
      </c>
    </row>
    <row r="47" spans="1:12" ht="26.25" hidden="1" customHeight="1">
      <c r="A47" s="17">
        <f t="shared" si="0"/>
        <v>44</v>
      </c>
      <c r="B47" s="18" t="s">
        <v>289</v>
      </c>
      <c r="C47" s="31" t="s">
        <v>355</v>
      </c>
      <c r="D47" s="20" t="s">
        <v>357</v>
      </c>
      <c r="E47" s="32" t="s">
        <v>358</v>
      </c>
      <c r="F47" s="33" t="s">
        <v>53</v>
      </c>
      <c r="G47" s="23" t="s">
        <v>359</v>
      </c>
      <c r="H47" s="24" t="s">
        <v>55</v>
      </c>
    </row>
    <row r="48" spans="1:12" ht="26.25" hidden="1" customHeight="1">
      <c r="A48" s="17">
        <f t="shared" si="0"/>
        <v>45</v>
      </c>
      <c r="B48" s="18" t="s">
        <v>27</v>
      </c>
      <c r="C48" s="31" t="s">
        <v>363</v>
      </c>
      <c r="D48" s="20" t="s">
        <v>365</v>
      </c>
      <c r="E48" s="32" t="s">
        <v>170</v>
      </c>
      <c r="F48" s="22" t="s">
        <v>31</v>
      </c>
      <c r="G48" s="23" t="s">
        <v>366</v>
      </c>
      <c r="H48" s="24" t="s">
        <v>55</v>
      </c>
    </row>
    <row r="49" spans="1:12" ht="26.25" hidden="1" customHeight="1">
      <c r="A49" s="17">
        <f t="shared" si="0"/>
        <v>46</v>
      </c>
      <c r="B49" s="18" t="s">
        <v>132</v>
      </c>
      <c r="C49" s="31" t="s">
        <v>369</v>
      </c>
      <c r="D49" s="20" t="s">
        <v>371</v>
      </c>
      <c r="E49" s="32">
        <v>1999</v>
      </c>
      <c r="F49" s="22" t="s">
        <v>53</v>
      </c>
      <c r="G49" s="23" t="s">
        <v>372</v>
      </c>
      <c r="H49" s="24" t="s">
        <v>55</v>
      </c>
    </row>
    <row r="50" spans="1:12" ht="26.25" hidden="1" customHeight="1">
      <c r="A50" s="17">
        <f t="shared" si="0"/>
        <v>47</v>
      </c>
      <c r="B50" s="18" t="s">
        <v>175</v>
      </c>
      <c r="C50" s="31" t="s">
        <v>373</v>
      </c>
      <c r="D50" s="20" t="s">
        <v>375</v>
      </c>
      <c r="E50" s="32" t="s">
        <v>376</v>
      </c>
      <c r="F50" s="33" t="s">
        <v>42</v>
      </c>
      <c r="G50" s="23" t="s">
        <v>377</v>
      </c>
      <c r="H50" s="24" t="s">
        <v>55</v>
      </c>
    </row>
    <row r="51" spans="1:12" ht="26.25" customHeight="1">
      <c r="A51" s="17">
        <f t="shared" si="0"/>
        <v>48</v>
      </c>
      <c r="B51" s="18" t="s">
        <v>105</v>
      </c>
      <c r="C51" s="31" t="s">
        <v>380</v>
      </c>
      <c r="D51" s="20" t="s">
        <v>382</v>
      </c>
      <c r="E51" s="21" t="s">
        <v>5060</v>
      </c>
      <c r="F51" s="33" t="s">
        <v>42</v>
      </c>
      <c r="G51" s="23" t="s">
        <v>384</v>
      </c>
      <c r="H51" s="34" t="s">
        <v>20</v>
      </c>
      <c r="J51" s="284" t="str">
        <f>CONCATENATE(C51," │  ISSN:  ",D51," *")</f>
        <v>Annals of Mathematics │  ISSN:  0003-486X *</v>
      </c>
      <c r="L51" s="243" t="s">
        <v>5122</v>
      </c>
    </row>
    <row r="52" spans="1:12" ht="26.25" hidden="1" customHeight="1">
      <c r="A52" s="17">
        <f t="shared" si="0"/>
        <v>49</v>
      </c>
      <c r="B52" s="18" t="s">
        <v>105</v>
      </c>
      <c r="C52" s="31" t="s">
        <v>387</v>
      </c>
      <c r="D52" s="20" t="s">
        <v>388</v>
      </c>
      <c r="E52" s="32" t="s">
        <v>389</v>
      </c>
      <c r="F52" s="33" t="s">
        <v>42</v>
      </c>
      <c r="G52" s="23" t="s">
        <v>390</v>
      </c>
      <c r="H52" s="24" t="s">
        <v>55</v>
      </c>
    </row>
    <row r="53" spans="1:12" ht="26.25" hidden="1" customHeight="1">
      <c r="A53" s="17">
        <f t="shared" si="0"/>
        <v>50</v>
      </c>
      <c r="B53" s="18" t="s">
        <v>105</v>
      </c>
      <c r="C53" s="31" t="s">
        <v>393</v>
      </c>
      <c r="D53" s="20" t="s">
        <v>395</v>
      </c>
      <c r="E53" s="32" t="s">
        <v>396</v>
      </c>
      <c r="F53" s="33" t="s">
        <v>31</v>
      </c>
      <c r="G53" s="23" t="s">
        <v>397</v>
      </c>
      <c r="H53" s="24" t="s">
        <v>55</v>
      </c>
    </row>
    <row r="54" spans="1:12" ht="26.25" hidden="1" customHeight="1">
      <c r="A54" s="17">
        <f t="shared" si="0"/>
        <v>51</v>
      </c>
      <c r="B54" s="18" t="s">
        <v>105</v>
      </c>
      <c r="C54" s="31" t="s">
        <v>402</v>
      </c>
      <c r="D54" s="20" t="s">
        <v>403</v>
      </c>
      <c r="E54" s="32" t="s">
        <v>404</v>
      </c>
      <c r="F54" s="33" t="s">
        <v>42</v>
      </c>
      <c r="G54" s="23" t="s">
        <v>405</v>
      </c>
      <c r="H54" s="24" t="s">
        <v>55</v>
      </c>
    </row>
    <row r="55" spans="1:12" ht="26.25" hidden="1" customHeight="1">
      <c r="A55" s="17">
        <f t="shared" si="0"/>
        <v>52</v>
      </c>
      <c r="B55" s="18" t="s">
        <v>132</v>
      </c>
      <c r="C55" s="31" t="s">
        <v>409</v>
      </c>
      <c r="D55" s="20" t="s">
        <v>410</v>
      </c>
      <c r="E55" s="32" t="s">
        <v>142</v>
      </c>
      <c r="F55" s="22" t="s">
        <v>42</v>
      </c>
      <c r="G55" s="23" t="s">
        <v>411</v>
      </c>
      <c r="H55" s="24" t="s">
        <v>55</v>
      </c>
    </row>
    <row r="56" spans="1:12" ht="26.25" hidden="1" customHeight="1">
      <c r="A56" s="17">
        <f t="shared" si="0"/>
        <v>53</v>
      </c>
      <c r="B56" s="18" t="s">
        <v>37</v>
      </c>
      <c r="C56" s="31" t="s">
        <v>414</v>
      </c>
      <c r="D56" s="20" t="s">
        <v>415</v>
      </c>
      <c r="E56" s="32" t="s">
        <v>416</v>
      </c>
      <c r="F56" s="22" t="s">
        <v>31</v>
      </c>
      <c r="G56" s="23" t="s">
        <v>417</v>
      </c>
      <c r="H56" s="24" t="s">
        <v>55</v>
      </c>
    </row>
    <row r="57" spans="1:12" ht="26.25" customHeight="1">
      <c r="A57" s="17">
        <f t="shared" si="0"/>
        <v>54</v>
      </c>
      <c r="B57" s="18" t="s">
        <v>175</v>
      </c>
      <c r="C57" s="31" t="s">
        <v>420</v>
      </c>
      <c r="D57" s="20" t="s">
        <v>421</v>
      </c>
      <c r="E57" s="21" t="s">
        <v>5079</v>
      </c>
      <c r="F57" s="33" t="s">
        <v>42</v>
      </c>
      <c r="G57" s="23" t="s">
        <v>423</v>
      </c>
      <c r="H57" s="34" t="s">
        <v>20</v>
      </c>
      <c r="J57" s="284" t="str">
        <f>CONCATENATE(C57," │  ISSN:  ",D57," *")</f>
        <v>Annual Review of Microbiology │  ISSN:  0066-4227 *</v>
      </c>
      <c r="L57" s="243" t="s">
        <v>5123</v>
      </c>
    </row>
    <row r="58" spans="1:12" ht="26.25" hidden="1" customHeight="1">
      <c r="A58" s="17">
        <f t="shared" si="0"/>
        <v>55</v>
      </c>
      <c r="B58" s="18" t="s">
        <v>146</v>
      </c>
      <c r="C58" s="31" t="s">
        <v>426</v>
      </c>
      <c r="D58" s="20"/>
      <c r="E58" s="32" t="s">
        <v>428</v>
      </c>
      <c r="F58" s="33" t="s">
        <v>53</v>
      </c>
      <c r="G58" s="23" t="s">
        <v>429</v>
      </c>
      <c r="H58" s="24" t="s">
        <v>55</v>
      </c>
    </row>
    <row r="59" spans="1:12" ht="26.25" hidden="1" customHeight="1">
      <c r="A59" s="17">
        <f t="shared" si="0"/>
        <v>56</v>
      </c>
      <c r="B59" s="18" t="s">
        <v>27</v>
      </c>
      <c r="C59" s="31" t="s">
        <v>433</v>
      </c>
      <c r="D59" s="20" t="s">
        <v>434</v>
      </c>
      <c r="E59" s="32" t="s">
        <v>222</v>
      </c>
      <c r="F59" s="22" t="s">
        <v>42</v>
      </c>
      <c r="G59" s="23" t="s">
        <v>435</v>
      </c>
      <c r="H59" s="24" t="s">
        <v>55</v>
      </c>
    </row>
    <row r="60" spans="1:12" ht="26.25" customHeight="1">
      <c r="A60" s="17">
        <f t="shared" si="0"/>
        <v>57</v>
      </c>
      <c r="B60" s="18" t="s">
        <v>132</v>
      </c>
      <c r="C60" s="19" t="s">
        <v>439</v>
      </c>
      <c r="D60" s="20" t="s">
        <v>441</v>
      </c>
      <c r="E60" s="44" t="s">
        <v>5124</v>
      </c>
      <c r="F60" s="22" t="s">
        <v>53</v>
      </c>
      <c r="G60" s="41" t="s">
        <v>443</v>
      </c>
      <c r="H60" s="24" t="s">
        <v>20</v>
      </c>
      <c r="J60" s="284" t="str">
        <f>CONCATENATE(C60," │  ISSN:  ",D60," *")</f>
        <v>Applied Mechanics and Materials │  ISSN:  1660-9336 *</v>
      </c>
      <c r="L60" s="243" t="s">
        <v>5125</v>
      </c>
    </row>
    <row r="61" spans="1:12" ht="26.25" hidden="1" customHeight="1">
      <c r="A61" s="17">
        <f t="shared" si="0"/>
        <v>58</v>
      </c>
      <c r="B61" s="18" t="s">
        <v>132</v>
      </c>
      <c r="C61" s="31" t="s">
        <v>446</v>
      </c>
      <c r="D61" s="20" t="s">
        <v>448</v>
      </c>
      <c r="E61" s="32" t="s">
        <v>449</v>
      </c>
      <c r="F61" s="22" t="s">
        <v>42</v>
      </c>
      <c r="G61" s="23" t="s">
        <v>450</v>
      </c>
      <c r="H61" s="24" t="s">
        <v>55</v>
      </c>
    </row>
    <row r="62" spans="1:12" ht="26.25" hidden="1" customHeight="1">
      <c r="A62" s="17">
        <f t="shared" si="0"/>
        <v>59</v>
      </c>
      <c r="B62" s="18" t="s">
        <v>175</v>
      </c>
      <c r="C62" s="31" t="s">
        <v>453</v>
      </c>
      <c r="D62" s="20" t="s">
        <v>454</v>
      </c>
      <c r="E62" s="32" t="s">
        <v>455</v>
      </c>
      <c r="F62" s="33" t="s">
        <v>42</v>
      </c>
      <c r="G62" s="23" t="s">
        <v>456</v>
      </c>
      <c r="H62" s="24" t="s">
        <v>55</v>
      </c>
    </row>
    <row r="63" spans="1:12" ht="26.25" customHeight="1">
      <c r="A63" s="17">
        <f t="shared" si="0"/>
        <v>60</v>
      </c>
      <c r="B63" s="18" t="s">
        <v>105</v>
      </c>
      <c r="C63" s="31" t="s">
        <v>459</v>
      </c>
      <c r="D63" s="20" t="s">
        <v>461</v>
      </c>
      <c r="E63" s="21" t="s">
        <v>5097</v>
      </c>
      <c r="F63" s="33" t="s">
        <v>42</v>
      </c>
      <c r="G63" s="23" t="s">
        <v>463</v>
      </c>
      <c r="H63" s="34" t="s">
        <v>20</v>
      </c>
      <c r="J63" s="284" t="str">
        <f>CONCATENATE(C63," │  ISSN:  ",D63," *")</f>
        <v>Applied Physics Express │  ISSN:  1882-0778 *</v>
      </c>
      <c r="L63" s="243" t="s">
        <v>5126</v>
      </c>
    </row>
    <row r="64" spans="1:12" ht="26.25" hidden="1" customHeight="1">
      <c r="A64" s="17">
        <f t="shared" si="0"/>
        <v>61</v>
      </c>
      <c r="B64" s="18" t="s">
        <v>105</v>
      </c>
      <c r="C64" s="31" t="s">
        <v>467</v>
      </c>
      <c r="D64" s="20" t="s">
        <v>469</v>
      </c>
      <c r="E64" s="32" t="s">
        <v>170</v>
      </c>
      <c r="F64" s="33" t="s">
        <v>42</v>
      </c>
      <c r="G64" s="23" t="s">
        <v>470</v>
      </c>
      <c r="H64" s="24" t="s">
        <v>55</v>
      </c>
    </row>
    <row r="65" spans="1:12" ht="26.25" customHeight="1">
      <c r="A65" s="17">
        <f t="shared" si="0"/>
        <v>62</v>
      </c>
      <c r="B65" s="18" t="s">
        <v>105</v>
      </c>
      <c r="C65" s="31" t="s">
        <v>474</v>
      </c>
      <c r="D65" s="20" t="s">
        <v>475</v>
      </c>
      <c r="E65" s="32" t="s">
        <v>52</v>
      </c>
      <c r="F65" s="33" t="s">
        <v>42</v>
      </c>
      <c r="G65" s="23" t="s">
        <v>476</v>
      </c>
      <c r="H65" s="24" t="s">
        <v>20</v>
      </c>
      <c r="J65" s="284" t="str">
        <f t="shared" ref="J65:J67" si="8">CONCATENATE(C65," │  ISSN:  ",D65," *")</f>
        <v>Applied Spectroscopy Reviews │  ISSN:  0570-4928 *</v>
      </c>
      <c r="L65" s="243" t="s">
        <v>5127</v>
      </c>
    </row>
    <row r="66" spans="1:12" ht="26.25" customHeight="1">
      <c r="A66" s="17">
        <f t="shared" si="0"/>
        <v>63</v>
      </c>
      <c r="B66" s="18" t="s">
        <v>13</v>
      </c>
      <c r="C66" s="19" t="s">
        <v>4950</v>
      </c>
      <c r="D66" s="20" t="s">
        <v>481</v>
      </c>
      <c r="E66" s="32" t="s">
        <v>4951</v>
      </c>
      <c r="F66" s="22" t="s">
        <v>18</v>
      </c>
      <c r="G66" s="23" t="s">
        <v>483</v>
      </c>
      <c r="H66" s="24" t="s">
        <v>20</v>
      </c>
      <c r="J66" s="284" t="str">
        <f t="shared" si="8"/>
        <v>Architect │  ISSN:  1935-7001 *</v>
      </c>
      <c r="L66" s="243" t="s">
        <v>5128</v>
      </c>
    </row>
    <row r="67" spans="1:12" ht="26.25" customHeight="1">
      <c r="A67" s="17">
        <f t="shared" si="0"/>
        <v>64</v>
      </c>
      <c r="B67" s="18" t="s">
        <v>13</v>
      </c>
      <c r="C67" s="19" t="s">
        <v>487</v>
      </c>
      <c r="D67" s="20" t="s">
        <v>489</v>
      </c>
      <c r="E67" s="32" t="s">
        <v>4952</v>
      </c>
      <c r="F67" s="22" t="s">
        <v>63</v>
      </c>
      <c r="G67" s="23" t="s">
        <v>491</v>
      </c>
      <c r="H67" s="24" t="s">
        <v>20</v>
      </c>
      <c r="J67" s="284" t="str">
        <f t="shared" si="8"/>
        <v>Architectural Digest │  ISSN:  0003-8520 *</v>
      </c>
      <c r="L67" s="243" t="s">
        <v>5129</v>
      </c>
    </row>
    <row r="68" spans="1:12" ht="26.25" hidden="1" customHeight="1">
      <c r="A68" s="17">
        <f t="shared" si="0"/>
        <v>65</v>
      </c>
      <c r="B68" s="18" t="s">
        <v>13</v>
      </c>
      <c r="C68" s="31" t="s">
        <v>494</v>
      </c>
      <c r="D68" s="20" t="s">
        <v>495</v>
      </c>
      <c r="E68" s="32" t="s">
        <v>496</v>
      </c>
      <c r="F68" s="22" t="s">
        <v>53</v>
      </c>
      <c r="G68" s="23" t="s">
        <v>497</v>
      </c>
      <c r="H68" s="24" t="s">
        <v>55</v>
      </c>
    </row>
    <row r="69" spans="1:12" ht="26.25" customHeight="1">
      <c r="A69" s="17">
        <f t="shared" si="0"/>
        <v>66</v>
      </c>
      <c r="B69" s="18" t="s">
        <v>13</v>
      </c>
      <c r="C69" s="19" t="s">
        <v>502</v>
      </c>
      <c r="D69" s="20" t="s">
        <v>504</v>
      </c>
      <c r="E69" s="32" t="s">
        <v>4953</v>
      </c>
      <c r="F69" s="22" t="s">
        <v>18</v>
      </c>
      <c r="G69" s="23" t="s">
        <v>506</v>
      </c>
      <c r="H69" s="24" t="s">
        <v>20</v>
      </c>
      <c r="J69" s="284" t="str">
        <f t="shared" ref="J69:J70" si="9">CONCATENATE(C69," │  ISSN:  ",D69," *")</f>
        <v>Architectural Record │  ISSN:  0003-858X *</v>
      </c>
      <c r="L69" s="243" t="s">
        <v>5130</v>
      </c>
    </row>
    <row r="70" spans="1:12" ht="26.25" customHeight="1">
      <c r="A70" s="17">
        <f t="shared" si="0"/>
        <v>67</v>
      </c>
      <c r="B70" s="18" t="s">
        <v>13</v>
      </c>
      <c r="C70" s="19" t="s">
        <v>510</v>
      </c>
      <c r="D70" s="20" t="s">
        <v>511</v>
      </c>
      <c r="E70" s="32" t="s">
        <v>52</v>
      </c>
      <c r="F70" s="22" t="s">
        <v>18</v>
      </c>
      <c r="G70" s="23" t="s">
        <v>512</v>
      </c>
      <c r="H70" s="24" t="s">
        <v>20</v>
      </c>
      <c r="J70" s="284" t="str">
        <f t="shared" si="9"/>
        <v>Architectural science Review │  ISSN:  0003-8628 *</v>
      </c>
      <c r="L70" s="243" t="s">
        <v>5131</v>
      </c>
    </row>
    <row r="71" spans="1:12" ht="26.25" hidden="1" customHeight="1">
      <c r="A71" s="17">
        <f t="shared" si="0"/>
        <v>68</v>
      </c>
      <c r="B71" s="18" t="s">
        <v>105</v>
      </c>
      <c r="C71" s="31" t="s">
        <v>516</v>
      </c>
      <c r="D71" s="20" t="s">
        <v>518</v>
      </c>
      <c r="E71" s="32" t="s">
        <v>519</v>
      </c>
      <c r="F71" s="33" t="s">
        <v>42</v>
      </c>
      <c r="G71" s="23" t="s">
        <v>520</v>
      </c>
      <c r="H71" s="24" t="s">
        <v>55</v>
      </c>
    </row>
    <row r="72" spans="1:12" ht="26.25" hidden="1" customHeight="1">
      <c r="A72" s="17">
        <f t="shared" si="0"/>
        <v>69</v>
      </c>
      <c r="B72" s="18" t="s">
        <v>132</v>
      </c>
      <c r="C72" s="31" t="s">
        <v>524</v>
      </c>
      <c r="D72" s="20" t="s">
        <v>526</v>
      </c>
      <c r="E72" s="32" t="s">
        <v>170</v>
      </c>
      <c r="F72" s="22" t="s">
        <v>42</v>
      </c>
      <c r="G72" s="23" t="s">
        <v>527</v>
      </c>
      <c r="H72" s="24" t="s">
        <v>55</v>
      </c>
    </row>
    <row r="73" spans="1:12" ht="26.25" hidden="1" customHeight="1">
      <c r="A73" s="17">
        <f t="shared" si="0"/>
        <v>70</v>
      </c>
      <c r="B73" s="18" t="s">
        <v>13</v>
      </c>
      <c r="C73" s="33" t="s">
        <v>532</v>
      </c>
      <c r="D73" s="43" t="s">
        <v>534</v>
      </c>
      <c r="E73" s="44">
        <v>2019</v>
      </c>
      <c r="F73" s="22" t="s">
        <v>53</v>
      </c>
      <c r="G73" s="59" t="s">
        <v>535</v>
      </c>
      <c r="H73" s="24" t="s">
        <v>55</v>
      </c>
    </row>
    <row r="74" spans="1:12" ht="26.25" hidden="1" customHeight="1">
      <c r="A74" s="17">
        <f t="shared" si="0"/>
        <v>71</v>
      </c>
      <c r="B74" s="18" t="s">
        <v>175</v>
      </c>
      <c r="C74" s="31" t="s">
        <v>539</v>
      </c>
      <c r="D74" s="20" t="s">
        <v>541</v>
      </c>
      <c r="E74" s="32" t="s">
        <v>542</v>
      </c>
      <c r="F74" s="33" t="s">
        <v>42</v>
      </c>
      <c r="G74" s="23" t="s">
        <v>543</v>
      </c>
      <c r="H74" s="24" t="s">
        <v>55</v>
      </c>
    </row>
    <row r="75" spans="1:12" ht="26.25" hidden="1" customHeight="1">
      <c r="A75" s="17">
        <f t="shared" si="0"/>
        <v>72</v>
      </c>
      <c r="B75" s="18" t="s">
        <v>81</v>
      </c>
      <c r="C75" s="31" t="s">
        <v>547</v>
      </c>
      <c r="D75" s="20" t="s">
        <v>548</v>
      </c>
      <c r="E75" s="32" t="s">
        <v>222</v>
      </c>
      <c r="F75" s="33" t="s">
        <v>42</v>
      </c>
      <c r="G75" s="23" t="s">
        <v>549</v>
      </c>
      <c r="H75" s="24" t="s">
        <v>55</v>
      </c>
    </row>
    <row r="76" spans="1:12" ht="26.25" hidden="1" customHeight="1">
      <c r="A76" s="17">
        <f t="shared" si="0"/>
        <v>73</v>
      </c>
      <c r="B76" s="18" t="s">
        <v>248</v>
      </c>
      <c r="C76" s="31" t="s">
        <v>552</v>
      </c>
      <c r="D76" s="20" t="s">
        <v>554</v>
      </c>
      <c r="E76" s="32" t="s">
        <v>555</v>
      </c>
      <c r="F76" s="33" t="s">
        <v>53</v>
      </c>
      <c r="G76" s="23" t="s">
        <v>556</v>
      </c>
      <c r="H76" s="24" t="s">
        <v>55</v>
      </c>
    </row>
    <row r="77" spans="1:12" ht="26.25" hidden="1" customHeight="1">
      <c r="A77" s="17">
        <f t="shared" si="0"/>
        <v>74</v>
      </c>
      <c r="B77" s="18" t="s">
        <v>13</v>
      </c>
      <c r="C77" s="31" t="s">
        <v>561</v>
      </c>
      <c r="D77" s="20" t="s">
        <v>563</v>
      </c>
      <c r="E77" s="32" t="s">
        <v>564</v>
      </c>
      <c r="F77" s="22" t="s">
        <v>42</v>
      </c>
      <c r="G77" s="23" t="s">
        <v>565</v>
      </c>
      <c r="H77" s="24" t="s">
        <v>55</v>
      </c>
    </row>
    <row r="78" spans="1:12" ht="26.25" hidden="1" customHeight="1">
      <c r="A78" s="17">
        <f t="shared" si="0"/>
        <v>75</v>
      </c>
      <c r="B78" s="18" t="s">
        <v>132</v>
      </c>
      <c r="C78" s="31" t="s">
        <v>569</v>
      </c>
      <c r="D78" s="20" t="s">
        <v>570</v>
      </c>
      <c r="E78" s="32">
        <v>2010</v>
      </c>
      <c r="F78" s="22" t="s">
        <v>42</v>
      </c>
      <c r="G78" s="23" t="s">
        <v>571</v>
      </c>
      <c r="H78" s="24" t="s">
        <v>55</v>
      </c>
    </row>
    <row r="79" spans="1:12" ht="26.25" hidden="1" customHeight="1">
      <c r="A79" s="17">
        <f t="shared" si="0"/>
        <v>76</v>
      </c>
      <c r="B79" s="18" t="s">
        <v>105</v>
      </c>
      <c r="C79" s="31" t="s">
        <v>574</v>
      </c>
      <c r="D79" s="20" t="s">
        <v>576</v>
      </c>
      <c r="E79" s="32" t="s">
        <v>519</v>
      </c>
      <c r="F79" s="33" t="s">
        <v>42</v>
      </c>
      <c r="G79" s="23" t="s">
        <v>577</v>
      </c>
      <c r="H79" s="24" t="s">
        <v>55</v>
      </c>
    </row>
    <row r="80" spans="1:12" ht="26.25" hidden="1" customHeight="1">
      <c r="A80" s="17">
        <f t="shared" si="0"/>
        <v>77</v>
      </c>
      <c r="B80" s="18" t="s">
        <v>27</v>
      </c>
      <c r="C80" s="31" t="s">
        <v>581</v>
      </c>
      <c r="D80" s="20" t="s">
        <v>583</v>
      </c>
      <c r="E80" s="32" t="s">
        <v>416</v>
      </c>
      <c r="F80" s="22" t="s">
        <v>42</v>
      </c>
      <c r="G80" s="23" t="s">
        <v>584</v>
      </c>
      <c r="H80" s="24" t="s">
        <v>55</v>
      </c>
    </row>
    <row r="81" spans="1:12" ht="26.25" hidden="1" customHeight="1">
      <c r="A81" s="17">
        <f t="shared" si="0"/>
        <v>78</v>
      </c>
      <c r="B81" s="18" t="s">
        <v>27</v>
      </c>
      <c r="C81" s="31" t="s">
        <v>587</v>
      </c>
      <c r="D81" s="20" t="s">
        <v>589</v>
      </c>
      <c r="E81" s="32" t="s">
        <v>416</v>
      </c>
      <c r="F81" s="22" t="s">
        <v>31</v>
      </c>
      <c r="G81" s="23" t="s">
        <v>590</v>
      </c>
      <c r="H81" s="24" t="s">
        <v>55</v>
      </c>
    </row>
    <row r="82" spans="1:12" ht="26.25" hidden="1" customHeight="1">
      <c r="A82" s="17">
        <f t="shared" si="0"/>
        <v>79</v>
      </c>
      <c r="B82" s="18" t="s">
        <v>105</v>
      </c>
      <c r="C82" s="31" t="s">
        <v>593</v>
      </c>
      <c r="D82" s="20" t="s">
        <v>595</v>
      </c>
      <c r="E82" s="32" t="s">
        <v>596</v>
      </c>
      <c r="F82" s="33" t="s">
        <v>31</v>
      </c>
      <c r="G82" s="23" t="s">
        <v>597</v>
      </c>
      <c r="H82" s="24" t="s">
        <v>55</v>
      </c>
    </row>
    <row r="83" spans="1:12" ht="26.25" hidden="1" customHeight="1">
      <c r="A83" s="17">
        <f t="shared" si="0"/>
        <v>80</v>
      </c>
      <c r="B83" s="18" t="s">
        <v>132</v>
      </c>
      <c r="C83" s="31" t="s">
        <v>600</v>
      </c>
      <c r="D83" s="20" t="s">
        <v>602</v>
      </c>
      <c r="E83" s="32" t="s">
        <v>603</v>
      </c>
      <c r="F83" s="22" t="s">
        <v>53</v>
      </c>
      <c r="G83" s="23" t="s">
        <v>604</v>
      </c>
      <c r="H83" s="24" t="s">
        <v>55</v>
      </c>
    </row>
    <row r="84" spans="1:12" ht="26.25" hidden="1" customHeight="1">
      <c r="A84" s="17">
        <f t="shared" si="0"/>
        <v>81</v>
      </c>
      <c r="B84" s="18" t="s">
        <v>132</v>
      </c>
      <c r="C84" s="31" t="s">
        <v>513</v>
      </c>
      <c r="D84" s="20" t="s">
        <v>515</v>
      </c>
      <c r="E84" s="32" t="s">
        <v>496</v>
      </c>
      <c r="F84" s="22" t="s">
        <v>53</v>
      </c>
      <c r="G84" s="23" t="s">
        <v>608</v>
      </c>
      <c r="H84" s="24" t="s">
        <v>55</v>
      </c>
    </row>
    <row r="85" spans="1:12" ht="26.25" hidden="1" customHeight="1">
      <c r="A85" s="17">
        <f t="shared" si="0"/>
        <v>82</v>
      </c>
      <c r="B85" s="18" t="s">
        <v>132</v>
      </c>
      <c r="C85" s="31" t="s">
        <v>611</v>
      </c>
      <c r="D85" s="20" t="s">
        <v>613</v>
      </c>
      <c r="E85" s="32" t="s">
        <v>614</v>
      </c>
      <c r="F85" s="22" t="s">
        <v>53</v>
      </c>
      <c r="G85" s="23" t="s">
        <v>615</v>
      </c>
      <c r="H85" s="24" t="s">
        <v>55</v>
      </c>
    </row>
    <row r="86" spans="1:12" ht="26.25" hidden="1" customHeight="1">
      <c r="A86" s="17">
        <f t="shared" si="0"/>
        <v>83</v>
      </c>
      <c r="B86" s="18" t="s">
        <v>132</v>
      </c>
      <c r="C86" s="31" t="s">
        <v>617</v>
      </c>
      <c r="D86" s="20" t="s">
        <v>619</v>
      </c>
      <c r="E86" s="32" t="s">
        <v>170</v>
      </c>
      <c r="F86" s="22" t="s">
        <v>53</v>
      </c>
      <c r="G86" s="23" t="s">
        <v>620</v>
      </c>
      <c r="H86" s="24" t="s">
        <v>55</v>
      </c>
    </row>
    <row r="87" spans="1:12" ht="26.25" hidden="1" customHeight="1">
      <c r="A87" s="17">
        <f t="shared" si="0"/>
        <v>84</v>
      </c>
      <c r="B87" s="18" t="s">
        <v>132</v>
      </c>
      <c r="C87" s="31" t="s">
        <v>624</v>
      </c>
      <c r="D87" s="20" t="s">
        <v>626</v>
      </c>
      <c r="E87" s="32" t="s">
        <v>222</v>
      </c>
      <c r="F87" s="22" t="s">
        <v>53</v>
      </c>
      <c r="G87" s="23" t="s">
        <v>627</v>
      </c>
      <c r="H87" s="24" t="s">
        <v>55</v>
      </c>
    </row>
    <row r="88" spans="1:12" ht="26.25" hidden="1" customHeight="1">
      <c r="A88" s="17">
        <f t="shared" si="0"/>
        <v>85</v>
      </c>
      <c r="B88" s="18" t="s">
        <v>132</v>
      </c>
      <c r="C88" s="31" t="s">
        <v>631</v>
      </c>
      <c r="D88" s="20" t="s">
        <v>633</v>
      </c>
      <c r="E88" s="32" t="s">
        <v>170</v>
      </c>
      <c r="F88" s="22" t="s">
        <v>53</v>
      </c>
      <c r="G88" s="23" t="s">
        <v>634</v>
      </c>
      <c r="H88" s="24" t="s">
        <v>55</v>
      </c>
    </row>
    <row r="89" spans="1:12" ht="26.25" hidden="1" customHeight="1">
      <c r="A89" s="17">
        <f t="shared" si="0"/>
        <v>86</v>
      </c>
      <c r="B89" s="18" t="s">
        <v>13</v>
      </c>
      <c r="C89" s="31" t="s">
        <v>637</v>
      </c>
      <c r="D89" s="20" t="s">
        <v>639</v>
      </c>
      <c r="E89" s="32">
        <v>2019</v>
      </c>
      <c r="F89" s="22" t="s">
        <v>53</v>
      </c>
      <c r="G89" s="23" t="s">
        <v>640</v>
      </c>
      <c r="H89" s="24" t="s">
        <v>55</v>
      </c>
    </row>
    <row r="90" spans="1:12" ht="26.25" hidden="1" customHeight="1">
      <c r="A90" s="17">
        <f t="shared" si="0"/>
        <v>87</v>
      </c>
      <c r="B90" s="18" t="s">
        <v>642</v>
      </c>
      <c r="C90" s="31" t="s">
        <v>643</v>
      </c>
      <c r="D90" s="20" t="s">
        <v>644</v>
      </c>
      <c r="E90" s="32" t="s">
        <v>603</v>
      </c>
      <c r="F90" s="33" t="s">
        <v>53</v>
      </c>
      <c r="G90" s="23" t="s">
        <v>645</v>
      </c>
      <c r="H90" s="24" t="s">
        <v>55</v>
      </c>
    </row>
    <row r="91" spans="1:12" ht="26.25" hidden="1" customHeight="1">
      <c r="A91" s="17">
        <f t="shared" si="0"/>
        <v>88</v>
      </c>
      <c r="B91" s="18" t="s">
        <v>13</v>
      </c>
      <c r="C91" s="31" t="s">
        <v>649</v>
      </c>
      <c r="D91" s="20" t="s">
        <v>651</v>
      </c>
      <c r="E91" s="32" t="s">
        <v>170</v>
      </c>
      <c r="F91" s="22" t="s">
        <v>63</v>
      </c>
      <c r="G91" s="23" t="s">
        <v>652</v>
      </c>
      <c r="H91" s="24" t="s">
        <v>55</v>
      </c>
    </row>
    <row r="92" spans="1:12" ht="26.25" hidden="1" customHeight="1">
      <c r="A92" s="17">
        <f t="shared" si="0"/>
        <v>89</v>
      </c>
      <c r="B92" s="18" t="s">
        <v>27</v>
      </c>
      <c r="C92" s="31" t="s">
        <v>656</v>
      </c>
      <c r="D92" s="20" t="s">
        <v>658</v>
      </c>
      <c r="E92" s="32" t="s">
        <v>659</v>
      </c>
      <c r="F92" s="22" t="s">
        <v>42</v>
      </c>
      <c r="G92" s="23" t="s">
        <v>660</v>
      </c>
      <c r="H92" s="24" t="s">
        <v>55</v>
      </c>
    </row>
    <row r="93" spans="1:12" ht="26.25" hidden="1" customHeight="1">
      <c r="A93" s="17">
        <f t="shared" si="0"/>
        <v>90</v>
      </c>
      <c r="B93" s="18" t="s">
        <v>27</v>
      </c>
      <c r="C93" s="31" t="s">
        <v>664</v>
      </c>
      <c r="D93" s="20" t="s">
        <v>666</v>
      </c>
      <c r="E93" s="32" t="s">
        <v>667</v>
      </c>
      <c r="F93" s="22" t="s">
        <v>42</v>
      </c>
      <c r="G93" s="23" t="s">
        <v>668</v>
      </c>
      <c r="H93" s="24" t="s">
        <v>55</v>
      </c>
    </row>
    <row r="94" spans="1:12" ht="26.25" customHeight="1">
      <c r="A94" s="17">
        <f t="shared" si="0"/>
        <v>91</v>
      </c>
      <c r="B94" s="18" t="s">
        <v>27</v>
      </c>
      <c r="C94" s="31" t="s">
        <v>672</v>
      </c>
      <c r="D94" s="20" t="s">
        <v>674</v>
      </c>
      <c r="E94" s="21" t="s">
        <v>5088</v>
      </c>
      <c r="F94" s="22" t="s">
        <v>42</v>
      </c>
      <c r="G94" s="23" t="s">
        <v>676</v>
      </c>
      <c r="H94" s="34" t="s">
        <v>20</v>
      </c>
      <c r="J94" s="284" t="str">
        <f>CONCATENATE(C94," │  ISSN:  ",D94," *")</f>
        <v>Biological &amp; Pharmaceutical Bulletin │  ISSN:  0918-6158 *</v>
      </c>
      <c r="L94" s="243" t="s">
        <v>5132</v>
      </c>
    </row>
    <row r="95" spans="1:12" ht="26.25" hidden="1" customHeight="1">
      <c r="A95" s="17">
        <f t="shared" si="0"/>
        <v>92</v>
      </c>
      <c r="B95" s="18" t="s">
        <v>175</v>
      </c>
      <c r="C95" s="31" t="s">
        <v>679</v>
      </c>
      <c r="D95" s="20" t="s">
        <v>680</v>
      </c>
      <c r="E95" s="32" t="s">
        <v>681</v>
      </c>
      <c r="F95" s="33" t="s">
        <v>42</v>
      </c>
      <c r="G95" s="23" t="s">
        <v>682</v>
      </c>
      <c r="H95" s="24" t="s">
        <v>55</v>
      </c>
    </row>
    <row r="96" spans="1:12" ht="26.25" hidden="1" customHeight="1">
      <c r="A96" s="17">
        <f t="shared" si="0"/>
        <v>93</v>
      </c>
      <c r="B96" s="18" t="s">
        <v>175</v>
      </c>
      <c r="C96" s="31" t="s">
        <v>685</v>
      </c>
      <c r="D96" s="20" t="s">
        <v>686</v>
      </c>
      <c r="E96" s="32" t="s">
        <v>687</v>
      </c>
      <c r="F96" s="33" t="s">
        <v>63</v>
      </c>
      <c r="G96" s="23" t="s">
        <v>688</v>
      </c>
      <c r="H96" s="24" t="s">
        <v>55</v>
      </c>
    </row>
    <row r="97" spans="1:12" ht="26.25" hidden="1" customHeight="1">
      <c r="A97" s="17">
        <f t="shared" si="0"/>
        <v>94</v>
      </c>
      <c r="B97" s="18" t="s">
        <v>175</v>
      </c>
      <c r="C97" s="31" t="s">
        <v>691</v>
      </c>
      <c r="D97" s="20" t="s">
        <v>66</v>
      </c>
      <c r="E97" s="32" t="s">
        <v>693</v>
      </c>
      <c r="F97" s="33" t="s">
        <v>42</v>
      </c>
      <c r="G97" s="23" t="s">
        <v>694</v>
      </c>
      <c r="H97" s="24" t="s">
        <v>55</v>
      </c>
    </row>
    <row r="98" spans="1:12" ht="26.25" hidden="1" customHeight="1">
      <c r="A98" s="17">
        <f t="shared" si="0"/>
        <v>95</v>
      </c>
      <c r="B98" s="18" t="s">
        <v>175</v>
      </c>
      <c r="C98" s="31" t="s">
        <v>697</v>
      </c>
      <c r="D98" s="20" t="s">
        <v>699</v>
      </c>
      <c r="E98" s="32" t="s">
        <v>700</v>
      </c>
      <c r="F98" s="33" t="s">
        <v>42</v>
      </c>
      <c r="G98" s="23" t="s">
        <v>701</v>
      </c>
      <c r="H98" s="24" t="s">
        <v>55</v>
      </c>
    </row>
    <row r="99" spans="1:12" ht="26.25" hidden="1" customHeight="1">
      <c r="A99" s="17">
        <f t="shared" si="0"/>
        <v>96</v>
      </c>
      <c r="B99" s="18" t="s">
        <v>175</v>
      </c>
      <c r="C99" s="31" t="s">
        <v>702</v>
      </c>
      <c r="D99" s="20" t="s">
        <v>703</v>
      </c>
      <c r="E99" s="32" t="s">
        <v>704</v>
      </c>
      <c r="F99" s="33" t="s">
        <v>42</v>
      </c>
      <c r="G99" s="23" t="s">
        <v>705</v>
      </c>
      <c r="H99" s="24" t="s">
        <v>55</v>
      </c>
    </row>
    <row r="100" spans="1:12" ht="26.25" hidden="1" customHeight="1">
      <c r="A100" s="17">
        <f t="shared" si="0"/>
        <v>97</v>
      </c>
      <c r="B100" s="18" t="s">
        <v>175</v>
      </c>
      <c r="C100" s="31" t="s">
        <v>706</v>
      </c>
      <c r="D100" s="20" t="s">
        <v>707</v>
      </c>
      <c r="E100" s="32" t="s">
        <v>708</v>
      </c>
      <c r="F100" s="33" t="s">
        <v>42</v>
      </c>
      <c r="G100" s="23" t="s">
        <v>709</v>
      </c>
      <c r="H100" s="24" t="s">
        <v>55</v>
      </c>
    </row>
    <row r="101" spans="1:12" ht="26.25" hidden="1" customHeight="1">
      <c r="A101" s="17">
        <f t="shared" si="0"/>
        <v>98</v>
      </c>
      <c r="B101" s="18" t="s">
        <v>175</v>
      </c>
      <c r="C101" s="31" t="s">
        <v>710</v>
      </c>
      <c r="D101" s="20" t="s">
        <v>711</v>
      </c>
      <c r="E101" s="32" t="s">
        <v>712</v>
      </c>
      <c r="F101" s="33" t="s">
        <v>42</v>
      </c>
      <c r="G101" s="23" t="s">
        <v>713</v>
      </c>
      <c r="H101" s="24" t="s">
        <v>55</v>
      </c>
    </row>
    <row r="102" spans="1:12" ht="26.25" hidden="1" customHeight="1">
      <c r="A102" s="17">
        <f t="shared" si="0"/>
        <v>99</v>
      </c>
      <c r="B102" s="18" t="s">
        <v>175</v>
      </c>
      <c r="C102" s="31" t="s">
        <v>714</v>
      </c>
      <c r="D102" s="20" t="s">
        <v>715</v>
      </c>
      <c r="E102" s="32" t="s">
        <v>716</v>
      </c>
      <c r="F102" s="33" t="s">
        <v>42</v>
      </c>
      <c r="G102" s="23" t="s">
        <v>717</v>
      </c>
      <c r="H102" s="24" t="s">
        <v>55</v>
      </c>
    </row>
    <row r="103" spans="1:12" ht="26.25" hidden="1" customHeight="1">
      <c r="A103" s="17">
        <f t="shared" si="0"/>
        <v>100</v>
      </c>
      <c r="B103" s="18" t="s">
        <v>175</v>
      </c>
      <c r="C103" s="31" t="s">
        <v>721</v>
      </c>
      <c r="D103" s="20" t="s">
        <v>723</v>
      </c>
      <c r="E103" s="32" t="s">
        <v>252</v>
      </c>
      <c r="F103" s="33" t="s">
        <v>42</v>
      </c>
      <c r="G103" s="23" t="s">
        <v>724</v>
      </c>
      <c r="H103" s="24" t="s">
        <v>55</v>
      </c>
    </row>
    <row r="104" spans="1:12" ht="26.25" customHeight="1">
      <c r="A104" s="17">
        <f t="shared" si="0"/>
        <v>101</v>
      </c>
      <c r="B104" s="18" t="s">
        <v>175</v>
      </c>
      <c r="C104" s="31" t="s">
        <v>728</v>
      </c>
      <c r="D104" s="20" t="s">
        <v>730</v>
      </c>
      <c r="E104" s="21" t="s">
        <v>52</v>
      </c>
      <c r="F104" s="33" t="s">
        <v>42</v>
      </c>
      <c r="G104" s="23" t="s">
        <v>731</v>
      </c>
      <c r="H104" s="34" t="s">
        <v>20</v>
      </c>
      <c r="J104" s="284" t="str">
        <f>CONCATENATE(C104," │  ISSN:  ",D104," *")</f>
        <v>Botany │  ISSN:  1916-2790 *</v>
      </c>
      <c r="L104" s="243" t="s">
        <v>5133</v>
      </c>
    </row>
    <row r="105" spans="1:12" ht="26.25" hidden="1" customHeight="1">
      <c r="A105" s="17">
        <f t="shared" si="0"/>
        <v>102</v>
      </c>
      <c r="B105" s="18" t="s">
        <v>175</v>
      </c>
      <c r="C105" s="31" t="s">
        <v>735</v>
      </c>
      <c r="D105" s="20" t="s">
        <v>737</v>
      </c>
      <c r="E105" s="32" t="s">
        <v>738</v>
      </c>
      <c r="F105" s="33" t="s">
        <v>42</v>
      </c>
      <c r="G105" s="23" t="s">
        <v>739</v>
      </c>
      <c r="H105" s="24" t="s">
        <v>55</v>
      </c>
    </row>
    <row r="106" spans="1:12" ht="26.25" customHeight="1">
      <c r="A106" s="17">
        <f t="shared" si="0"/>
        <v>103</v>
      </c>
      <c r="B106" s="18" t="s">
        <v>233</v>
      </c>
      <c r="C106" s="31" t="s">
        <v>742</v>
      </c>
      <c r="D106" s="20" t="s">
        <v>744</v>
      </c>
      <c r="E106" s="32" t="s">
        <v>52</v>
      </c>
      <c r="F106" s="22" t="s">
        <v>53</v>
      </c>
      <c r="G106" s="23" t="s">
        <v>745</v>
      </c>
      <c r="H106" s="24" t="s">
        <v>20</v>
      </c>
      <c r="J106" s="284" t="str">
        <f>CONCATENATE(C106," │  ISSN:  ",D106," *")</f>
        <v>British Interplanetary Society Journal │  ISSN:  0007-084X *</v>
      </c>
      <c r="L106" s="243" t="s">
        <v>5134</v>
      </c>
    </row>
    <row r="107" spans="1:12" ht="26.25" hidden="1" customHeight="1">
      <c r="A107" s="17">
        <f t="shared" si="0"/>
        <v>104</v>
      </c>
      <c r="B107" s="18" t="s">
        <v>13</v>
      </c>
      <c r="C107" s="31" t="s">
        <v>747</v>
      </c>
      <c r="D107" s="20" t="s">
        <v>749</v>
      </c>
      <c r="E107" s="32" t="s">
        <v>209</v>
      </c>
      <c r="F107" s="22" t="s">
        <v>42</v>
      </c>
      <c r="G107" s="23" t="s">
        <v>750</v>
      </c>
      <c r="H107" s="24" t="s">
        <v>55</v>
      </c>
    </row>
    <row r="108" spans="1:12" ht="26.25" customHeight="1">
      <c r="A108" s="17">
        <f t="shared" si="0"/>
        <v>105</v>
      </c>
      <c r="B108" s="18" t="s">
        <v>13</v>
      </c>
      <c r="C108" s="19" t="s">
        <v>752</v>
      </c>
      <c r="D108" s="20" t="s">
        <v>754</v>
      </c>
      <c r="E108" s="32" t="s">
        <v>52</v>
      </c>
      <c r="F108" s="22" t="s">
        <v>63</v>
      </c>
      <c r="G108" s="23" t="s">
        <v>755</v>
      </c>
      <c r="H108" s="24" t="s">
        <v>20</v>
      </c>
      <c r="J108" s="284" t="str">
        <f>CONCATENATE(C108," │  ISSN:  ",D108," *")</f>
        <v>Built Environment │  ISSN:  0263-7960 *</v>
      </c>
      <c r="L108" s="243" t="s">
        <v>5135</v>
      </c>
    </row>
    <row r="109" spans="1:12" ht="26.25" hidden="1" customHeight="1">
      <c r="A109" s="17">
        <f t="shared" si="0"/>
        <v>106</v>
      </c>
      <c r="B109" s="18" t="s">
        <v>105</v>
      </c>
      <c r="C109" s="31" t="s">
        <v>760</v>
      </c>
      <c r="D109" s="20" t="s">
        <v>762</v>
      </c>
      <c r="E109" s="32" t="s">
        <v>763</v>
      </c>
      <c r="F109" s="33" t="s">
        <v>42</v>
      </c>
      <c r="G109" s="23" t="s">
        <v>764</v>
      </c>
      <c r="H109" s="24" t="s">
        <v>55</v>
      </c>
    </row>
    <row r="110" spans="1:12" ht="26.25" hidden="1" customHeight="1">
      <c r="A110" s="17">
        <f t="shared" si="0"/>
        <v>107</v>
      </c>
      <c r="B110" s="18" t="s">
        <v>27</v>
      </c>
      <c r="C110" s="31" t="s">
        <v>550</v>
      </c>
      <c r="D110" s="20" t="s">
        <v>551</v>
      </c>
      <c r="E110" s="32" t="s">
        <v>769</v>
      </c>
      <c r="F110" s="22" t="s">
        <v>42</v>
      </c>
      <c r="G110" s="23" t="s">
        <v>770</v>
      </c>
      <c r="H110" s="24" t="s">
        <v>55</v>
      </c>
    </row>
    <row r="111" spans="1:12" ht="26.25" hidden="1" customHeight="1">
      <c r="A111" s="17">
        <f t="shared" si="0"/>
        <v>108</v>
      </c>
      <c r="B111" s="18" t="s">
        <v>105</v>
      </c>
      <c r="C111" s="31" t="s">
        <v>774</v>
      </c>
      <c r="D111" s="20" t="s">
        <v>775</v>
      </c>
      <c r="E111" s="32" t="s">
        <v>776</v>
      </c>
      <c r="F111" s="33" t="s">
        <v>42</v>
      </c>
      <c r="G111" s="23" t="s">
        <v>777</v>
      </c>
      <c r="H111" s="24" t="s">
        <v>55</v>
      </c>
    </row>
    <row r="112" spans="1:12" ht="26.25" customHeight="1">
      <c r="A112" s="17">
        <f t="shared" si="0"/>
        <v>109</v>
      </c>
      <c r="B112" s="18" t="s">
        <v>27</v>
      </c>
      <c r="C112" s="19" t="s">
        <v>781</v>
      </c>
      <c r="D112" s="20" t="s">
        <v>783</v>
      </c>
      <c r="E112" s="32" t="s">
        <v>5039</v>
      </c>
      <c r="F112" s="22" t="s">
        <v>42</v>
      </c>
      <c r="G112" s="23" t="s">
        <v>785</v>
      </c>
      <c r="H112" s="24" t="s">
        <v>20</v>
      </c>
      <c r="J112" s="284" t="str">
        <f>CONCATENATE(C112," │  ISSN:  ",D112," *")</f>
        <v>Bunseki Kagaku │  ISSN:  0525-1931 *</v>
      </c>
      <c r="L112" s="243" t="s">
        <v>5136</v>
      </c>
    </row>
    <row r="113" spans="1:12" ht="26.25" hidden="1" customHeight="1">
      <c r="A113" s="17">
        <f t="shared" si="0"/>
        <v>110</v>
      </c>
      <c r="B113" s="18" t="s">
        <v>105</v>
      </c>
      <c r="C113" s="31" t="s">
        <v>789</v>
      </c>
      <c r="D113" s="20" t="s">
        <v>791</v>
      </c>
      <c r="E113" s="32" t="s">
        <v>170</v>
      </c>
      <c r="F113" s="33" t="s">
        <v>53</v>
      </c>
      <c r="G113" s="23" t="s">
        <v>792</v>
      </c>
      <c r="H113" s="24" t="s">
        <v>55</v>
      </c>
    </row>
    <row r="114" spans="1:12" ht="26.25" hidden="1" customHeight="1">
      <c r="A114" s="17">
        <f t="shared" si="0"/>
        <v>111</v>
      </c>
      <c r="B114" s="18" t="s">
        <v>105</v>
      </c>
      <c r="C114" s="31" t="s">
        <v>796</v>
      </c>
      <c r="D114" s="20" t="s">
        <v>798</v>
      </c>
      <c r="E114" s="32" t="s">
        <v>252</v>
      </c>
      <c r="F114" s="33" t="s">
        <v>42</v>
      </c>
      <c r="G114" s="23" t="s">
        <v>799</v>
      </c>
      <c r="H114" s="24" t="s">
        <v>55</v>
      </c>
    </row>
    <row r="115" spans="1:12" ht="26.25" hidden="1" customHeight="1">
      <c r="A115" s="17">
        <f t="shared" si="0"/>
        <v>112</v>
      </c>
      <c r="B115" s="64" t="s">
        <v>27</v>
      </c>
      <c r="C115" s="31" t="s">
        <v>804</v>
      </c>
      <c r="D115" s="20" t="s">
        <v>805</v>
      </c>
      <c r="E115" s="32" t="s">
        <v>681</v>
      </c>
      <c r="F115" s="22" t="s">
        <v>42</v>
      </c>
      <c r="G115" s="23" t="s">
        <v>806</v>
      </c>
      <c r="H115" s="24" t="s">
        <v>55</v>
      </c>
    </row>
    <row r="116" spans="1:12" ht="26.25" customHeight="1">
      <c r="A116" s="17">
        <f t="shared" si="0"/>
        <v>113</v>
      </c>
      <c r="B116" s="18" t="s">
        <v>13</v>
      </c>
      <c r="C116" s="66" t="s">
        <v>810</v>
      </c>
      <c r="D116" s="20" t="s">
        <v>811</v>
      </c>
      <c r="E116" s="32" t="s">
        <v>52</v>
      </c>
      <c r="F116" s="22" t="s">
        <v>42</v>
      </c>
      <c r="G116" s="23" t="s">
        <v>812</v>
      </c>
      <c r="H116" s="24" t="s">
        <v>20</v>
      </c>
      <c r="J116" s="284" t="str">
        <f t="shared" ref="J116:J117" si="10">CONCATENATE(C116," │  ISSN:  ",D116," *")</f>
        <v>Canadian Journal of Civil Engineering │  ISSN:  0315-1468 *</v>
      </c>
      <c r="L116" s="243" t="s">
        <v>5137</v>
      </c>
    </row>
    <row r="117" spans="1:12" ht="26.25" customHeight="1">
      <c r="A117" s="17">
        <f t="shared" si="0"/>
        <v>114</v>
      </c>
      <c r="B117" s="67" t="s">
        <v>105</v>
      </c>
      <c r="C117" s="31" t="s">
        <v>815</v>
      </c>
      <c r="D117" s="20" t="s">
        <v>816</v>
      </c>
      <c r="E117" s="21" t="s">
        <v>5061</v>
      </c>
      <c r="F117" s="33" t="s">
        <v>42</v>
      </c>
      <c r="G117" s="23" t="s">
        <v>818</v>
      </c>
      <c r="H117" s="34" t="s">
        <v>20</v>
      </c>
      <c r="J117" s="284" t="str">
        <f t="shared" si="10"/>
        <v>Canadian Journal of Mathematics │  ISSN:  0008-414X *</v>
      </c>
      <c r="L117" s="243" t="s">
        <v>5138</v>
      </c>
    </row>
    <row r="118" spans="1:12" ht="26.25" hidden="1" customHeight="1">
      <c r="A118" s="17">
        <f t="shared" si="0"/>
        <v>115</v>
      </c>
      <c r="B118" s="18" t="s">
        <v>175</v>
      </c>
      <c r="C118" s="31" t="s">
        <v>821</v>
      </c>
      <c r="D118" s="20" t="s">
        <v>822</v>
      </c>
      <c r="E118" s="32" t="s">
        <v>519</v>
      </c>
      <c r="F118" s="33" t="s">
        <v>42</v>
      </c>
      <c r="G118" s="23" t="s">
        <v>823</v>
      </c>
      <c r="H118" s="24" t="s">
        <v>55</v>
      </c>
    </row>
    <row r="119" spans="1:12" ht="26.25" customHeight="1">
      <c r="A119" s="17">
        <f t="shared" si="0"/>
        <v>116</v>
      </c>
      <c r="B119" s="18" t="s">
        <v>37</v>
      </c>
      <c r="C119" s="19" t="s">
        <v>827</v>
      </c>
      <c r="D119" s="20" t="s">
        <v>828</v>
      </c>
      <c r="E119" s="32" t="s">
        <v>3736</v>
      </c>
      <c r="F119" s="22" t="s">
        <v>42</v>
      </c>
      <c r="G119" s="23" t="s">
        <v>829</v>
      </c>
      <c r="H119" s="24" t="s">
        <v>20</v>
      </c>
      <c r="J119" s="284" t="str">
        <f>CONCATENATE(C119," │  ISSN:  ",D119," *")</f>
        <v>Canadian Metallurgical Quarterly │  ISSN:  0008-4433 *</v>
      </c>
      <c r="L119" s="243" t="s">
        <v>5139</v>
      </c>
    </row>
    <row r="120" spans="1:12" ht="26.25" hidden="1" customHeight="1">
      <c r="A120" s="17">
        <f t="shared" si="0"/>
        <v>117</v>
      </c>
      <c r="B120" s="18" t="s">
        <v>132</v>
      </c>
      <c r="C120" s="31" t="s">
        <v>646</v>
      </c>
      <c r="D120" s="20" t="s">
        <v>648</v>
      </c>
      <c r="E120" s="32" t="s">
        <v>496</v>
      </c>
      <c r="F120" s="22" t="s">
        <v>53</v>
      </c>
      <c r="G120" s="23" t="s">
        <v>830</v>
      </c>
      <c r="H120" s="24" t="s">
        <v>55</v>
      </c>
    </row>
    <row r="121" spans="1:12" ht="26.25" customHeight="1">
      <c r="A121" s="17">
        <f t="shared" si="0"/>
        <v>118</v>
      </c>
      <c r="B121" s="18" t="s">
        <v>132</v>
      </c>
      <c r="C121" s="31" t="s">
        <v>834</v>
      </c>
      <c r="D121" s="20" t="s">
        <v>836</v>
      </c>
      <c r="E121" s="32" t="s">
        <v>837</v>
      </c>
      <c r="F121" s="22" t="s">
        <v>53</v>
      </c>
      <c r="G121" s="23" t="s">
        <v>838</v>
      </c>
      <c r="H121" s="24" t="s">
        <v>20</v>
      </c>
      <c r="J121" s="284" t="str">
        <f t="shared" ref="J121:J122" si="11">CONCATENATE(C121," │  ISSN:  ",D121," *")</f>
        <v>Car Mechanics │  ISSN:  0008-6037 *</v>
      </c>
      <c r="L121" s="243" t="s">
        <v>5140</v>
      </c>
    </row>
    <row r="122" spans="1:12" ht="26.25" customHeight="1">
      <c r="A122" s="17">
        <f t="shared" si="0"/>
        <v>119</v>
      </c>
      <c r="B122" s="18" t="s">
        <v>27</v>
      </c>
      <c r="C122" s="19" t="s">
        <v>841</v>
      </c>
      <c r="D122" s="20" t="s">
        <v>842</v>
      </c>
      <c r="E122" s="32" t="s">
        <v>52</v>
      </c>
      <c r="F122" s="22" t="s">
        <v>42</v>
      </c>
      <c r="G122" s="23" t="s">
        <v>843</v>
      </c>
      <c r="H122" s="24" t="s">
        <v>20</v>
      </c>
      <c r="J122" s="284" t="str">
        <f t="shared" si="11"/>
        <v>Cellular Polymers │  ISSN:  0262-4893 *</v>
      </c>
      <c r="L122" s="243" t="s">
        <v>5141</v>
      </c>
    </row>
    <row r="123" spans="1:12" ht="26.25" hidden="1" customHeight="1">
      <c r="A123" s="17">
        <f t="shared" si="0"/>
        <v>120</v>
      </c>
      <c r="B123" s="18" t="s">
        <v>27</v>
      </c>
      <c r="C123" s="31" t="s">
        <v>846</v>
      </c>
      <c r="D123" s="20" t="s">
        <v>848</v>
      </c>
      <c r="E123" s="32" t="s">
        <v>170</v>
      </c>
      <c r="F123" s="22" t="s">
        <v>42</v>
      </c>
      <c r="G123" s="23" t="s">
        <v>849</v>
      </c>
      <c r="H123" s="24" t="s">
        <v>55</v>
      </c>
    </row>
    <row r="124" spans="1:12" ht="26.25" hidden="1" customHeight="1">
      <c r="A124" s="17">
        <f t="shared" si="0"/>
        <v>121</v>
      </c>
      <c r="B124" s="18" t="s">
        <v>37</v>
      </c>
      <c r="C124" s="31" t="s">
        <v>853</v>
      </c>
      <c r="D124" s="20" t="s">
        <v>855</v>
      </c>
      <c r="E124" s="32" t="s">
        <v>170</v>
      </c>
      <c r="F124" s="22" t="s">
        <v>53</v>
      </c>
      <c r="G124" s="23" t="s">
        <v>856</v>
      </c>
      <c r="H124" s="24" t="s">
        <v>55</v>
      </c>
    </row>
    <row r="125" spans="1:12" ht="26.25" customHeight="1">
      <c r="A125" s="17">
        <f t="shared" si="0"/>
        <v>122</v>
      </c>
      <c r="B125" s="18" t="s">
        <v>37</v>
      </c>
      <c r="C125" s="19" t="s">
        <v>860</v>
      </c>
      <c r="D125" s="20" t="s">
        <v>862</v>
      </c>
      <c r="E125" s="32" t="s">
        <v>1990</v>
      </c>
      <c r="F125" s="22" t="s">
        <v>53</v>
      </c>
      <c r="G125" s="23" t="s">
        <v>864</v>
      </c>
      <c r="H125" s="24" t="s">
        <v>20</v>
      </c>
      <c r="J125" s="284" t="str">
        <f>CONCATENATE(C125," │  ISSN:  ",D125," *")</f>
        <v>Ceramics Japan │  ISSN:  0009-031X *</v>
      </c>
      <c r="L125" s="243" t="s">
        <v>5142</v>
      </c>
    </row>
    <row r="126" spans="1:12" ht="26.25" hidden="1" customHeight="1">
      <c r="A126" s="17">
        <f t="shared" si="0"/>
        <v>123</v>
      </c>
      <c r="B126" s="18" t="s">
        <v>867</v>
      </c>
      <c r="C126" s="31" t="s">
        <v>868</v>
      </c>
      <c r="D126" s="20" t="s">
        <v>870</v>
      </c>
      <c r="E126" s="32">
        <v>1964</v>
      </c>
      <c r="F126" s="33" t="s">
        <v>42</v>
      </c>
      <c r="G126" s="23" t="s">
        <v>871</v>
      </c>
      <c r="H126" s="24" t="s">
        <v>55</v>
      </c>
    </row>
    <row r="127" spans="1:12" ht="26.25" customHeight="1">
      <c r="A127" s="17">
        <f t="shared" si="0"/>
        <v>124</v>
      </c>
      <c r="B127" s="18" t="s">
        <v>27</v>
      </c>
      <c r="C127" s="31" t="s">
        <v>874</v>
      </c>
      <c r="D127" s="20" t="s">
        <v>875</v>
      </c>
      <c r="E127" s="21" t="s">
        <v>5062</v>
      </c>
      <c r="F127" s="22" t="s">
        <v>42</v>
      </c>
      <c r="G127" s="23" t="s">
        <v>877</v>
      </c>
      <c r="H127" s="34" t="s">
        <v>20</v>
      </c>
      <c r="J127" s="284" t="str">
        <f t="shared" ref="J127:J128" si="12">CONCATENATE(C127," │  ISSN:  ",D127," *")</f>
        <v>Chemical &amp; Pharmaceutical Bulletin │  ISSN:  0009-2363 *</v>
      </c>
      <c r="L127" s="243" t="s">
        <v>5143</v>
      </c>
    </row>
    <row r="128" spans="1:12" ht="26.25" customHeight="1">
      <c r="A128" s="17">
        <f t="shared" si="0"/>
        <v>125</v>
      </c>
      <c r="B128" s="18" t="s">
        <v>27</v>
      </c>
      <c r="C128" s="19" t="s">
        <v>880</v>
      </c>
      <c r="D128" s="20" t="s">
        <v>881</v>
      </c>
      <c r="E128" s="32" t="s">
        <v>5041</v>
      </c>
      <c r="F128" s="22" t="s">
        <v>31</v>
      </c>
      <c r="G128" s="23" t="s">
        <v>883</v>
      </c>
      <c r="H128" s="24" t="s">
        <v>20</v>
      </c>
      <c r="J128" s="284" t="str">
        <f t="shared" si="12"/>
        <v>Chemical and Engineering News │  ISSN:  0009-2347 *</v>
      </c>
      <c r="L128" s="243" t="s">
        <v>5144</v>
      </c>
    </row>
    <row r="129" spans="1:12" ht="26.25" hidden="1" customHeight="1">
      <c r="A129" s="17">
        <f t="shared" si="0"/>
        <v>126</v>
      </c>
      <c r="B129" s="18" t="s">
        <v>27</v>
      </c>
      <c r="C129" s="31" t="s">
        <v>886</v>
      </c>
      <c r="D129" s="20" t="s">
        <v>887</v>
      </c>
      <c r="E129" s="32" t="s">
        <v>252</v>
      </c>
      <c r="F129" s="22" t="s">
        <v>42</v>
      </c>
      <c r="G129" s="23" t="s">
        <v>888</v>
      </c>
      <c r="H129" s="24" t="s">
        <v>55</v>
      </c>
    </row>
    <row r="130" spans="1:12" ht="26.25" customHeight="1">
      <c r="A130" s="17">
        <f t="shared" si="0"/>
        <v>127</v>
      </c>
      <c r="B130" s="18" t="s">
        <v>27</v>
      </c>
      <c r="C130" s="19" t="s">
        <v>890</v>
      </c>
      <c r="D130" s="20" t="s">
        <v>892</v>
      </c>
      <c r="E130" s="32" t="s">
        <v>5042</v>
      </c>
      <c r="F130" s="22" t="s">
        <v>31</v>
      </c>
      <c r="G130" s="23" t="s">
        <v>894</v>
      </c>
      <c r="H130" s="24" t="s">
        <v>20</v>
      </c>
      <c r="J130" s="284" t="str">
        <f t="shared" ref="J130:J133" si="13">CONCATENATE(C130," │  ISSN:  ",D130," *")</f>
        <v>Chemical Engineering Progress │  ISSN:  0360-7275 *</v>
      </c>
      <c r="L130" s="243" t="s">
        <v>5145</v>
      </c>
    </row>
    <row r="131" spans="1:12" ht="26.25" customHeight="1">
      <c r="A131" s="17">
        <f t="shared" si="0"/>
        <v>128</v>
      </c>
      <c r="B131" s="18" t="s">
        <v>27</v>
      </c>
      <c r="C131" s="19" t="s">
        <v>898</v>
      </c>
      <c r="D131" s="20" t="s">
        <v>899</v>
      </c>
      <c r="E131" s="32" t="s">
        <v>5043</v>
      </c>
      <c r="F131" s="22" t="s">
        <v>42</v>
      </c>
      <c r="G131" s="23" t="s">
        <v>901</v>
      </c>
      <c r="H131" s="24" t="s">
        <v>20</v>
      </c>
      <c r="J131" s="284" t="str">
        <f t="shared" si="13"/>
        <v>Chemical Engineering Research &amp; Design │  ISSN:  0263-8762 *</v>
      </c>
      <c r="L131" s="243" t="s">
        <v>5146</v>
      </c>
    </row>
    <row r="132" spans="1:12" ht="26.25" customHeight="1">
      <c r="A132" s="17">
        <f t="shared" si="0"/>
        <v>129</v>
      </c>
      <c r="B132" s="18" t="s">
        <v>27</v>
      </c>
      <c r="C132" s="19" t="s">
        <v>902</v>
      </c>
      <c r="D132" s="20" t="s">
        <v>904</v>
      </c>
      <c r="E132" s="32" t="s">
        <v>178</v>
      </c>
      <c r="F132" s="22" t="s">
        <v>53</v>
      </c>
      <c r="G132" s="23" t="s">
        <v>906</v>
      </c>
      <c r="H132" s="24" t="s">
        <v>20</v>
      </c>
      <c r="J132" s="284" t="str">
        <f t="shared" si="13"/>
        <v>Chemical Engineering World │  ISSN:  0009-2517 *</v>
      </c>
      <c r="L132" s="243" t="s">
        <v>5147</v>
      </c>
    </row>
    <row r="133" spans="1:12" ht="26.25" customHeight="1">
      <c r="A133" s="17">
        <f t="shared" si="0"/>
        <v>130</v>
      </c>
      <c r="B133" s="18" t="s">
        <v>27</v>
      </c>
      <c r="C133" s="19" t="s">
        <v>908</v>
      </c>
      <c r="D133" s="20" t="s">
        <v>910</v>
      </c>
      <c r="E133" s="32" t="s">
        <v>3736</v>
      </c>
      <c r="F133" s="22" t="s">
        <v>53</v>
      </c>
      <c r="G133" s="23" t="s">
        <v>911</v>
      </c>
      <c r="H133" s="24" t="s">
        <v>20</v>
      </c>
      <c r="J133" s="284" t="str">
        <f t="shared" si="13"/>
        <v>Chemical Enginnering │  ISSN:  0387-1037 *</v>
      </c>
      <c r="L133" s="243" t="s">
        <v>5148</v>
      </c>
    </row>
    <row r="134" spans="1:12" ht="26.25" hidden="1" customHeight="1">
      <c r="A134" s="17">
        <f t="shared" si="0"/>
        <v>131</v>
      </c>
      <c r="B134" s="18" t="s">
        <v>27</v>
      </c>
      <c r="C134" s="31" t="s">
        <v>912</v>
      </c>
      <c r="D134" s="20" t="s">
        <v>914</v>
      </c>
      <c r="E134" s="32" t="s">
        <v>915</v>
      </c>
      <c r="F134" s="22" t="s">
        <v>53</v>
      </c>
      <c r="G134" s="23" t="s">
        <v>916</v>
      </c>
      <c r="H134" s="24" t="s">
        <v>55</v>
      </c>
    </row>
    <row r="135" spans="1:12" ht="26.25" hidden="1" customHeight="1">
      <c r="A135" s="17">
        <f t="shared" si="0"/>
        <v>132</v>
      </c>
      <c r="B135" s="18" t="s">
        <v>27</v>
      </c>
      <c r="C135" s="31" t="s">
        <v>544</v>
      </c>
      <c r="D135" s="20" t="s">
        <v>546</v>
      </c>
      <c r="E135" s="32" t="s">
        <v>918</v>
      </c>
      <c r="F135" s="22" t="s">
        <v>42</v>
      </c>
      <c r="G135" s="23" t="s">
        <v>919</v>
      </c>
      <c r="H135" s="24" t="s">
        <v>55</v>
      </c>
    </row>
    <row r="136" spans="1:12" ht="26.25" hidden="1" customHeight="1">
      <c r="A136" s="17">
        <f t="shared" si="0"/>
        <v>133</v>
      </c>
      <c r="B136" s="18" t="s">
        <v>175</v>
      </c>
      <c r="C136" s="31" t="s">
        <v>921</v>
      </c>
      <c r="D136" s="20" t="s">
        <v>922</v>
      </c>
      <c r="E136" s="32" t="s">
        <v>738</v>
      </c>
      <c r="F136" s="33" t="s">
        <v>42</v>
      </c>
      <c r="G136" s="23" t="s">
        <v>923</v>
      </c>
      <c r="H136" s="24" t="s">
        <v>55</v>
      </c>
    </row>
    <row r="137" spans="1:12" ht="26.25" hidden="1" customHeight="1">
      <c r="A137" s="17">
        <f t="shared" si="0"/>
        <v>134</v>
      </c>
      <c r="B137" s="18" t="s">
        <v>132</v>
      </c>
      <c r="C137" s="31" t="s">
        <v>925</v>
      </c>
      <c r="D137" s="20" t="s">
        <v>926</v>
      </c>
      <c r="E137" s="32" t="s">
        <v>222</v>
      </c>
      <c r="F137" s="22" t="s">
        <v>42</v>
      </c>
      <c r="G137" s="23" t="s">
        <v>927</v>
      </c>
      <c r="H137" s="24" t="s">
        <v>55</v>
      </c>
    </row>
    <row r="138" spans="1:12" ht="26.25" customHeight="1">
      <c r="A138" s="17">
        <f t="shared" si="0"/>
        <v>135</v>
      </c>
      <c r="B138" s="18" t="s">
        <v>132</v>
      </c>
      <c r="C138" s="19" t="s">
        <v>931</v>
      </c>
      <c r="D138" s="20" t="s">
        <v>932</v>
      </c>
      <c r="E138" s="32" t="s">
        <v>4975</v>
      </c>
      <c r="F138" s="22" t="s">
        <v>42</v>
      </c>
      <c r="G138" s="23" t="s">
        <v>934</v>
      </c>
      <c r="H138" s="24" t="s">
        <v>20</v>
      </c>
      <c r="J138" s="284" t="str">
        <f>CONCATENATE(C138," │  ISSN:  ",D138," *")</f>
        <v>CIRP Annals │  ISSN:  0007-8506 *</v>
      </c>
      <c r="L138" s="243" t="s">
        <v>5149</v>
      </c>
    </row>
    <row r="139" spans="1:12" ht="26.25" hidden="1" customHeight="1">
      <c r="A139" s="17">
        <f t="shared" si="0"/>
        <v>136</v>
      </c>
      <c r="B139" s="18" t="s">
        <v>13</v>
      </c>
      <c r="C139" s="31" t="s">
        <v>938</v>
      </c>
      <c r="D139" s="20" t="s">
        <v>940</v>
      </c>
      <c r="E139" s="32" t="s">
        <v>941</v>
      </c>
      <c r="F139" s="22" t="s">
        <v>31</v>
      </c>
      <c r="G139" s="23" t="s">
        <v>942</v>
      </c>
      <c r="H139" s="24" t="s">
        <v>55</v>
      </c>
    </row>
    <row r="140" spans="1:12" ht="26.25" hidden="1" customHeight="1">
      <c r="A140" s="17">
        <f t="shared" si="0"/>
        <v>137</v>
      </c>
      <c r="B140" s="18" t="s">
        <v>13</v>
      </c>
      <c r="C140" s="31" t="s">
        <v>844</v>
      </c>
      <c r="D140" s="20" t="s">
        <v>845</v>
      </c>
      <c r="E140" s="32" t="s">
        <v>170</v>
      </c>
      <c r="F140" s="22" t="s">
        <v>42</v>
      </c>
      <c r="G140" s="23" t="s">
        <v>943</v>
      </c>
      <c r="H140" s="24" t="s">
        <v>55</v>
      </c>
    </row>
    <row r="141" spans="1:12" ht="26.25" hidden="1" customHeight="1">
      <c r="A141" s="17">
        <f t="shared" si="0"/>
        <v>138</v>
      </c>
      <c r="B141" s="18" t="s">
        <v>105</v>
      </c>
      <c r="C141" s="31" t="s">
        <v>946</v>
      </c>
      <c r="D141" s="20" t="s">
        <v>947</v>
      </c>
      <c r="E141" s="32" t="s">
        <v>948</v>
      </c>
      <c r="F141" s="33" t="s">
        <v>31</v>
      </c>
      <c r="G141" s="23" t="s">
        <v>949</v>
      </c>
      <c r="H141" s="24" t="s">
        <v>55</v>
      </c>
    </row>
    <row r="142" spans="1:12" ht="26.25" hidden="1" customHeight="1">
      <c r="A142" s="17">
        <f t="shared" si="0"/>
        <v>139</v>
      </c>
      <c r="B142" s="18" t="s">
        <v>105</v>
      </c>
      <c r="C142" s="31" t="s">
        <v>951</v>
      </c>
      <c r="D142" s="20" t="s">
        <v>952</v>
      </c>
      <c r="E142" s="32" t="s">
        <v>953</v>
      </c>
      <c r="F142" s="33" t="s">
        <v>42</v>
      </c>
      <c r="G142" s="23" t="s">
        <v>954</v>
      </c>
      <c r="H142" s="24" t="s">
        <v>55</v>
      </c>
    </row>
    <row r="143" spans="1:12" ht="26.25" customHeight="1">
      <c r="A143" s="17">
        <f t="shared" si="0"/>
        <v>140</v>
      </c>
      <c r="B143" s="18" t="s">
        <v>37</v>
      </c>
      <c r="C143" s="19" t="s">
        <v>956</v>
      </c>
      <c r="D143" s="20" t="s">
        <v>958</v>
      </c>
      <c r="E143" s="32" t="s">
        <v>5004</v>
      </c>
      <c r="F143" s="22" t="s">
        <v>350</v>
      </c>
      <c r="G143" s="23" t="s">
        <v>960</v>
      </c>
      <c r="H143" s="24" t="s">
        <v>20</v>
      </c>
      <c r="J143" s="284" t="str">
        <f>CONCATENATE(C143," │  ISSN:  ",D143," *")</f>
        <v>Clothing and Textiles Research Journal │  ISSN:  0887-302X *</v>
      </c>
      <c r="L143" s="243" t="s">
        <v>5150</v>
      </c>
    </row>
    <row r="144" spans="1:12" ht="26.25" hidden="1" customHeight="1">
      <c r="A144" s="17">
        <f t="shared" si="0"/>
        <v>141</v>
      </c>
      <c r="B144" s="18" t="s">
        <v>81</v>
      </c>
      <c r="C144" s="22" t="s">
        <v>961</v>
      </c>
      <c r="D144" s="20" t="s">
        <v>232</v>
      </c>
      <c r="E144" s="32" t="s">
        <v>962</v>
      </c>
      <c r="F144" s="33" t="s">
        <v>42</v>
      </c>
      <c r="G144" s="23" t="s">
        <v>963</v>
      </c>
      <c r="H144" s="24" t="s">
        <v>55</v>
      </c>
    </row>
    <row r="145" spans="1:12" ht="26.25" hidden="1" customHeight="1">
      <c r="A145" s="17">
        <f t="shared" si="0"/>
        <v>142</v>
      </c>
      <c r="B145" s="18" t="s">
        <v>248</v>
      </c>
      <c r="C145" s="31" t="s">
        <v>967</v>
      </c>
      <c r="D145" s="20" t="s">
        <v>968</v>
      </c>
      <c r="E145" s="32" t="s">
        <v>969</v>
      </c>
      <c r="F145" s="33" t="s">
        <v>42</v>
      </c>
      <c r="G145" s="23" t="s">
        <v>970</v>
      </c>
      <c r="H145" s="24" t="s">
        <v>55</v>
      </c>
    </row>
    <row r="146" spans="1:12" ht="26.25" hidden="1" customHeight="1">
      <c r="A146" s="17">
        <f t="shared" si="0"/>
        <v>143</v>
      </c>
      <c r="B146" s="18" t="s">
        <v>248</v>
      </c>
      <c r="C146" s="31" t="s">
        <v>336</v>
      </c>
      <c r="D146" s="20" t="s">
        <v>974</v>
      </c>
      <c r="E146" s="32" t="s">
        <v>163</v>
      </c>
      <c r="F146" s="33" t="s">
        <v>31</v>
      </c>
      <c r="G146" s="59" t="s">
        <v>975</v>
      </c>
      <c r="H146" s="24" t="s">
        <v>55</v>
      </c>
    </row>
    <row r="147" spans="1:12" ht="26.25" hidden="1" customHeight="1">
      <c r="A147" s="17">
        <f t="shared" si="0"/>
        <v>144</v>
      </c>
      <c r="B147" s="18" t="s">
        <v>27</v>
      </c>
      <c r="C147" s="31" t="s">
        <v>979</v>
      </c>
      <c r="D147" s="20" t="s">
        <v>980</v>
      </c>
      <c r="E147" s="32" t="s">
        <v>981</v>
      </c>
      <c r="F147" s="22" t="s">
        <v>42</v>
      </c>
      <c r="G147" s="23" t="s">
        <v>982</v>
      </c>
      <c r="H147" s="24" t="s">
        <v>55</v>
      </c>
    </row>
    <row r="148" spans="1:12" ht="26.25" hidden="1" customHeight="1">
      <c r="A148" s="17">
        <f t="shared" si="0"/>
        <v>145</v>
      </c>
      <c r="B148" s="18" t="s">
        <v>27</v>
      </c>
      <c r="C148" s="31" t="s">
        <v>986</v>
      </c>
      <c r="D148" s="20" t="s">
        <v>987</v>
      </c>
      <c r="E148" s="32">
        <v>2010</v>
      </c>
      <c r="F148" s="22" t="s">
        <v>42</v>
      </c>
      <c r="G148" s="23" t="s">
        <v>988</v>
      </c>
      <c r="H148" s="24" t="s">
        <v>55</v>
      </c>
    </row>
    <row r="149" spans="1:12" ht="26.25" hidden="1" customHeight="1">
      <c r="A149" s="17">
        <f t="shared" si="0"/>
        <v>146</v>
      </c>
      <c r="B149" s="18" t="s">
        <v>105</v>
      </c>
      <c r="C149" s="31" t="s">
        <v>992</v>
      </c>
      <c r="D149" s="20" t="s">
        <v>993</v>
      </c>
      <c r="E149" s="32" t="s">
        <v>519</v>
      </c>
      <c r="F149" s="33" t="s">
        <v>42</v>
      </c>
      <c r="G149" s="23" t="s">
        <v>994</v>
      </c>
      <c r="H149" s="24" t="s">
        <v>55</v>
      </c>
    </row>
    <row r="150" spans="1:12" ht="26.25" hidden="1" customHeight="1">
      <c r="A150" s="17">
        <f t="shared" si="0"/>
        <v>147</v>
      </c>
      <c r="B150" s="18" t="s">
        <v>105</v>
      </c>
      <c r="C150" s="31" t="s">
        <v>997</v>
      </c>
      <c r="D150" s="20" t="s">
        <v>998</v>
      </c>
      <c r="E150" s="32" t="s">
        <v>953</v>
      </c>
      <c r="F150" s="33" t="s">
        <v>42</v>
      </c>
      <c r="G150" s="23" t="s">
        <v>999</v>
      </c>
      <c r="H150" s="24" t="s">
        <v>55</v>
      </c>
    </row>
    <row r="151" spans="1:12" ht="26.25" customHeight="1">
      <c r="A151" s="17">
        <f t="shared" si="0"/>
        <v>148</v>
      </c>
      <c r="B151" s="18" t="s">
        <v>105</v>
      </c>
      <c r="C151" s="31" t="s">
        <v>1003</v>
      </c>
      <c r="D151" s="20" t="s">
        <v>1004</v>
      </c>
      <c r="E151" s="21" t="s">
        <v>5077</v>
      </c>
      <c r="F151" s="33" t="s">
        <v>42</v>
      </c>
      <c r="G151" s="23" t="s">
        <v>1006</v>
      </c>
      <c r="H151" s="34" t="s">
        <v>20</v>
      </c>
      <c r="J151" s="284" t="str">
        <f t="shared" ref="J151:J153" si="14">CONCATENATE(C151," │  ISSN:  ",D151," *")</f>
        <v>Communications in Statistics │  ISSN:  0361-0926 *</v>
      </c>
      <c r="L151" s="243" t="s">
        <v>5151</v>
      </c>
    </row>
    <row r="152" spans="1:12" ht="26.25" customHeight="1">
      <c r="A152" s="17">
        <f t="shared" si="0"/>
        <v>149</v>
      </c>
      <c r="B152" s="18" t="s">
        <v>105</v>
      </c>
      <c r="C152" s="31" t="s">
        <v>1009</v>
      </c>
      <c r="D152" s="20" t="s">
        <v>1010</v>
      </c>
      <c r="E152" s="21" t="s">
        <v>4957</v>
      </c>
      <c r="F152" s="33" t="s">
        <v>42</v>
      </c>
      <c r="G152" s="23" t="s">
        <v>1012</v>
      </c>
      <c r="H152" s="34" t="s">
        <v>20</v>
      </c>
      <c r="J152" s="284" t="str">
        <f t="shared" si="14"/>
        <v>Communications in Statistics: Simulation and Computation │  ISSN:  0361-0918 *</v>
      </c>
      <c r="L152" s="243" t="s">
        <v>5152</v>
      </c>
    </row>
    <row r="153" spans="1:12" ht="26.25" customHeight="1">
      <c r="A153" s="17">
        <f t="shared" si="0"/>
        <v>150</v>
      </c>
      <c r="B153" s="18" t="s">
        <v>81</v>
      </c>
      <c r="C153" s="31" t="s">
        <v>1016</v>
      </c>
      <c r="D153" s="20" t="s">
        <v>1017</v>
      </c>
      <c r="E153" s="32" t="s">
        <v>5057</v>
      </c>
      <c r="F153" s="33" t="s">
        <v>42</v>
      </c>
      <c r="G153" s="23" t="s">
        <v>1019</v>
      </c>
      <c r="H153" s="24" t="s">
        <v>20</v>
      </c>
      <c r="J153" s="284" t="str">
        <f t="shared" si="14"/>
        <v>Communications of the ACM │  ISSN:  0001-0782 *</v>
      </c>
      <c r="L153" s="243" t="s">
        <v>5153</v>
      </c>
    </row>
    <row r="154" spans="1:12" ht="26.25" hidden="1" customHeight="1">
      <c r="A154" s="17">
        <f t="shared" si="0"/>
        <v>151</v>
      </c>
      <c r="B154" s="18" t="s">
        <v>105</v>
      </c>
      <c r="C154" s="31" t="s">
        <v>1023</v>
      </c>
      <c r="D154" s="20" t="s">
        <v>1024</v>
      </c>
      <c r="E154" s="32" t="s">
        <v>1025</v>
      </c>
      <c r="F154" s="33" t="s">
        <v>42</v>
      </c>
      <c r="G154" s="23" t="s">
        <v>1026</v>
      </c>
      <c r="H154" s="24" t="s">
        <v>55</v>
      </c>
    </row>
    <row r="155" spans="1:12" ht="26.25" hidden="1" customHeight="1">
      <c r="A155" s="17">
        <f t="shared" si="0"/>
        <v>152</v>
      </c>
      <c r="B155" s="18" t="s">
        <v>81</v>
      </c>
      <c r="C155" s="31" t="s">
        <v>1030</v>
      </c>
      <c r="D155" s="20" t="s">
        <v>1032</v>
      </c>
      <c r="E155" s="32" t="s">
        <v>1033</v>
      </c>
      <c r="F155" s="33" t="s">
        <v>53</v>
      </c>
      <c r="G155" s="23" t="s">
        <v>1034</v>
      </c>
      <c r="H155" s="24" t="s">
        <v>55</v>
      </c>
    </row>
    <row r="156" spans="1:12" ht="26.25" hidden="1" customHeight="1">
      <c r="A156" s="17">
        <f t="shared" si="0"/>
        <v>153</v>
      </c>
      <c r="B156" s="18" t="s">
        <v>81</v>
      </c>
      <c r="C156" s="31" t="s">
        <v>1038</v>
      </c>
      <c r="D156" s="20" t="s">
        <v>852</v>
      </c>
      <c r="E156" s="32" t="s">
        <v>1039</v>
      </c>
      <c r="F156" s="33" t="s">
        <v>53</v>
      </c>
      <c r="G156" s="23" t="s">
        <v>1040</v>
      </c>
      <c r="H156" s="24" t="s">
        <v>55</v>
      </c>
    </row>
    <row r="157" spans="1:12" ht="26.25" hidden="1" customHeight="1">
      <c r="A157" s="17">
        <f t="shared" si="0"/>
        <v>154</v>
      </c>
      <c r="B157" s="18" t="s">
        <v>81</v>
      </c>
      <c r="C157" s="31" t="s">
        <v>1044</v>
      </c>
      <c r="D157" s="20" t="s">
        <v>225</v>
      </c>
      <c r="E157" s="32" t="s">
        <v>962</v>
      </c>
      <c r="F157" s="33" t="s">
        <v>42</v>
      </c>
      <c r="G157" s="23" t="s">
        <v>1046</v>
      </c>
      <c r="H157" s="24" t="s">
        <v>55</v>
      </c>
    </row>
    <row r="158" spans="1:12" ht="26.25" hidden="1" customHeight="1">
      <c r="A158" s="17">
        <f t="shared" si="0"/>
        <v>155</v>
      </c>
      <c r="B158" s="18" t="s">
        <v>81</v>
      </c>
      <c r="C158" s="31" t="s">
        <v>1049</v>
      </c>
      <c r="D158" s="20" t="s">
        <v>1051</v>
      </c>
      <c r="E158" s="32" t="s">
        <v>1052</v>
      </c>
      <c r="F158" s="33" t="s">
        <v>53</v>
      </c>
      <c r="G158" s="23" t="s">
        <v>1053</v>
      </c>
      <c r="H158" s="24" t="s">
        <v>55</v>
      </c>
    </row>
    <row r="159" spans="1:12" ht="26.25" customHeight="1">
      <c r="A159" s="17">
        <f t="shared" si="0"/>
        <v>156</v>
      </c>
      <c r="B159" s="18" t="s">
        <v>81</v>
      </c>
      <c r="C159" s="19" t="s">
        <v>1057</v>
      </c>
      <c r="D159" s="20" t="s">
        <v>1059</v>
      </c>
      <c r="E159" s="32" t="s">
        <v>52</v>
      </c>
      <c r="F159" s="33" t="s">
        <v>42</v>
      </c>
      <c r="G159" s="23" t="s">
        <v>1060</v>
      </c>
      <c r="H159" s="24" t="s">
        <v>20</v>
      </c>
      <c r="J159" s="284" t="str">
        <f>CONCATENATE(C159," │  ISSN:  ",D159," *")</f>
        <v>Computers and Concrete │  ISSN:  1598-8198 *</v>
      </c>
      <c r="L159" s="243" t="s">
        <v>5154</v>
      </c>
    </row>
    <row r="160" spans="1:12" ht="26.25" hidden="1" customHeight="1">
      <c r="A160" s="17">
        <f t="shared" si="0"/>
        <v>157</v>
      </c>
      <c r="B160" s="18" t="s">
        <v>81</v>
      </c>
      <c r="C160" s="31" t="s">
        <v>1063</v>
      </c>
      <c r="D160" s="20" t="s">
        <v>1064</v>
      </c>
      <c r="E160" s="32" t="s">
        <v>1065</v>
      </c>
      <c r="F160" s="33" t="s">
        <v>53</v>
      </c>
      <c r="G160" s="23" t="s">
        <v>1066</v>
      </c>
      <c r="H160" s="24" t="s">
        <v>55</v>
      </c>
    </row>
    <row r="161" spans="1:12" ht="26.25" hidden="1" customHeight="1">
      <c r="A161" s="17">
        <f t="shared" si="0"/>
        <v>158</v>
      </c>
      <c r="B161" s="18" t="s">
        <v>13</v>
      </c>
      <c r="C161" s="31" t="s">
        <v>971</v>
      </c>
      <c r="D161" s="20" t="s">
        <v>973</v>
      </c>
      <c r="E161" s="32" t="s">
        <v>170</v>
      </c>
      <c r="F161" s="22" t="s">
        <v>53</v>
      </c>
      <c r="G161" s="23" t="s">
        <v>1070</v>
      </c>
      <c r="H161" s="24" t="s">
        <v>55</v>
      </c>
    </row>
    <row r="162" spans="1:12" ht="26.25" customHeight="1">
      <c r="A162" s="17">
        <f t="shared" si="0"/>
        <v>159</v>
      </c>
      <c r="B162" s="18" t="s">
        <v>13</v>
      </c>
      <c r="C162" s="19" t="s">
        <v>1073</v>
      </c>
      <c r="D162" s="20" t="s">
        <v>1074</v>
      </c>
      <c r="E162" s="32" t="s">
        <v>3775</v>
      </c>
      <c r="F162" s="22" t="s">
        <v>53</v>
      </c>
      <c r="G162" s="23" t="s">
        <v>1076</v>
      </c>
      <c r="H162" s="24" t="s">
        <v>20</v>
      </c>
      <c r="J162" s="284" t="str">
        <f t="shared" ref="J162:J163" si="15">CONCATENATE(C162," │  ISSN:  ",D162," *")</f>
        <v>Concrete International │  ISSN:  0162-4075 *</v>
      </c>
      <c r="L162" s="243" t="s">
        <v>5155</v>
      </c>
    </row>
    <row r="163" spans="1:12" ht="26.25" customHeight="1">
      <c r="A163" s="17">
        <f t="shared" si="0"/>
        <v>160</v>
      </c>
      <c r="B163" s="18" t="s">
        <v>81</v>
      </c>
      <c r="C163" s="19" t="s">
        <v>1080</v>
      </c>
      <c r="D163" s="20" t="s">
        <v>1081</v>
      </c>
      <c r="E163" s="32" t="s">
        <v>178</v>
      </c>
      <c r="F163" s="33" t="s">
        <v>42</v>
      </c>
      <c r="G163" s="23" t="s">
        <v>1082</v>
      </c>
      <c r="H163" s="24" t="s">
        <v>20</v>
      </c>
      <c r="J163" s="284" t="str">
        <f t="shared" si="15"/>
        <v>Concurrent Engineering │  ISSN:  1063-293X *</v>
      </c>
      <c r="L163" s="243" t="s">
        <v>5156</v>
      </c>
    </row>
    <row r="164" spans="1:12" ht="26.25" hidden="1" customHeight="1">
      <c r="A164" s="17">
        <f t="shared" si="0"/>
        <v>161</v>
      </c>
      <c r="B164" s="18" t="s">
        <v>13</v>
      </c>
      <c r="C164" s="31" t="s">
        <v>360</v>
      </c>
      <c r="D164" s="20" t="s">
        <v>362</v>
      </c>
      <c r="E164" s="32" t="s">
        <v>163</v>
      </c>
      <c r="F164" s="22" t="s">
        <v>1086</v>
      </c>
      <c r="G164" s="23" t="s">
        <v>1087</v>
      </c>
      <c r="H164" s="24" t="s">
        <v>55</v>
      </c>
    </row>
    <row r="165" spans="1:12" ht="26.25" hidden="1" customHeight="1">
      <c r="A165" s="17">
        <f t="shared" si="0"/>
        <v>162</v>
      </c>
      <c r="B165" s="18" t="s">
        <v>13</v>
      </c>
      <c r="C165" s="31" t="s">
        <v>976</v>
      </c>
      <c r="D165" s="20" t="s">
        <v>978</v>
      </c>
      <c r="E165" s="32" t="s">
        <v>170</v>
      </c>
      <c r="F165" s="22" t="s">
        <v>53</v>
      </c>
      <c r="G165" s="23" t="s">
        <v>1091</v>
      </c>
      <c r="H165" s="24" t="s">
        <v>55</v>
      </c>
    </row>
    <row r="166" spans="1:12" ht="26.25" hidden="1" customHeight="1">
      <c r="A166" s="17">
        <f t="shared" si="0"/>
        <v>163</v>
      </c>
      <c r="B166" s="18" t="s">
        <v>13</v>
      </c>
      <c r="C166" s="31" t="s">
        <v>983</v>
      </c>
      <c r="D166" s="20" t="s">
        <v>985</v>
      </c>
      <c r="E166" s="32" t="s">
        <v>170</v>
      </c>
      <c r="F166" s="22" t="s">
        <v>53</v>
      </c>
      <c r="G166" s="23" t="s">
        <v>1095</v>
      </c>
      <c r="H166" s="24" t="s">
        <v>55</v>
      </c>
    </row>
    <row r="167" spans="1:12" ht="26.25" hidden="1" customHeight="1">
      <c r="A167" s="17">
        <f t="shared" si="0"/>
        <v>164</v>
      </c>
      <c r="B167" s="18" t="s">
        <v>105</v>
      </c>
      <c r="C167" s="31" t="s">
        <v>1099</v>
      </c>
      <c r="D167" s="20" t="s">
        <v>1100</v>
      </c>
      <c r="E167" s="32" t="s">
        <v>1101</v>
      </c>
      <c r="F167" s="33" t="s">
        <v>42</v>
      </c>
      <c r="G167" s="23" t="s">
        <v>1102</v>
      </c>
      <c r="H167" s="24" t="s">
        <v>55</v>
      </c>
    </row>
    <row r="168" spans="1:12" ht="26.25" customHeight="1">
      <c r="A168" s="17">
        <f t="shared" si="0"/>
        <v>165</v>
      </c>
      <c r="B168" s="18" t="s">
        <v>132</v>
      </c>
      <c r="C168" s="19" t="s">
        <v>1105</v>
      </c>
      <c r="D168" s="20" t="s">
        <v>1107</v>
      </c>
      <c r="E168" s="32" t="s">
        <v>4976</v>
      </c>
      <c r="F168" s="22" t="s">
        <v>42</v>
      </c>
      <c r="G168" s="23" t="s">
        <v>1109</v>
      </c>
      <c r="H168" s="24" t="s">
        <v>20</v>
      </c>
      <c r="J168" s="284" t="str">
        <f>CONCATENATE(C168," │  ISSN:  ",D168," *")</f>
        <v>Corrosion │  ISSN:  0010-9312 *</v>
      </c>
      <c r="L168" s="243" t="s">
        <v>5157</v>
      </c>
    </row>
    <row r="169" spans="1:12" ht="26.25" hidden="1" customHeight="1">
      <c r="A169" s="17">
        <f t="shared" si="0"/>
        <v>166</v>
      </c>
      <c r="B169" s="18" t="s">
        <v>48</v>
      </c>
      <c r="C169" s="31" t="s">
        <v>1113</v>
      </c>
      <c r="D169" s="20" t="s">
        <v>1115</v>
      </c>
      <c r="E169" s="32" t="s">
        <v>222</v>
      </c>
      <c r="F169" s="33" t="s">
        <v>53</v>
      </c>
      <c r="G169" s="23" t="s">
        <v>1116</v>
      </c>
      <c r="H169" s="24" t="s">
        <v>55</v>
      </c>
    </row>
    <row r="170" spans="1:12" ht="26.25" hidden="1" customHeight="1">
      <c r="A170" s="17">
        <f t="shared" si="0"/>
        <v>167</v>
      </c>
      <c r="B170" s="18" t="s">
        <v>175</v>
      </c>
      <c r="C170" s="31" t="s">
        <v>1120</v>
      </c>
      <c r="D170" s="20" t="s">
        <v>1121</v>
      </c>
      <c r="E170" s="32" t="s">
        <v>1122</v>
      </c>
      <c r="F170" s="70" t="s">
        <v>42</v>
      </c>
      <c r="G170" s="23" t="s">
        <v>1123</v>
      </c>
      <c r="H170" s="24" t="s">
        <v>55</v>
      </c>
    </row>
    <row r="171" spans="1:12" ht="26.25" hidden="1" customHeight="1">
      <c r="A171" s="17">
        <f t="shared" si="0"/>
        <v>168</v>
      </c>
      <c r="B171" s="18" t="s">
        <v>105</v>
      </c>
      <c r="C171" s="31" t="s">
        <v>1127</v>
      </c>
      <c r="D171" s="20" t="s">
        <v>1129</v>
      </c>
      <c r="E171" s="32" t="s">
        <v>1130</v>
      </c>
      <c r="F171" s="33" t="s">
        <v>53</v>
      </c>
      <c r="G171" s="23" t="s">
        <v>1131</v>
      </c>
      <c r="H171" s="24" t="s">
        <v>55</v>
      </c>
    </row>
    <row r="172" spans="1:12" ht="26.25" hidden="1" customHeight="1">
      <c r="A172" s="17">
        <f t="shared" si="0"/>
        <v>169</v>
      </c>
      <c r="B172" s="18" t="s">
        <v>27</v>
      </c>
      <c r="C172" s="31" t="s">
        <v>1135</v>
      </c>
      <c r="D172" s="20" t="s">
        <v>1136</v>
      </c>
      <c r="E172" s="32" t="s">
        <v>1137</v>
      </c>
      <c r="F172" s="22" t="s">
        <v>42</v>
      </c>
      <c r="G172" s="23" t="s">
        <v>1138</v>
      </c>
      <c r="H172" s="24" t="s">
        <v>55</v>
      </c>
    </row>
    <row r="173" spans="1:12" ht="26.25" customHeight="1">
      <c r="A173" s="17">
        <f t="shared" si="0"/>
        <v>170</v>
      </c>
      <c r="B173" s="18" t="s">
        <v>13</v>
      </c>
      <c r="C173" s="19" t="s">
        <v>1142</v>
      </c>
      <c r="D173" s="20" t="s">
        <v>1144</v>
      </c>
      <c r="E173" s="32" t="s">
        <v>52</v>
      </c>
      <c r="F173" s="22" t="s">
        <v>53</v>
      </c>
      <c r="G173" s="23" t="s">
        <v>1145</v>
      </c>
      <c r="H173" s="24" t="s">
        <v>20</v>
      </c>
      <c r="J173" s="284" t="str">
        <f>CONCATENATE(C173," │  ISSN:  ",D173," *")</f>
        <v>Detail │  ISSN:  0011-9571 *</v>
      </c>
      <c r="L173" s="243" t="s">
        <v>5158</v>
      </c>
    </row>
    <row r="174" spans="1:12" ht="26.25" hidden="1" customHeight="1">
      <c r="A174" s="17">
        <f t="shared" si="0"/>
        <v>171</v>
      </c>
      <c r="B174" s="18" t="s">
        <v>132</v>
      </c>
      <c r="C174" s="31" t="s">
        <v>238</v>
      </c>
      <c r="D174" s="20" t="s">
        <v>240</v>
      </c>
      <c r="E174" s="32" t="s">
        <v>62</v>
      </c>
      <c r="F174" s="22" t="s">
        <v>53</v>
      </c>
      <c r="G174" s="23" t="s">
        <v>1149</v>
      </c>
      <c r="H174" s="24" t="s">
        <v>55</v>
      </c>
    </row>
    <row r="175" spans="1:12" ht="26.25" hidden="1" customHeight="1">
      <c r="A175" s="17">
        <f t="shared" si="0"/>
        <v>172</v>
      </c>
      <c r="B175" s="18" t="s">
        <v>132</v>
      </c>
      <c r="C175" s="31" t="s">
        <v>1153</v>
      </c>
      <c r="D175" s="20" t="s">
        <v>1155</v>
      </c>
      <c r="E175" s="32" t="s">
        <v>496</v>
      </c>
      <c r="F175" s="22" t="s">
        <v>53</v>
      </c>
      <c r="G175" s="23" t="s">
        <v>1156</v>
      </c>
      <c r="H175" s="24" t="s">
        <v>55</v>
      </c>
    </row>
    <row r="176" spans="1:12" ht="26.25" hidden="1" customHeight="1">
      <c r="A176" s="17">
        <f t="shared" si="0"/>
        <v>173</v>
      </c>
      <c r="B176" s="18" t="s">
        <v>132</v>
      </c>
      <c r="C176" s="31" t="s">
        <v>1159</v>
      </c>
      <c r="D176" s="20" t="s">
        <v>996</v>
      </c>
      <c r="E176" s="32" t="s">
        <v>170</v>
      </c>
      <c r="F176" s="22" t="s">
        <v>53</v>
      </c>
      <c r="G176" s="23" t="s">
        <v>1160</v>
      </c>
      <c r="H176" s="24" t="s">
        <v>55</v>
      </c>
    </row>
    <row r="177" spans="1:12" ht="26.25" hidden="1" customHeight="1">
      <c r="A177" s="17">
        <f t="shared" si="0"/>
        <v>174</v>
      </c>
      <c r="B177" s="18" t="s">
        <v>105</v>
      </c>
      <c r="C177" s="31" t="s">
        <v>725</v>
      </c>
      <c r="D177" s="20" t="s">
        <v>727</v>
      </c>
      <c r="E177" s="32" t="s">
        <v>1164</v>
      </c>
      <c r="F177" s="33" t="s">
        <v>42</v>
      </c>
      <c r="G177" s="23" t="s">
        <v>1165</v>
      </c>
      <c r="H177" s="24" t="s">
        <v>55</v>
      </c>
    </row>
    <row r="178" spans="1:12" ht="26.25" customHeight="1">
      <c r="A178" s="17">
        <f t="shared" si="0"/>
        <v>175</v>
      </c>
      <c r="B178" s="18" t="s">
        <v>13</v>
      </c>
      <c r="C178" s="19" t="s">
        <v>1168</v>
      </c>
      <c r="D178" s="20" t="s">
        <v>1170</v>
      </c>
      <c r="E178" s="32" t="s">
        <v>4954</v>
      </c>
      <c r="F178" s="22" t="s">
        <v>53</v>
      </c>
      <c r="G178" s="23" t="s">
        <v>1172</v>
      </c>
      <c r="H178" s="24" t="s">
        <v>20</v>
      </c>
      <c r="J178" s="284" t="str">
        <f>CONCATENATE(C178," │  ISSN:  ",D178," *")</f>
        <v>Domus │  ISSN:  0012-5377 *</v>
      </c>
      <c r="L178" s="243" t="s">
        <v>5159</v>
      </c>
    </row>
    <row r="179" spans="1:12" ht="26.25" hidden="1" customHeight="1">
      <c r="A179" s="17">
        <f t="shared" si="0"/>
        <v>176</v>
      </c>
      <c r="B179" s="18" t="s">
        <v>175</v>
      </c>
      <c r="C179" s="31" t="s">
        <v>1176</v>
      </c>
      <c r="D179" s="20" t="s">
        <v>1177</v>
      </c>
      <c r="E179" s="32" t="s">
        <v>1178</v>
      </c>
      <c r="F179" s="33" t="s">
        <v>42</v>
      </c>
      <c r="G179" s="23" t="s">
        <v>1179</v>
      </c>
      <c r="H179" s="24" t="s">
        <v>55</v>
      </c>
    </row>
    <row r="180" spans="1:12" ht="26.25" hidden="1" customHeight="1">
      <c r="A180" s="17">
        <f t="shared" si="0"/>
        <v>177</v>
      </c>
      <c r="B180" s="18" t="s">
        <v>105</v>
      </c>
      <c r="C180" s="31" t="s">
        <v>1183</v>
      </c>
      <c r="D180" s="20" t="s">
        <v>1185</v>
      </c>
      <c r="E180" s="32" t="s">
        <v>1186</v>
      </c>
      <c r="F180" s="33" t="s">
        <v>42</v>
      </c>
      <c r="G180" s="23" t="s">
        <v>1187</v>
      </c>
      <c r="H180" s="24" t="s">
        <v>55</v>
      </c>
    </row>
    <row r="181" spans="1:12" ht="26.25" customHeight="1">
      <c r="A181" s="17">
        <f t="shared" si="0"/>
        <v>178</v>
      </c>
      <c r="B181" s="64" t="s">
        <v>81</v>
      </c>
      <c r="C181" s="19" t="s">
        <v>1191</v>
      </c>
      <c r="D181" s="20" t="s">
        <v>1192</v>
      </c>
      <c r="E181" s="32" t="s">
        <v>52</v>
      </c>
      <c r="F181" s="33" t="s">
        <v>42</v>
      </c>
      <c r="G181" s="23" t="s">
        <v>1193</v>
      </c>
      <c r="H181" s="24" t="s">
        <v>20</v>
      </c>
      <c r="J181" s="284" t="str">
        <f>CONCATENATE(C181," │  ISSN:  ",D181," *")</f>
        <v>Dynamical Systems │  ISSN:  1468-9367 *</v>
      </c>
      <c r="L181" s="243" t="s">
        <v>5160</v>
      </c>
    </row>
    <row r="182" spans="1:12" ht="26.25" hidden="1" customHeight="1">
      <c r="A182" s="17">
        <f t="shared" si="0"/>
        <v>179</v>
      </c>
      <c r="B182" s="18" t="s">
        <v>1197</v>
      </c>
      <c r="C182" s="71" t="s">
        <v>1198</v>
      </c>
      <c r="D182" s="20" t="s">
        <v>1200</v>
      </c>
      <c r="E182" s="32" t="s">
        <v>1201</v>
      </c>
      <c r="F182" s="33" t="s">
        <v>42</v>
      </c>
      <c r="G182" s="23" t="s">
        <v>1202</v>
      </c>
      <c r="H182" s="24" t="s">
        <v>55</v>
      </c>
    </row>
    <row r="183" spans="1:12" ht="26.25" hidden="1" customHeight="1">
      <c r="A183" s="17">
        <f t="shared" si="0"/>
        <v>180</v>
      </c>
      <c r="B183" s="18" t="s">
        <v>1197</v>
      </c>
      <c r="C183" s="71" t="s">
        <v>1206</v>
      </c>
      <c r="D183" s="20" t="s">
        <v>1207</v>
      </c>
      <c r="E183" s="32" t="s">
        <v>1208</v>
      </c>
      <c r="F183" s="33" t="s">
        <v>42</v>
      </c>
      <c r="G183" s="23" t="s">
        <v>1209</v>
      </c>
      <c r="H183" s="24" t="s">
        <v>55</v>
      </c>
    </row>
    <row r="184" spans="1:12" ht="26.25" hidden="1" customHeight="1">
      <c r="A184" s="17">
        <f t="shared" si="0"/>
        <v>181</v>
      </c>
      <c r="B184" s="67" t="s">
        <v>105</v>
      </c>
      <c r="C184" s="31" t="s">
        <v>1212</v>
      </c>
      <c r="D184" s="20" t="s">
        <v>1214</v>
      </c>
      <c r="E184" s="32" t="s">
        <v>1215</v>
      </c>
      <c r="F184" s="33" t="s">
        <v>42</v>
      </c>
      <c r="G184" s="23" t="s">
        <v>1216</v>
      </c>
      <c r="H184" s="24" t="s">
        <v>55</v>
      </c>
    </row>
    <row r="185" spans="1:12" ht="26.25" hidden="1" customHeight="1">
      <c r="A185" s="17">
        <f t="shared" si="0"/>
        <v>182</v>
      </c>
      <c r="B185" s="18" t="s">
        <v>27</v>
      </c>
      <c r="C185" s="31" t="s">
        <v>1219</v>
      </c>
      <c r="D185" s="20" t="s">
        <v>1220</v>
      </c>
      <c r="E185" s="32" t="s">
        <v>693</v>
      </c>
      <c r="F185" s="22" t="s">
        <v>53</v>
      </c>
      <c r="G185" s="23" t="s">
        <v>1221</v>
      </c>
      <c r="H185" s="24" t="s">
        <v>55</v>
      </c>
    </row>
    <row r="186" spans="1:12" ht="26.25" customHeight="1">
      <c r="A186" s="17">
        <f t="shared" si="0"/>
        <v>183</v>
      </c>
      <c r="B186" s="18" t="s">
        <v>13</v>
      </c>
      <c r="C186" s="19" t="s">
        <v>1224</v>
      </c>
      <c r="D186" s="20" t="s">
        <v>1226</v>
      </c>
      <c r="E186" s="32" t="s">
        <v>52</v>
      </c>
      <c r="F186" s="22" t="s">
        <v>53</v>
      </c>
      <c r="G186" s="23" t="s">
        <v>1227</v>
      </c>
      <c r="H186" s="24" t="s">
        <v>20</v>
      </c>
      <c r="J186" s="284" t="str">
        <f>CONCATENATE(C186," │  ISSN:  ",D186," *")</f>
        <v>El Croquis │  ISSN:  0212-5633 *</v>
      </c>
      <c r="L186" s="243" t="s">
        <v>5161</v>
      </c>
    </row>
    <row r="187" spans="1:12" ht="26.25" hidden="1" customHeight="1">
      <c r="A187" s="17">
        <f t="shared" si="0"/>
        <v>184</v>
      </c>
      <c r="B187" s="18" t="s">
        <v>48</v>
      </c>
      <c r="C187" s="31" t="s">
        <v>1231</v>
      </c>
      <c r="D187" s="20" t="s">
        <v>1232</v>
      </c>
      <c r="E187" s="32" t="s">
        <v>416</v>
      </c>
      <c r="F187" s="33" t="s">
        <v>42</v>
      </c>
      <c r="G187" s="23" t="s">
        <v>1233</v>
      </c>
      <c r="H187" s="24" t="s">
        <v>55</v>
      </c>
    </row>
    <row r="188" spans="1:12" ht="26.25" hidden="1" customHeight="1">
      <c r="A188" s="17">
        <f t="shared" si="0"/>
        <v>185</v>
      </c>
      <c r="B188" s="18" t="s">
        <v>48</v>
      </c>
      <c r="C188" s="31" t="s">
        <v>1236</v>
      </c>
      <c r="D188" s="20" t="s">
        <v>1238</v>
      </c>
      <c r="E188" s="32" t="s">
        <v>1239</v>
      </c>
      <c r="F188" s="33" t="s">
        <v>53</v>
      </c>
      <c r="G188" s="23" t="s">
        <v>1240</v>
      </c>
      <c r="H188" s="24" t="s">
        <v>55</v>
      </c>
    </row>
    <row r="189" spans="1:12" ht="26.25" hidden="1" customHeight="1">
      <c r="A189" s="17">
        <f t="shared" si="0"/>
        <v>186</v>
      </c>
      <c r="B189" s="18" t="s">
        <v>27</v>
      </c>
      <c r="C189" s="31" t="s">
        <v>1243</v>
      </c>
      <c r="D189" s="20" t="s">
        <v>1245</v>
      </c>
      <c r="E189" s="32" t="s">
        <v>1246</v>
      </c>
      <c r="F189" s="22" t="s">
        <v>31</v>
      </c>
      <c r="G189" s="23" t="s">
        <v>1247</v>
      </c>
      <c r="H189" s="24" t="s">
        <v>55</v>
      </c>
    </row>
    <row r="190" spans="1:12" ht="26.25" hidden="1" customHeight="1">
      <c r="A190" s="17">
        <f t="shared" si="0"/>
        <v>187</v>
      </c>
      <c r="B190" s="18" t="s">
        <v>1197</v>
      </c>
      <c r="C190" s="31" t="s">
        <v>1251</v>
      </c>
      <c r="D190" s="20" t="s">
        <v>1002</v>
      </c>
      <c r="E190" s="32" t="s">
        <v>1164</v>
      </c>
      <c r="F190" s="33" t="s">
        <v>53</v>
      </c>
      <c r="G190" s="23" t="s">
        <v>1253</v>
      </c>
      <c r="H190" s="24" t="s">
        <v>55</v>
      </c>
    </row>
    <row r="191" spans="1:12" ht="26.25" hidden="1" customHeight="1">
      <c r="A191" s="17">
        <f t="shared" si="0"/>
        <v>188</v>
      </c>
      <c r="B191" s="18" t="s">
        <v>146</v>
      </c>
      <c r="C191" s="31" t="s">
        <v>1256</v>
      </c>
      <c r="D191" s="20" t="s">
        <v>1257</v>
      </c>
      <c r="E191" s="32" t="s">
        <v>1258</v>
      </c>
      <c r="F191" s="33" t="s">
        <v>42</v>
      </c>
      <c r="G191" s="23" t="s">
        <v>1259</v>
      </c>
      <c r="H191" s="24" t="s">
        <v>55</v>
      </c>
    </row>
    <row r="192" spans="1:12" ht="26.25" customHeight="1">
      <c r="A192" s="17">
        <f t="shared" si="0"/>
        <v>189</v>
      </c>
      <c r="B192" s="18" t="s">
        <v>132</v>
      </c>
      <c r="C192" s="19" t="s">
        <v>1262</v>
      </c>
      <c r="D192" s="20" t="s">
        <v>1264</v>
      </c>
      <c r="E192" s="32" t="s">
        <v>52</v>
      </c>
      <c r="F192" s="22" t="s">
        <v>53</v>
      </c>
      <c r="G192" s="23" t="s">
        <v>1265</v>
      </c>
      <c r="H192" s="24" t="s">
        <v>20</v>
      </c>
      <c r="J192" s="284" t="str">
        <f>CONCATENATE(C192," │  ISSN:  ",D192," *")</f>
        <v>Engine Technology International │  ISSN:  1460-9509 *</v>
      </c>
      <c r="L192" s="243" t="s">
        <v>5162</v>
      </c>
    </row>
    <row r="193" spans="1:12" ht="26.25" hidden="1" customHeight="1">
      <c r="A193" s="17">
        <f t="shared" si="0"/>
        <v>190</v>
      </c>
      <c r="B193" s="18" t="s">
        <v>132</v>
      </c>
      <c r="C193" s="31" t="s">
        <v>1269</v>
      </c>
      <c r="D193" s="20" t="s">
        <v>1270</v>
      </c>
      <c r="E193" s="32" t="s">
        <v>1271</v>
      </c>
      <c r="F193" s="22" t="s">
        <v>42</v>
      </c>
      <c r="G193" s="23" t="s">
        <v>1272</v>
      </c>
      <c r="H193" s="24" t="s">
        <v>55</v>
      </c>
    </row>
    <row r="194" spans="1:12" ht="26.25" hidden="1" customHeight="1">
      <c r="A194" s="17">
        <f t="shared" si="0"/>
        <v>191</v>
      </c>
      <c r="B194" s="18" t="s">
        <v>13</v>
      </c>
      <c r="C194" s="31" t="s">
        <v>1277</v>
      </c>
      <c r="D194" s="20" t="s">
        <v>1279</v>
      </c>
      <c r="E194" s="32" t="s">
        <v>1280</v>
      </c>
      <c r="F194" s="22" t="s">
        <v>42</v>
      </c>
      <c r="G194" s="23" t="s">
        <v>1281</v>
      </c>
      <c r="H194" s="24" t="s">
        <v>55</v>
      </c>
    </row>
    <row r="195" spans="1:12" ht="26.25" hidden="1" customHeight="1">
      <c r="A195" s="17">
        <f t="shared" si="0"/>
        <v>192</v>
      </c>
      <c r="B195" s="18" t="s">
        <v>248</v>
      </c>
      <c r="C195" s="31" t="s">
        <v>378</v>
      </c>
      <c r="D195" s="20" t="s">
        <v>379</v>
      </c>
      <c r="E195" s="32" t="s">
        <v>163</v>
      </c>
      <c r="F195" s="33" t="s">
        <v>42</v>
      </c>
      <c r="G195" s="23" t="s">
        <v>1284</v>
      </c>
      <c r="H195" s="24" t="s">
        <v>55</v>
      </c>
    </row>
    <row r="196" spans="1:12" ht="26.25" customHeight="1">
      <c r="A196" s="17">
        <f t="shared" si="0"/>
        <v>193</v>
      </c>
      <c r="B196" s="18" t="s">
        <v>248</v>
      </c>
      <c r="C196" s="19" t="s">
        <v>1288</v>
      </c>
      <c r="D196" s="20" t="s">
        <v>1289</v>
      </c>
      <c r="E196" s="32" t="s">
        <v>52</v>
      </c>
      <c r="F196" s="33" t="s">
        <v>1290</v>
      </c>
      <c r="G196" s="23" t="s">
        <v>1291</v>
      </c>
      <c r="H196" s="24" t="s">
        <v>20</v>
      </c>
      <c r="J196" s="284" t="str">
        <f>CONCATENATE(C196," │  ISSN:  ",D196," *")</f>
        <v>Engineering Studies │  ISSN:  1937-8629 *</v>
      </c>
      <c r="L196" s="243" t="s">
        <v>5163</v>
      </c>
    </row>
    <row r="197" spans="1:12" ht="26.25" hidden="1" customHeight="1">
      <c r="A197" s="17">
        <f t="shared" si="0"/>
        <v>194</v>
      </c>
      <c r="B197" s="18" t="s">
        <v>1197</v>
      </c>
      <c r="C197" s="31" t="s">
        <v>1294</v>
      </c>
      <c r="D197" s="20" t="s">
        <v>1296</v>
      </c>
      <c r="E197" s="32" t="s">
        <v>1297</v>
      </c>
      <c r="F197" s="33" t="s">
        <v>1290</v>
      </c>
      <c r="G197" s="23" t="s">
        <v>1298</v>
      </c>
      <c r="H197" s="24" t="s">
        <v>55</v>
      </c>
    </row>
    <row r="198" spans="1:12" ht="26.25" hidden="1" customHeight="1">
      <c r="A198" s="17">
        <f t="shared" si="0"/>
        <v>195</v>
      </c>
      <c r="B198" s="18" t="s">
        <v>1197</v>
      </c>
      <c r="C198" s="31" t="s">
        <v>1302</v>
      </c>
      <c r="D198" s="20" t="s">
        <v>1303</v>
      </c>
      <c r="E198" s="32" t="s">
        <v>1304</v>
      </c>
      <c r="F198" s="33" t="s">
        <v>42</v>
      </c>
      <c r="G198" s="23" t="s">
        <v>1305</v>
      </c>
      <c r="H198" s="24" t="s">
        <v>55</v>
      </c>
    </row>
    <row r="199" spans="1:12" ht="26.25" hidden="1" customHeight="1">
      <c r="A199" s="17">
        <f t="shared" si="0"/>
        <v>196</v>
      </c>
      <c r="B199" s="18" t="s">
        <v>105</v>
      </c>
      <c r="C199" s="31" t="s">
        <v>1308</v>
      </c>
      <c r="D199" s="20" t="s">
        <v>1309</v>
      </c>
      <c r="E199" s="32" t="s">
        <v>416</v>
      </c>
      <c r="F199" s="33" t="s">
        <v>42</v>
      </c>
      <c r="G199" s="23" t="s">
        <v>1310</v>
      </c>
      <c r="H199" s="24" t="s">
        <v>55</v>
      </c>
    </row>
    <row r="200" spans="1:12" ht="26.25" customHeight="1">
      <c r="A200" s="17">
        <f t="shared" si="0"/>
        <v>197</v>
      </c>
      <c r="B200" s="18" t="s">
        <v>81</v>
      </c>
      <c r="C200" s="19" t="s">
        <v>1313</v>
      </c>
      <c r="D200" s="20" t="s">
        <v>1314</v>
      </c>
      <c r="E200" s="32" t="s">
        <v>52</v>
      </c>
      <c r="F200" s="33" t="s">
        <v>42</v>
      </c>
      <c r="G200" s="23" t="s">
        <v>1315</v>
      </c>
      <c r="H200" s="24" t="s">
        <v>20</v>
      </c>
      <c r="J200" s="284" t="str">
        <f t="shared" ref="J200:J204" si="16">CONCATENATE(C200," │  ISSN:  ",D200," *")</f>
        <v>European Journal of Control │  ISSN:  0947-3580 *</v>
      </c>
      <c r="L200" s="243" t="s">
        <v>5164</v>
      </c>
    </row>
    <row r="201" spans="1:12" ht="26.25" customHeight="1">
      <c r="A201" s="17">
        <f t="shared" si="0"/>
        <v>198</v>
      </c>
      <c r="B201" s="18" t="s">
        <v>37</v>
      </c>
      <c r="C201" s="19" t="s">
        <v>1319</v>
      </c>
      <c r="D201" s="20" t="s">
        <v>1321</v>
      </c>
      <c r="E201" s="32" t="s">
        <v>52</v>
      </c>
      <c r="F201" s="22" t="s">
        <v>42</v>
      </c>
      <c r="G201" s="23" t="s">
        <v>1322</v>
      </c>
      <c r="H201" s="24" t="s">
        <v>20</v>
      </c>
      <c r="J201" s="284" t="str">
        <f t="shared" si="16"/>
        <v>European Journal of Glass science and Technology. Part A. Glass Technology │  ISSN:  1753-3546 *</v>
      </c>
      <c r="L201" s="243" t="s">
        <v>5165</v>
      </c>
    </row>
    <row r="202" spans="1:12" ht="26.25" customHeight="1">
      <c r="A202" s="17">
        <f t="shared" si="0"/>
        <v>199</v>
      </c>
      <c r="B202" s="18" t="s">
        <v>37</v>
      </c>
      <c r="C202" s="19" t="s">
        <v>1325</v>
      </c>
      <c r="D202" s="20" t="s">
        <v>1326</v>
      </c>
      <c r="E202" s="32" t="s">
        <v>5005</v>
      </c>
      <c r="F202" s="22" t="s">
        <v>31</v>
      </c>
      <c r="G202" s="23" t="s">
        <v>1328</v>
      </c>
      <c r="H202" s="24" t="s">
        <v>20</v>
      </c>
      <c r="J202" s="284" t="str">
        <f t="shared" si="16"/>
        <v>European Journal of Glass science and Techology. Part B. Physics and Chemistry of Glasses │  ISSN:  1753-3562 *</v>
      </c>
      <c r="L202" s="243" t="s">
        <v>5166</v>
      </c>
    </row>
    <row r="203" spans="1:12" ht="26.25" customHeight="1">
      <c r="A203" s="17">
        <f t="shared" si="0"/>
        <v>200</v>
      </c>
      <c r="B203" s="18" t="s">
        <v>27</v>
      </c>
      <c r="C203" s="19" t="s">
        <v>1331</v>
      </c>
      <c r="D203" s="20" t="s">
        <v>1332</v>
      </c>
      <c r="E203" s="32" t="s">
        <v>52</v>
      </c>
      <c r="F203" s="22" t="s">
        <v>42</v>
      </c>
      <c r="G203" s="23" t="s">
        <v>1333</v>
      </c>
      <c r="H203" s="24" t="s">
        <v>20</v>
      </c>
      <c r="J203" s="284" t="str">
        <f t="shared" si="16"/>
        <v>European Journal of Mass Spectrometry │  ISSN:  1469-0667 *</v>
      </c>
      <c r="L203" s="243" t="s">
        <v>5167</v>
      </c>
    </row>
    <row r="204" spans="1:12" ht="26.25" customHeight="1">
      <c r="A204" s="17">
        <f t="shared" si="0"/>
        <v>201</v>
      </c>
      <c r="B204" s="18" t="s">
        <v>105</v>
      </c>
      <c r="C204" s="19" t="s">
        <v>1337</v>
      </c>
      <c r="D204" s="20" t="s">
        <v>1339</v>
      </c>
      <c r="E204" s="32" t="s">
        <v>4957</v>
      </c>
      <c r="F204" s="33" t="s">
        <v>42</v>
      </c>
      <c r="G204" s="23" t="s">
        <v>1340</v>
      </c>
      <c r="H204" s="24" t="s">
        <v>20</v>
      </c>
      <c r="J204" s="284" t="str">
        <f t="shared" si="16"/>
        <v>European Journal of Physics │  ISSN:  0143-0807 *</v>
      </c>
      <c r="L204" s="243" t="s">
        <v>5168</v>
      </c>
    </row>
    <row r="205" spans="1:12" ht="26.25" hidden="1" customHeight="1">
      <c r="A205" s="17">
        <f t="shared" si="0"/>
        <v>202</v>
      </c>
      <c r="B205" s="18" t="s">
        <v>48</v>
      </c>
      <c r="C205" s="31" t="s">
        <v>1343</v>
      </c>
      <c r="D205" s="20" t="s">
        <v>1345</v>
      </c>
      <c r="E205" s="32" t="s">
        <v>416</v>
      </c>
      <c r="F205" s="33" t="s">
        <v>53</v>
      </c>
      <c r="G205" s="23" t="s">
        <v>1346</v>
      </c>
      <c r="H205" s="24" t="s">
        <v>55</v>
      </c>
    </row>
    <row r="206" spans="1:12" ht="26.25" customHeight="1">
      <c r="A206" s="17">
        <f t="shared" si="0"/>
        <v>203</v>
      </c>
      <c r="B206" s="18" t="s">
        <v>132</v>
      </c>
      <c r="C206" s="19" t="s">
        <v>1337</v>
      </c>
      <c r="D206" s="20" t="s">
        <v>1351</v>
      </c>
      <c r="E206" s="32" t="s">
        <v>3775</v>
      </c>
      <c r="F206" s="22" t="s">
        <v>42</v>
      </c>
      <c r="G206" s="23" t="s">
        <v>1352</v>
      </c>
      <c r="H206" s="24" t="s">
        <v>20</v>
      </c>
      <c r="J206" s="284" t="str">
        <f>CONCATENATE(C206," │  ISSN:  ",D206," *")</f>
        <v>European Journal of Physics │  ISSN:  0014-4851 *</v>
      </c>
      <c r="L206" s="243" t="s">
        <v>5169</v>
      </c>
    </row>
    <row r="207" spans="1:12" ht="26.25" hidden="1" customHeight="1">
      <c r="A207" s="17">
        <f t="shared" si="0"/>
        <v>204</v>
      </c>
      <c r="B207" s="18" t="s">
        <v>132</v>
      </c>
      <c r="C207" s="31" t="s">
        <v>1355</v>
      </c>
      <c r="D207" s="20" t="s">
        <v>1356</v>
      </c>
      <c r="E207" s="32" t="s">
        <v>1357</v>
      </c>
      <c r="F207" s="22" t="s">
        <v>42</v>
      </c>
      <c r="G207" s="23" t="s">
        <v>1358</v>
      </c>
      <c r="H207" s="24" t="s">
        <v>55</v>
      </c>
    </row>
    <row r="208" spans="1:12" ht="26.25" customHeight="1">
      <c r="A208" s="17">
        <f t="shared" si="0"/>
        <v>205</v>
      </c>
      <c r="B208" s="18" t="s">
        <v>132</v>
      </c>
      <c r="C208" s="19" t="s">
        <v>1361</v>
      </c>
      <c r="D208" s="20" t="s">
        <v>1362</v>
      </c>
      <c r="E208" s="32" t="s">
        <v>4977</v>
      </c>
      <c r="F208" s="22" t="s">
        <v>42</v>
      </c>
      <c r="G208" s="23" t="s">
        <v>1364</v>
      </c>
      <c r="H208" s="24" t="s">
        <v>20</v>
      </c>
      <c r="J208" s="284" t="str">
        <f>CONCATENATE(C208," │  ISSN:  ",D208," *")</f>
        <v>Experiments in Fluids │  ISSN:  0723-4864 *</v>
      </c>
      <c r="L208" s="243" t="s">
        <v>5170</v>
      </c>
    </row>
    <row r="209" spans="1:12" ht="26.25" hidden="1" customHeight="1">
      <c r="A209" s="17">
        <f t="shared" si="0"/>
        <v>206</v>
      </c>
      <c r="B209" s="18" t="s">
        <v>1368</v>
      </c>
      <c r="C209" s="31" t="s">
        <v>1369</v>
      </c>
      <c r="D209" s="20"/>
      <c r="E209" s="32" t="s">
        <v>1371</v>
      </c>
      <c r="F209" s="33" t="s">
        <v>53</v>
      </c>
      <c r="G209" s="23" t="s">
        <v>1372</v>
      </c>
      <c r="H209" s="24" t="s">
        <v>55</v>
      </c>
    </row>
    <row r="210" spans="1:12" ht="26.25" hidden="1" customHeight="1">
      <c r="A210" s="17">
        <f t="shared" si="0"/>
        <v>207</v>
      </c>
      <c r="B210" s="18" t="s">
        <v>1375</v>
      </c>
      <c r="C210" s="31" t="s">
        <v>1376</v>
      </c>
      <c r="D210" s="20" t="s">
        <v>1378</v>
      </c>
      <c r="E210" s="32" t="s">
        <v>416</v>
      </c>
      <c r="F210" s="22" t="s">
        <v>53</v>
      </c>
      <c r="G210" s="23" t="s">
        <v>1379</v>
      </c>
      <c r="H210" s="24" t="s">
        <v>55</v>
      </c>
    </row>
    <row r="211" spans="1:12" ht="26.25" hidden="1" customHeight="1">
      <c r="A211" s="17">
        <f t="shared" si="0"/>
        <v>208</v>
      </c>
      <c r="B211" s="18" t="s">
        <v>132</v>
      </c>
      <c r="C211" s="31" t="s">
        <v>1007</v>
      </c>
      <c r="D211" s="20" t="s">
        <v>1008</v>
      </c>
      <c r="E211" s="32" t="s">
        <v>1382</v>
      </c>
      <c r="F211" s="22" t="s">
        <v>42</v>
      </c>
      <c r="G211" s="23" t="s">
        <v>1383</v>
      </c>
      <c r="H211" s="24" t="s">
        <v>55</v>
      </c>
    </row>
    <row r="212" spans="1:12" ht="26.25" hidden="1" customHeight="1">
      <c r="A212" s="17">
        <f t="shared" si="0"/>
        <v>209</v>
      </c>
      <c r="B212" s="18" t="s">
        <v>132</v>
      </c>
      <c r="C212" s="31" t="s">
        <v>572</v>
      </c>
      <c r="D212" s="20" t="s">
        <v>573</v>
      </c>
      <c r="E212" s="32" t="s">
        <v>496</v>
      </c>
      <c r="F212" s="22" t="s">
        <v>42</v>
      </c>
      <c r="G212" s="23" t="s">
        <v>1387</v>
      </c>
      <c r="H212" s="24" t="s">
        <v>55</v>
      </c>
    </row>
    <row r="213" spans="1:12" ht="26.25" hidden="1" customHeight="1">
      <c r="A213" s="17">
        <f t="shared" si="0"/>
        <v>210</v>
      </c>
      <c r="B213" s="18" t="s">
        <v>175</v>
      </c>
      <c r="C213" s="31" t="s">
        <v>1390</v>
      </c>
      <c r="D213" s="20" t="s">
        <v>1392</v>
      </c>
      <c r="E213" s="32" t="s">
        <v>1393</v>
      </c>
      <c r="F213" s="33" t="s">
        <v>63</v>
      </c>
      <c r="G213" s="23" t="s">
        <v>1394</v>
      </c>
      <c r="H213" s="24" t="s">
        <v>55</v>
      </c>
    </row>
    <row r="214" spans="1:12" ht="26.25" hidden="1" customHeight="1">
      <c r="A214" s="17">
        <f t="shared" si="0"/>
        <v>211</v>
      </c>
      <c r="B214" s="18" t="s">
        <v>867</v>
      </c>
      <c r="C214" s="31" t="s">
        <v>1398</v>
      </c>
      <c r="D214" s="20" t="s">
        <v>1400</v>
      </c>
      <c r="E214" s="32" t="s">
        <v>1401</v>
      </c>
      <c r="F214" s="33" t="s">
        <v>31</v>
      </c>
      <c r="G214" s="23" t="s">
        <v>1402</v>
      </c>
      <c r="H214" s="24" t="s">
        <v>55</v>
      </c>
    </row>
    <row r="215" spans="1:12" ht="26.25" hidden="1" customHeight="1">
      <c r="A215" s="17">
        <f t="shared" si="0"/>
        <v>212</v>
      </c>
      <c r="B215" s="18" t="s">
        <v>105</v>
      </c>
      <c r="C215" s="31" t="s">
        <v>1407</v>
      </c>
      <c r="D215" s="20" t="s">
        <v>1409</v>
      </c>
      <c r="E215" s="32">
        <v>2011</v>
      </c>
      <c r="F215" s="33" t="s">
        <v>31</v>
      </c>
      <c r="G215" s="23" t="s">
        <v>1410</v>
      </c>
      <c r="H215" s="24" t="s">
        <v>55</v>
      </c>
    </row>
    <row r="216" spans="1:12" ht="26.25" hidden="1" customHeight="1">
      <c r="A216" s="17">
        <f t="shared" si="0"/>
        <v>213</v>
      </c>
      <c r="B216" s="18" t="s">
        <v>105</v>
      </c>
      <c r="C216" s="31" t="s">
        <v>1414</v>
      </c>
      <c r="D216" s="20" t="s">
        <v>1415</v>
      </c>
      <c r="E216" s="32" t="s">
        <v>252</v>
      </c>
      <c r="F216" s="33" t="s">
        <v>42</v>
      </c>
      <c r="G216" s="23" t="s">
        <v>1416</v>
      </c>
      <c r="H216" s="24" t="s">
        <v>55</v>
      </c>
    </row>
    <row r="217" spans="1:12" ht="26.25" hidden="1" customHeight="1">
      <c r="A217" s="17">
        <f t="shared" si="0"/>
        <v>214</v>
      </c>
      <c r="B217" s="18" t="s">
        <v>27</v>
      </c>
      <c r="C217" s="31" t="s">
        <v>1420</v>
      </c>
      <c r="D217" s="20" t="s">
        <v>386</v>
      </c>
      <c r="E217" s="32" t="s">
        <v>1421</v>
      </c>
      <c r="F217" s="22" t="s">
        <v>42</v>
      </c>
      <c r="G217" s="23" t="s">
        <v>1422</v>
      </c>
      <c r="H217" s="24" t="s">
        <v>55</v>
      </c>
    </row>
    <row r="218" spans="1:12" ht="26.25" customHeight="1">
      <c r="A218" s="17">
        <f t="shared" si="0"/>
        <v>215</v>
      </c>
      <c r="B218" s="18" t="s">
        <v>13</v>
      </c>
      <c r="C218" s="19" t="s">
        <v>1426</v>
      </c>
      <c r="D218" s="20" t="s">
        <v>1428</v>
      </c>
      <c r="E218" s="32" t="s">
        <v>52</v>
      </c>
      <c r="F218" s="22" t="s">
        <v>53</v>
      </c>
      <c r="G218" s="23" t="s">
        <v>1429</v>
      </c>
      <c r="H218" s="24" t="s">
        <v>20</v>
      </c>
      <c r="J218" s="284" t="str">
        <f>CONCATENATE(C218," │  ISSN:  ",D218," *")</f>
        <v>GA Document │  ISSN:  0389-0066 *</v>
      </c>
      <c r="L218" s="243" t="s">
        <v>5171</v>
      </c>
    </row>
    <row r="219" spans="1:12" ht="26.25" hidden="1" customHeight="1">
      <c r="A219" s="17">
        <f t="shared" si="0"/>
        <v>216</v>
      </c>
      <c r="B219" s="18" t="s">
        <v>132</v>
      </c>
      <c r="C219" s="31" t="s">
        <v>1013</v>
      </c>
      <c r="D219" s="20" t="s">
        <v>1015</v>
      </c>
      <c r="E219" s="32" t="s">
        <v>170</v>
      </c>
      <c r="F219" s="22" t="s">
        <v>53</v>
      </c>
      <c r="G219" s="23" t="s">
        <v>1434</v>
      </c>
      <c r="H219" s="24" t="s">
        <v>55</v>
      </c>
    </row>
    <row r="220" spans="1:12" ht="26.25" customHeight="1">
      <c r="A220" s="17">
        <f t="shared" si="0"/>
        <v>217</v>
      </c>
      <c r="B220" s="18" t="s">
        <v>1197</v>
      </c>
      <c r="C220" s="19" t="s">
        <v>1437</v>
      </c>
      <c r="D220" s="20" t="s">
        <v>1438</v>
      </c>
      <c r="E220" s="21" t="s">
        <v>52</v>
      </c>
      <c r="F220" s="33" t="s">
        <v>31</v>
      </c>
      <c r="G220" s="23" t="s">
        <v>1439</v>
      </c>
      <c r="H220" s="24" t="s">
        <v>20</v>
      </c>
      <c r="J220" s="284" t="str">
        <f>CONCATENATE(C220," │  ISSN:  ",D220," *")</f>
        <v>Gefahrstoffe - Reinhaltung der Luft │  ISSN:  0949-8036 *</v>
      </c>
      <c r="L220" s="243" t="s">
        <v>5172</v>
      </c>
    </row>
    <row r="221" spans="1:12" ht="26.25" hidden="1" customHeight="1">
      <c r="A221" s="17">
        <f t="shared" si="0"/>
        <v>218</v>
      </c>
      <c r="B221" s="18" t="s">
        <v>175</v>
      </c>
      <c r="C221" s="31" t="s">
        <v>1443</v>
      </c>
      <c r="D221" s="20" t="s">
        <v>1445</v>
      </c>
      <c r="E221" s="32" t="s">
        <v>1446</v>
      </c>
      <c r="F221" s="33" t="s">
        <v>53</v>
      </c>
      <c r="G221" s="23" t="s">
        <v>1447</v>
      </c>
      <c r="H221" s="24" t="s">
        <v>55</v>
      </c>
    </row>
    <row r="222" spans="1:12" ht="26.25" hidden="1" customHeight="1">
      <c r="A222" s="17">
        <f t="shared" si="0"/>
        <v>219</v>
      </c>
      <c r="B222" s="18" t="s">
        <v>175</v>
      </c>
      <c r="C222" s="31" t="s">
        <v>1451</v>
      </c>
      <c r="D222" s="20" t="s">
        <v>1452</v>
      </c>
      <c r="E222" s="32" t="s">
        <v>1453</v>
      </c>
      <c r="F222" s="33" t="s">
        <v>42</v>
      </c>
      <c r="G222" s="23" t="s">
        <v>1454</v>
      </c>
      <c r="H222" s="24" t="s">
        <v>55</v>
      </c>
    </row>
    <row r="223" spans="1:12" ht="26.25" hidden="1" customHeight="1">
      <c r="A223" s="17">
        <f t="shared" si="0"/>
        <v>220</v>
      </c>
      <c r="B223" s="18" t="s">
        <v>175</v>
      </c>
      <c r="C223" s="31" t="s">
        <v>1458</v>
      </c>
      <c r="D223" s="20" t="s">
        <v>1460</v>
      </c>
      <c r="E223" s="32" t="s">
        <v>1461</v>
      </c>
      <c r="F223" s="33" t="s">
        <v>42</v>
      </c>
      <c r="G223" s="23" t="s">
        <v>1462</v>
      </c>
      <c r="H223" s="24" t="s">
        <v>55</v>
      </c>
    </row>
    <row r="224" spans="1:12" ht="26.25" customHeight="1">
      <c r="A224" s="17">
        <f t="shared" si="0"/>
        <v>221</v>
      </c>
      <c r="B224" s="18" t="s">
        <v>175</v>
      </c>
      <c r="C224" s="31" t="s">
        <v>1465</v>
      </c>
      <c r="D224" s="20" t="s">
        <v>1467</v>
      </c>
      <c r="E224" s="21" t="s">
        <v>5091</v>
      </c>
      <c r="F224" s="33" t="s">
        <v>42</v>
      </c>
      <c r="G224" s="23" t="s">
        <v>1469</v>
      </c>
      <c r="H224" s="34" t="s">
        <v>20</v>
      </c>
      <c r="J224" s="284" t="str">
        <f t="shared" ref="J224:J225" si="17">CONCATENATE(C224," │  ISSN:  ",D224," *")</f>
        <v>Genome Research │  ISSN:  1088-9051 *</v>
      </c>
      <c r="L224" s="243" t="s">
        <v>5173</v>
      </c>
    </row>
    <row r="225" spans="1:12" ht="26.25" customHeight="1">
      <c r="A225" s="17">
        <f t="shared" si="0"/>
        <v>222</v>
      </c>
      <c r="B225" s="18" t="s">
        <v>105</v>
      </c>
      <c r="C225" s="19" t="s">
        <v>1472</v>
      </c>
      <c r="D225" s="20" t="s">
        <v>1473</v>
      </c>
      <c r="E225" s="32" t="s">
        <v>52</v>
      </c>
      <c r="F225" s="33" t="s">
        <v>42</v>
      </c>
      <c r="G225" s="23" t="s">
        <v>1474</v>
      </c>
      <c r="H225" s="24" t="s">
        <v>20</v>
      </c>
      <c r="J225" s="284" t="str">
        <f t="shared" si="17"/>
        <v>Geocarto International │  ISSN:  1010-6049 *</v>
      </c>
      <c r="L225" s="243" t="s">
        <v>5174</v>
      </c>
    </row>
    <row r="226" spans="1:12" ht="26.25" hidden="1" customHeight="1">
      <c r="A226" s="17">
        <f t="shared" si="0"/>
        <v>223</v>
      </c>
      <c r="B226" s="18" t="s">
        <v>105</v>
      </c>
      <c r="C226" s="31" t="s">
        <v>1478</v>
      </c>
      <c r="D226" s="20" t="s">
        <v>1480</v>
      </c>
      <c r="E226" s="32" t="s">
        <v>1481</v>
      </c>
      <c r="F226" s="33" t="s">
        <v>42</v>
      </c>
      <c r="G226" s="23" t="s">
        <v>1482</v>
      </c>
      <c r="H226" s="24" t="s">
        <v>55</v>
      </c>
    </row>
    <row r="227" spans="1:12" ht="26.25" customHeight="1">
      <c r="A227" s="17">
        <f t="shared" si="0"/>
        <v>224</v>
      </c>
      <c r="B227" s="18" t="s">
        <v>105</v>
      </c>
      <c r="C227" s="19" t="s">
        <v>1485</v>
      </c>
      <c r="D227" s="20" t="s">
        <v>1487</v>
      </c>
      <c r="E227" s="32" t="s">
        <v>52</v>
      </c>
      <c r="F227" s="33" t="s">
        <v>42</v>
      </c>
      <c r="G227" s="23" t="s">
        <v>1488</v>
      </c>
      <c r="H227" s="24" t="s">
        <v>20</v>
      </c>
      <c r="J227" s="284" t="str">
        <f t="shared" ref="J227:J228" si="18">CONCATENATE(C227," │  ISSN:  ",D227," *")</f>
        <v>Geophysics │  ISSN:  0016-8033 *</v>
      </c>
      <c r="L227" s="243" t="s">
        <v>5175</v>
      </c>
    </row>
    <row r="228" spans="1:12" ht="26.25" customHeight="1">
      <c r="A228" s="17">
        <f t="shared" si="0"/>
        <v>225</v>
      </c>
      <c r="B228" s="18" t="s">
        <v>37</v>
      </c>
      <c r="C228" s="19" t="s">
        <v>1490</v>
      </c>
      <c r="D228" s="20" t="s">
        <v>1492</v>
      </c>
      <c r="E228" s="32" t="s">
        <v>5006</v>
      </c>
      <c r="F228" s="22" t="s">
        <v>53</v>
      </c>
      <c r="G228" s="23" t="s">
        <v>1494</v>
      </c>
      <c r="H228" s="24" t="s">
        <v>20</v>
      </c>
      <c r="J228" s="284" t="str">
        <f t="shared" si="18"/>
        <v>Geosynthetics │  ISSN:  1931-8189 *</v>
      </c>
      <c r="L228" s="243" t="s">
        <v>5176</v>
      </c>
    </row>
    <row r="229" spans="1:12" ht="26.25" hidden="1" customHeight="1">
      <c r="A229" s="17">
        <f t="shared" si="0"/>
        <v>226</v>
      </c>
      <c r="B229" s="18" t="s">
        <v>105</v>
      </c>
      <c r="C229" s="31" t="s">
        <v>628</v>
      </c>
      <c r="D229" s="20" t="s">
        <v>630</v>
      </c>
      <c r="E229" s="32" t="s">
        <v>496</v>
      </c>
      <c r="F229" s="33" t="s">
        <v>1086</v>
      </c>
      <c r="G229" s="23" t="s">
        <v>1497</v>
      </c>
      <c r="H229" s="24" t="s">
        <v>55</v>
      </c>
    </row>
    <row r="230" spans="1:12" ht="26.25" hidden="1" customHeight="1">
      <c r="A230" s="17">
        <f t="shared" si="0"/>
        <v>227</v>
      </c>
      <c r="B230" s="18" t="s">
        <v>13</v>
      </c>
      <c r="C230" s="31" t="s">
        <v>578</v>
      </c>
      <c r="D230" s="20" t="s">
        <v>580</v>
      </c>
      <c r="E230" s="32" t="s">
        <v>1500</v>
      </c>
      <c r="F230" s="22" t="s">
        <v>42</v>
      </c>
      <c r="G230" s="23" t="s">
        <v>1501</v>
      </c>
      <c r="H230" s="24" t="s">
        <v>55</v>
      </c>
    </row>
    <row r="231" spans="1:12" ht="26.25" customHeight="1">
      <c r="A231" s="17">
        <f t="shared" si="0"/>
        <v>228</v>
      </c>
      <c r="B231" s="18" t="s">
        <v>13</v>
      </c>
      <c r="C231" s="19" t="s">
        <v>1503</v>
      </c>
      <c r="D231" s="20" t="s">
        <v>1504</v>
      </c>
      <c r="E231" s="32" t="s">
        <v>4955</v>
      </c>
      <c r="F231" s="22" t="s">
        <v>42</v>
      </c>
      <c r="G231" s="23" t="s">
        <v>1506</v>
      </c>
      <c r="H231" s="24" t="s">
        <v>20</v>
      </c>
      <c r="J231" s="284" t="str">
        <f>CONCATENATE(C231," │  ISSN:  ",D231," *")</f>
        <v>Geotechnique │  ISSN:  0016-8505 *</v>
      </c>
      <c r="L231" s="243" t="s">
        <v>5177</v>
      </c>
    </row>
    <row r="232" spans="1:12" ht="26.25" hidden="1" customHeight="1">
      <c r="A232" s="17">
        <f t="shared" si="0"/>
        <v>229</v>
      </c>
      <c r="B232" s="18" t="s">
        <v>37</v>
      </c>
      <c r="C232" s="31" t="s">
        <v>1507</v>
      </c>
      <c r="D232" s="20" t="s">
        <v>1508</v>
      </c>
      <c r="E232" s="32" t="s">
        <v>1509</v>
      </c>
      <c r="F232" s="22" t="s">
        <v>53</v>
      </c>
      <c r="G232" s="23" t="s">
        <v>1510</v>
      </c>
      <c r="H232" s="24" t="s">
        <v>55</v>
      </c>
    </row>
    <row r="233" spans="1:12" ht="26.25" hidden="1" customHeight="1">
      <c r="A233" s="17">
        <f t="shared" si="0"/>
        <v>230</v>
      </c>
      <c r="B233" s="18" t="s">
        <v>13</v>
      </c>
      <c r="C233" s="31" t="s">
        <v>1020</v>
      </c>
      <c r="D233" s="20" t="s">
        <v>1022</v>
      </c>
      <c r="E233" s="32" t="s">
        <v>170</v>
      </c>
      <c r="F233" s="22" t="s">
        <v>53</v>
      </c>
      <c r="G233" s="23" t="s">
        <v>1515</v>
      </c>
      <c r="H233" s="24" t="s">
        <v>55</v>
      </c>
    </row>
    <row r="234" spans="1:12" ht="26.25" customHeight="1">
      <c r="A234" s="17">
        <f t="shared" si="0"/>
        <v>231</v>
      </c>
      <c r="B234" s="18" t="s">
        <v>27</v>
      </c>
      <c r="C234" s="19" t="s">
        <v>1518</v>
      </c>
      <c r="D234" s="20" t="s">
        <v>1519</v>
      </c>
      <c r="E234" s="32" t="s">
        <v>52</v>
      </c>
      <c r="F234" s="22" t="s">
        <v>42</v>
      </c>
      <c r="G234" s="23" t="s">
        <v>1520</v>
      </c>
      <c r="H234" s="24" t="s">
        <v>20</v>
      </c>
      <c r="J234" s="284" t="str">
        <f t="shared" ref="J234:J236" si="19">CONCATENATE(C234," │  ISSN:  ",D234," *")</f>
        <v>Heat Transfer Engineering │  ISSN:  0145-7632 *</v>
      </c>
      <c r="L234" s="243" t="s">
        <v>5178</v>
      </c>
    </row>
    <row r="235" spans="1:12" ht="26.25" customHeight="1">
      <c r="A235" s="17">
        <f t="shared" si="0"/>
        <v>232</v>
      </c>
      <c r="B235" s="18" t="s">
        <v>132</v>
      </c>
      <c r="C235" s="19" t="s">
        <v>1522</v>
      </c>
      <c r="D235" s="20" t="s">
        <v>1523</v>
      </c>
      <c r="E235" s="32" t="s">
        <v>52</v>
      </c>
      <c r="F235" s="22" t="s">
        <v>42</v>
      </c>
      <c r="G235" s="23" t="s">
        <v>1524</v>
      </c>
      <c r="H235" s="24" t="s">
        <v>20</v>
      </c>
      <c r="J235" s="284" t="str">
        <f t="shared" si="19"/>
        <v>Heat Transfer Research │  ISSN:  1064-2285 *</v>
      </c>
      <c r="L235" s="243" t="s">
        <v>5179</v>
      </c>
    </row>
    <row r="236" spans="1:12" ht="26.25" customHeight="1">
      <c r="A236" s="17">
        <f t="shared" si="0"/>
        <v>233</v>
      </c>
      <c r="B236" s="18" t="s">
        <v>27</v>
      </c>
      <c r="C236" s="19" t="s">
        <v>1527</v>
      </c>
      <c r="D236" s="20" t="s">
        <v>1528</v>
      </c>
      <c r="E236" s="32" t="s">
        <v>178</v>
      </c>
      <c r="F236" s="22" t="s">
        <v>42</v>
      </c>
      <c r="G236" s="23" t="s">
        <v>1529</v>
      </c>
      <c r="H236" s="24" t="s">
        <v>20</v>
      </c>
      <c r="J236" s="284" t="str">
        <f t="shared" si="19"/>
        <v>High Performance Polymers │  ISSN:  0954-0083 *</v>
      </c>
      <c r="L236" s="243" t="s">
        <v>5180</v>
      </c>
    </row>
    <row r="237" spans="1:12" ht="26.25" hidden="1" customHeight="1">
      <c r="A237" s="17">
        <f t="shared" si="0"/>
        <v>234</v>
      </c>
      <c r="B237" s="18" t="s">
        <v>27</v>
      </c>
      <c r="C237" s="31" t="s">
        <v>71</v>
      </c>
      <c r="D237" s="20" t="s">
        <v>73</v>
      </c>
      <c r="E237" s="32" t="s">
        <v>962</v>
      </c>
      <c r="F237" s="22" t="s">
        <v>1086</v>
      </c>
      <c r="G237" s="23" t="s">
        <v>1533</v>
      </c>
      <c r="H237" s="24" t="s">
        <v>55</v>
      </c>
    </row>
    <row r="238" spans="1:12" ht="26.25" hidden="1" customHeight="1">
      <c r="A238" s="17">
        <f t="shared" si="0"/>
        <v>235</v>
      </c>
      <c r="B238" s="18" t="s">
        <v>132</v>
      </c>
      <c r="C238" s="31" t="s">
        <v>831</v>
      </c>
      <c r="D238" s="20" t="s">
        <v>833</v>
      </c>
      <c r="E238" s="32" t="s">
        <v>170</v>
      </c>
      <c r="F238" s="22" t="s">
        <v>42</v>
      </c>
      <c r="G238" s="23" t="s">
        <v>1537</v>
      </c>
      <c r="H238" s="24" t="s">
        <v>55</v>
      </c>
    </row>
    <row r="239" spans="1:12" ht="26.25" customHeight="1">
      <c r="A239" s="17">
        <f t="shared" si="0"/>
        <v>236</v>
      </c>
      <c r="B239" s="18" t="s">
        <v>105</v>
      </c>
      <c r="C239" s="31" t="s">
        <v>1541</v>
      </c>
      <c r="D239" s="20" t="s">
        <v>1543</v>
      </c>
      <c r="E239" s="21" t="s">
        <v>3736</v>
      </c>
      <c r="F239" s="33" t="s">
        <v>31</v>
      </c>
      <c r="G239" s="23" t="s">
        <v>1544</v>
      </c>
      <c r="H239" s="34" t="s">
        <v>20</v>
      </c>
      <c r="J239" s="284" t="str">
        <f>CONCATENATE(C239," │  ISSN:  ",D239," *")</f>
        <v>Houston Journal of Mathematics │  ISSN:  0362-1588 *</v>
      </c>
      <c r="L239" s="243" t="s">
        <v>5181</v>
      </c>
    </row>
    <row r="240" spans="1:12" ht="26.25" hidden="1" customHeight="1">
      <c r="A240" s="17">
        <f t="shared" si="0"/>
        <v>237</v>
      </c>
      <c r="B240" s="18" t="s">
        <v>175</v>
      </c>
      <c r="C240" s="31" t="s">
        <v>1548</v>
      </c>
      <c r="D240" s="20" t="s">
        <v>1549</v>
      </c>
      <c r="E240" s="32" t="s">
        <v>738</v>
      </c>
      <c r="F240" s="33" t="s">
        <v>350</v>
      </c>
      <c r="G240" s="23" t="s">
        <v>1550</v>
      </c>
      <c r="H240" s="24" t="s">
        <v>55</v>
      </c>
    </row>
    <row r="241" spans="1:12" ht="26.25" hidden="1" customHeight="1">
      <c r="A241" s="17">
        <f t="shared" si="0"/>
        <v>238</v>
      </c>
      <c r="B241" s="18" t="s">
        <v>175</v>
      </c>
      <c r="C241" s="31" t="s">
        <v>1554</v>
      </c>
      <c r="D241" s="20" t="s">
        <v>1556</v>
      </c>
      <c r="E241" s="32" t="s">
        <v>1557</v>
      </c>
      <c r="F241" s="33" t="s">
        <v>42</v>
      </c>
      <c r="G241" s="23" t="s">
        <v>1558</v>
      </c>
      <c r="H241" s="24" t="s">
        <v>55</v>
      </c>
    </row>
    <row r="242" spans="1:12" ht="26.25" hidden="1" customHeight="1">
      <c r="A242" s="17">
        <f t="shared" si="0"/>
        <v>239</v>
      </c>
      <c r="B242" s="18" t="s">
        <v>248</v>
      </c>
      <c r="C242" s="31" t="s">
        <v>1027</v>
      </c>
      <c r="D242" s="20" t="s">
        <v>1029</v>
      </c>
      <c r="E242" s="32" t="s">
        <v>170</v>
      </c>
      <c r="F242" s="33" t="s">
        <v>53</v>
      </c>
      <c r="G242" s="23" t="s">
        <v>1563</v>
      </c>
      <c r="H242" s="24" t="s">
        <v>55</v>
      </c>
    </row>
    <row r="243" spans="1:12" ht="26.25" hidden="1" customHeight="1">
      <c r="A243" s="17">
        <f t="shared" si="0"/>
        <v>240</v>
      </c>
      <c r="B243" s="18" t="s">
        <v>27</v>
      </c>
      <c r="C243" s="31" t="s">
        <v>78</v>
      </c>
      <c r="D243" s="20" t="s">
        <v>80</v>
      </c>
      <c r="E243" s="32" t="s">
        <v>142</v>
      </c>
      <c r="F243" s="22" t="s">
        <v>53</v>
      </c>
      <c r="G243" s="23" t="s">
        <v>1567</v>
      </c>
      <c r="H243" s="24" t="s">
        <v>55</v>
      </c>
    </row>
    <row r="244" spans="1:12" ht="26.25" hidden="1" customHeight="1">
      <c r="A244" s="17">
        <f t="shared" si="0"/>
        <v>241</v>
      </c>
      <c r="B244" s="18" t="s">
        <v>81</v>
      </c>
      <c r="C244" s="31" t="s">
        <v>1570</v>
      </c>
      <c r="D244" s="20" t="s">
        <v>1572</v>
      </c>
      <c r="E244" s="32">
        <v>2004</v>
      </c>
      <c r="F244" s="33" t="s">
        <v>53</v>
      </c>
      <c r="G244" s="23" t="s">
        <v>1573</v>
      </c>
      <c r="H244" s="24" t="s">
        <v>55</v>
      </c>
    </row>
    <row r="245" spans="1:12" ht="26.25" hidden="1" customHeight="1">
      <c r="A245" s="17">
        <f t="shared" si="0"/>
        <v>242</v>
      </c>
      <c r="B245" s="18" t="s">
        <v>48</v>
      </c>
      <c r="C245" s="31" t="s">
        <v>1577</v>
      </c>
      <c r="D245" s="20" t="s">
        <v>1578</v>
      </c>
      <c r="E245" s="32" t="s">
        <v>1579</v>
      </c>
      <c r="F245" s="33" t="s">
        <v>42</v>
      </c>
      <c r="G245" s="23" t="s">
        <v>1580</v>
      </c>
      <c r="H245" s="24" t="s">
        <v>55</v>
      </c>
    </row>
    <row r="246" spans="1:12" ht="26.25" hidden="1" customHeight="1">
      <c r="A246" s="17">
        <f t="shared" si="0"/>
        <v>243</v>
      </c>
      <c r="B246" s="18" t="s">
        <v>81</v>
      </c>
      <c r="C246" s="31" t="s">
        <v>1584</v>
      </c>
      <c r="D246" s="20" t="s">
        <v>1585</v>
      </c>
      <c r="E246" s="32" t="s">
        <v>1586</v>
      </c>
      <c r="F246" s="33" t="s">
        <v>42</v>
      </c>
      <c r="G246" s="23" t="s">
        <v>1587</v>
      </c>
      <c r="H246" s="24" t="s">
        <v>55</v>
      </c>
    </row>
    <row r="247" spans="1:12" ht="26.25" customHeight="1">
      <c r="A247" s="17">
        <f t="shared" si="0"/>
        <v>244</v>
      </c>
      <c r="B247" s="18" t="s">
        <v>48</v>
      </c>
      <c r="C247" s="19" t="s">
        <v>1591</v>
      </c>
      <c r="D247" s="20" t="s">
        <v>1593</v>
      </c>
      <c r="E247" s="32" t="s">
        <v>178</v>
      </c>
      <c r="F247" s="33" t="s">
        <v>42</v>
      </c>
      <c r="G247" s="23" t="s">
        <v>1594</v>
      </c>
      <c r="H247" s="24" t="s">
        <v>20</v>
      </c>
      <c r="J247" s="284" t="str">
        <f>CONCATENATE(C247," │  ISSN:  ",D247," *")</f>
        <v>IET Nanobiotechnology │  ISSN:  1751-8741 *</v>
      </c>
      <c r="L247" s="243" t="s">
        <v>5182</v>
      </c>
    </row>
    <row r="248" spans="1:12" ht="26.25" hidden="1" customHeight="1">
      <c r="A248" s="17">
        <f t="shared" si="0"/>
        <v>245</v>
      </c>
      <c r="B248" s="18" t="s">
        <v>1598</v>
      </c>
      <c r="C248" s="31" t="s">
        <v>1599</v>
      </c>
      <c r="D248" s="20" t="s">
        <v>1601</v>
      </c>
      <c r="E248" s="32" t="s">
        <v>222</v>
      </c>
      <c r="F248" s="33" t="s">
        <v>53</v>
      </c>
      <c r="G248" s="23" t="s">
        <v>1602</v>
      </c>
      <c r="H248" s="24" t="s">
        <v>55</v>
      </c>
    </row>
    <row r="249" spans="1:12" ht="26.25" customHeight="1">
      <c r="A249" s="17">
        <f t="shared" si="0"/>
        <v>246</v>
      </c>
      <c r="B249" s="18" t="s">
        <v>248</v>
      </c>
      <c r="C249" s="19" t="s">
        <v>1606</v>
      </c>
      <c r="D249" s="100" t="s">
        <v>5183</v>
      </c>
      <c r="E249" s="32" t="s">
        <v>4969</v>
      </c>
      <c r="F249" s="33" t="s">
        <v>31</v>
      </c>
      <c r="G249" s="23" t="s">
        <v>1610</v>
      </c>
      <c r="H249" s="24" t="s">
        <v>20</v>
      </c>
      <c r="J249" s="284" t="str">
        <f>CONCATENATE(C249," │  ISSN:  ",D249," *")</f>
        <v>IIE Transactions │  ISSN:  0740-817X
2472-5854 *</v>
      </c>
      <c r="L249" s="243" t="s">
        <v>5184</v>
      </c>
    </row>
    <row r="250" spans="1:12" ht="26.25" hidden="1" customHeight="1">
      <c r="A250" s="17">
        <f t="shared" si="0"/>
        <v>247</v>
      </c>
      <c r="B250" s="18" t="s">
        <v>105</v>
      </c>
      <c r="C250" s="31" t="s">
        <v>1615</v>
      </c>
      <c r="D250" s="20" t="s">
        <v>1616</v>
      </c>
      <c r="E250" s="32" t="s">
        <v>738</v>
      </c>
      <c r="F250" s="33" t="s">
        <v>63</v>
      </c>
      <c r="G250" s="23" t="s">
        <v>1617</v>
      </c>
      <c r="H250" s="24" t="s">
        <v>55</v>
      </c>
    </row>
    <row r="251" spans="1:12" ht="26.25" hidden="1" customHeight="1">
      <c r="A251" s="17">
        <f t="shared" si="0"/>
        <v>248</v>
      </c>
      <c r="B251" s="18" t="s">
        <v>105</v>
      </c>
      <c r="C251" s="31" t="s">
        <v>1620</v>
      </c>
      <c r="D251" s="20" t="s">
        <v>1621</v>
      </c>
      <c r="E251" s="32" t="s">
        <v>416</v>
      </c>
      <c r="F251" s="33" t="s">
        <v>42</v>
      </c>
      <c r="G251" s="23" t="s">
        <v>1622</v>
      </c>
      <c r="H251" s="24" t="s">
        <v>55</v>
      </c>
    </row>
    <row r="252" spans="1:12" ht="26.25" hidden="1" customHeight="1">
      <c r="A252" s="17">
        <f t="shared" si="0"/>
        <v>249</v>
      </c>
      <c r="B252" s="18" t="s">
        <v>248</v>
      </c>
      <c r="C252" s="31" t="s">
        <v>1625</v>
      </c>
      <c r="D252" s="20" t="s">
        <v>1627</v>
      </c>
      <c r="E252" s="32" t="s">
        <v>416</v>
      </c>
      <c r="F252" s="33" t="s">
        <v>42</v>
      </c>
      <c r="G252" s="23" t="s">
        <v>1628</v>
      </c>
      <c r="H252" s="24" t="s">
        <v>55</v>
      </c>
    </row>
    <row r="253" spans="1:12" ht="26.25" hidden="1" customHeight="1">
      <c r="A253" s="17">
        <f t="shared" si="0"/>
        <v>250</v>
      </c>
      <c r="B253" s="18" t="s">
        <v>37</v>
      </c>
      <c r="C253" s="31" t="s">
        <v>1630</v>
      </c>
      <c r="D253" s="20" t="s">
        <v>1631</v>
      </c>
      <c r="E253" s="32" t="s">
        <v>693</v>
      </c>
      <c r="F253" s="22" t="s">
        <v>42</v>
      </c>
      <c r="G253" s="23" t="s">
        <v>1632</v>
      </c>
      <c r="H253" s="24" t="s">
        <v>55</v>
      </c>
    </row>
    <row r="254" spans="1:12" ht="26.25" customHeight="1">
      <c r="A254" s="17">
        <f t="shared" si="0"/>
        <v>251</v>
      </c>
      <c r="B254" s="18" t="s">
        <v>105</v>
      </c>
      <c r="C254" s="31" t="s">
        <v>1511</v>
      </c>
      <c r="D254" s="20" t="s">
        <v>1513</v>
      </c>
      <c r="E254" s="21" t="s">
        <v>1636</v>
      </c>
      <c r="F254" s="33" t="s">
        <v>42</v>
      </c>
      <c r="G254" s="23" t="s">
        <v>1637</v>
      </c>
      <c r="H254" s="34" t="s">
        <v>20</v>
      </c>
      <c r="J254" s="284" t="str">
        <f t="shared" ref="J254:J255" si="20">CONCATENATE(C254," │  ISSN:  ",D254," *")</f>
        <v>Indiana University Mathematics Journal │  ISSN:  0022-2518 *</v>
      </c>
      <c r="L254" s="243" t="s">
        <v>5185</v>
      </c>
    </row>
    <row r="255" spans="1:12" ht="26.25" customHeight="1">
      <c r="A255" s="17">
        <f t="shared" si="0"/>
        <v>252</v>
      </c>
      <c r="B255" s="18" t="s">
        <v>27</v>
      </c>
      <c r="C255" s="19" t="s">
        <v>1640</v>
      </c>
      <c r="D255" s="20" t="s">
        <v>1641</v>
      </c>
      <c r="E255" s="32" t="s">
        <v>5044</v>
      </c>
      <c r="F255" s="22" t="s">
        <v>42</v>
      </c>
      <c r="G255" s="23" t="s">
        <v>1643</v>
      </c>
      <c r="H255" s="24" t="s">
        <v>20</v>
      </c>
      <c r="J255" s="284" t="str">
        <f t="shared" si="20"/>
        <v>Industrial &amp; Engineering Chemistry Research │  ISSN:  0888-5885 *</v>
      </c>
      <c r="L255" s="243" t="s">
        <v>5186</v>
      </c>
    </row>
    <row r="256" spans="1:12" ht="26.25" hidden="1" customHeight="1">
      <c r="A256" s="17">
        <f t="shared" si="0"/>
        <v>253</v>
      </c>
      <c r="B256" s="18" t="s">
        <v>37</v>
      </c>
      <c r="C256" s="31" t="s">
        <v>1646</v>
      </c>
      <c r="D256" s="20" t="s">
        <v>1648</v>
      </c>
      <c r="E256" s="32" t="s">
        <v>416</v>
      </c>
      <c r="F256" s="22" t="s">
        <v>53</v>
      </c>
      <c r="G256" s="23" t="s">
        <v>1649</v>
      </c>
      <c r="H256" s="24" t="s">
        <v>55</v>
      </c>
    </row>
    <row r="257" spans="1:12" ht="26.25" hidden="1" customHeight="1">
      <c r="A257" s="17">
        <f t="shared" si="0"/>
        <v>254</v>
      </c>
      <c r="B257" s="18" t="s">
        <v>132</v>
      </c>
      <c r="C257" s="31" t="s">
        <v>1652</v>
      </c>
      <c r="D257" s="20" t="s">
        <v>1653</v>
      </c>
      <c r="E257" s="32">
        <v>2010</v>
      </c>
      <c r="F257" s="22" t="s">
        <v>42</v>
      </c>
      <c r="G257" s="23" t="s">
        <v>1654</v>
      </c>
      <c r="H257" s="24" t="s">
        <v>55</v>
      </c>
    </row>
    <row r="258" spans="1:12" ht="26.25" hidden="1" customHeight="1">
      <c r="A258" s="17">
        <f t="shared" si="0"/>
        <v>255</v>
      </c>
      <c r="B258" s="18" t="s">
        <v>48</v>
      </c>
      <c r="C258" s="31" t="s">
        <v>1657</v>
      </c>
      <c r="D258" s="20" t="s">
        <v>1037</v>
      </c>
      <c r="E258" s="32" t="s">
        <v>170</v>
      </c>
      <c r="F258" s="33" t="s">
        <v>31</v>
      </c>
      <c r="G258" s="23" t="s">
        <v>1659</v>
      </c>
      <c r="H258" s="24" t="s">
        <v>55</v>
      </c>
    </row>
    <row r="259" spans="1:12" ht="26.25" hidden="1" customHeight="1">
      <c r="A259" s="17">
        <f t="shared" si="0"/>
        <v>256</v>
      </c>
      <c r="B259" s="18" t="s">
        <v>105</v>
      </c>
      <c r="C259" s="31" t="s">
        <v>1663</v>
      </c>
      <c r="D259" s="20" t="s">
        <v>1665</v>
      </c>
      <c r="E259" s="32" t="s">
        <v>416</v>
      </c>
      <c r="F259" s="33" t="s">
        <v>53</v>
      </c>
      <c r="G259" s="23" t="s">
        <v>1666</v>
      </c>
      <c r="H259" s="24" t="s">
        <v>55</v>
      </c>
    </row>
    <row r="260" spans="1:12" ht="26.25" customHeight="1">
      <c r="A260" s="17">
        <f t="shared" si="0"/>
        <v>257</v>
      </c>
      <c r="B260" s="18" t="s">
        <v>132</v>
      </c>
      <c r="C260" s="19" t="s">
        <v>1670</v>
      </c>
      <c r="D260" s="20" t="s">
        <v>1672</v>
      </c>
      <c r="E260" s="32" t="s">
        <v>52</v>
      </c>
      <c r="F260" s="22" t="s">
        <v>42</v>
      </c>
      <c r="G260" s="23" t="s">
        <v>1673</v>
      </c>
      <c r="H260" s="24" t="s">
        <v>20</v>
      </c>
      <c r="J260" s="284" t="str">
        <f>CONCATENATE(C260," │  ISSN:  ",D260," *")</f>
        <v>Insight (Northampton) │  ISSN:  1354-2575 *</v>
      </c>
      <c r="L260" s="243" t="s">
        <v>5187</v>
      </c>
    </row>
    <row r="261" spans="1:12" ht="26.25" hidden="1" customHeight="1">
      <c r="A261" s="17">
        <f t="shared" si="0"/>
        <v>258</v>
      </c>
      <c r="B261" s="18" t="s">
        <v>105</v>
      </c>
      <c r="C261" s="31" t="s">
        <v>1676</v>
      </c>
      <c r="D261" s="20" t="s">
        <v>1677</v>
      </c>
      <c r="E261" s="32" t="s">
        <v>1678</v>
      </c>
      <c r="F261" s="33" t="s">
        <v>42</v>
      </c>
      <c r="G261" s="23" t="s">
        <v>1679</v>
      </c>
      <c r="H261" s="24" t="s">
        <v>55</v>
      </c>
    </row>
    <row r="262" spans="1:12" ht="26.25" customHeight="1">
      <c r="A262" s="17">
        <f t="shared" si="0"/>
        <v>259</v>
      </c>
      <c r="B262" s="18" t="s">
        <v>27</v>
      </c>
      <c r="C262" s="19" t="s">
        <v>1682</v>
      </c>
      <c r="D262" s="20" t="s">
        <v>1684</v>
      </c>
      <c r="E262" s="32" t="s">
        <v>52</v>
      </c>
      <c r="F262" s="22" t="s">
        <v>42</v>
      </c>
      <c r="G262" s="23" t="s">
        <v>1685</v>
      </c>
      <c r="H262" s="24" t="s">
        <v>20</v>
      </c>
      <c r="J262" s="284" t="str">
        <f>CONCATENATE(C262," │  ISSN:  ",D262," *")</f>
        <v>Instrumentation science &amp; Technology │  ISSN:  1073-9149 *</v>
      </c>
      <c r="L262" s="243" t="s">
        <v>5188</v>
      </c>
    </row>
    <row r="263" spans="1:12" ht="26.25" hidden="1" customHeight="1">
      <c r="A263" s="17">
        <f t="shared" si="0"/>
        <v>260</v>
      </c>
      <c r="B263" s="18" t="s">
        <v>81</v>
      </c>
      <c r="C263" s="31" t="s">
        <v>1688</v>
      </c>
      <c r="D263" s="20" t="s">
        <v>930</v>
      </c>
      <c r="E263" s="32" t="s">
        <v>170</v>
      </c>
      <c r="F263" s="33" t="s">
        <v>42</v>
      </c>
      <c r="G263" s="23" t="s">
        <v>1689</v>
      </c>
      <c r="H263" s="24" t="s">
        <v>55</v>
      </c>
    </row>
    <row r="264" spans="1:12" ht="26.25" hidden="1" customHeight="1">
      <c r="A264" s="17">
        <f t="shared" si="0"/>
        <v>261</v>
      </c>
      <c r="B264" s="18" t="s">
        <v>81</v>
      </c>
      <c r="C264" s="31" t="s">
        <v>1692</v>
      </c>
      <c r="D264" s="20" t="s">
        <v>1694</v>
      </c>
      <c r="E264" s="32" t="s">
        <v>1695</v>
      </c>
      <c r="F264" s="33" t="s">
        <v>1290</v>
      </c>
      <c r="G264" s="23" t="s">
        <v>1696</v>
      </c>
      <c r="H264" s="24" t="s">
        <v>55</v>
      </c>
    </row>
    <row r="265" spans="1:12" ht="26.25" hidden="1" customHeight="1">
      <c r="A265" s="17">
        <f t="shared" si="0"/>
        <v>262</v>
      </c>
      <c r="B265" s="18" t="s">
        <v>27</v>
      </c>
      <c r="C265" s="31" t="s">
        <v>1699</v>
      </c>
      <c r="D265" s="20" t="s">
        <v>1701</v>
      </c>
      <c r="E265" s="32" t="s">
        <v>1702</v>
      </c>
      <c r="F265" s="22" t="s">
        <v>42</v>
      </c>
      <c r="G265" s="23" t="s">
        <v>1703</v>
      </c>
      <c r="H265" s="24" t="s">
        <v>55</v>
      </c>
    </row>
    <row r="266" spans="1:12" ht="26.25" hidden="1" customHeight="1">
      <c r="A266" s="17">
        <f t="shared" si="0"/>
        <v>263</v>
      </c>
      <c r="B266" s="18" t="s">
        <v>37</v>
      </c>
      <c r="C266" s="31" t="s">
        <v>1707</v>
      </c>
      <c r="D266" s="20" t="s">
        <v>1708</v>
      </c>
      <c r="E266" s="32">
        <v>2010</v>
      </c>
      <c r="F266" s="22" t="s">
        <v>42</v>
      </c>
      <c r="G266" s="23" t="s">
        <v>1709</v>
      </c>
      <c r="H266" s="24" t="s">
        <v>55</v>
      </c>
    </row>
    <row r="267" spans="1:12" ht="26.25" customHeight="1">
      <c r="A267" s="17">
        <f t="shared" si="0"/>
        <v>264</v>
      </c>
      <c r="B267" s="18" t="s">
        <v>132</v>
      </c>
      <c r="C267" s="19" t="s">
        <v>1712</v>
      </c>
      <c r="D267" s="20" t="s">
        <v>1713</v>
      </c>
      <c r="E267" s="32" t="s">
        <v>52</v>
      </c>
      <c r="F267" s="22" t="s">
        <v>42</v>
      </c>
      <c r="G267" s="23" t="s">
        <v>1714</v>
      </c>
      <c r="H267" s="24" t="s">
        <v>20</v>
      </c>
      <c r="J267" s="284" t="str">
        <f>CONCATENATE(C267," │  ISSN:  ",D267," *")</f>
        <v>International Journal of Computational Fluid Dynamics │  ISSN:  1061-8562 *</v>
      </c>
      <c r="L267" s="243" t="s">
        <v>5189</v>
      </c>
    </row>
    <row r="268" spans="1:12" ht="26.25" hidden="1" customHeight="1">
      <c r="A268" s="17">
        <f t="shared" si="0"/>
        <v>265</v>
      </c>
      <c r="B268" s="18" t="s">
        <v>81</v>
      </c>
      <c r="C268" s="31" t="s">
        <v>1718</v>
      </c>
      <c r="D268" s="20" t="s">
        <v>1719</v>
      </c>
      <c r="E268" s="32" t="s">
        <v>1720</v>
      </c>
      <c r="F268" s="33" t="s">
        <v>42</v>
      </c>
      <c r="G268" s="23" t="s">
        <v>1721</v>
      </c>
      <c r="H268" s="24" t="s">
        <v>55</v>
      </c>
    </row>
    <row r="269" spans="1:12" ht="26.25" hidden="1" customHeight="1">
      <c r="A269" s="17">
        <f t="shared" si="0"/>
        <v>266</v>
      </c>
      <c r="B269" s="18" t="s">
        <v>81</v>
      </c>
      <c r="C269" s="31" t="s">
        <v>1724</v>
      </c>
      <c r="D269" s="20" t="s">
        <v>1725</v>
      </c>
      <c r="E269" s="32" t="s">
        <v>1726</v>
      </c>
      <c r="F269" s="33" t="s">
        <v>42</v>
      </c>
      <c r="G269" s="23" t="s">
        <v>1727</v>
      </c>
      <c r="H269" s="24" t="s">
        <v>55</v>
      </c>
    </row>
    <row r="270" spans="1:12" ht="26.25" customHeight="1">
      <c r="A270" s="17">
        <f t="shared" si="0"/>
        <v>267</v>
      </c>
      <c r="B270" s="18" t="s">
        <v>248</v>
      </c>
      <c r="C270" s="19" t="s">
        <v>1730</v>
      </c>
      <c r="D270" s="20" t="s">
        <v>1731</v>
      </c>
      <c r="E270" s="32" t="s">
        <v>5065</v>
      </c>
      <c r="F270" s="33" t="s">
        <v>42</v>
      </c>
      <c r="G270" s="23" t="s">
        <v>1733</v>
      </c>
      <c r="H270" s="24" t="s">
        <v>20</v>
      </c>
      <c r="J270" s="284" t="str">
        <f t="shared" ref="J270:J273" si="21">CONCATENATE(C270," │  ISSN:  ",D270," *")</f>
        <v>International Journal of Control │  ISSN:  0020-7179 *</v>
      </c>
      <c r="L270" s="243" t="s">
        <v>5190</v>
      </c>
    </row>
    <row r="271" spans="1:12" ht="26.25" customHeight="1">
      <c r="A271" s="17">
        <f t="shared" si="0"/>
        <v>268</v>
      </c>
      <c r="B271" s="18" t="s">
        <v>248</v>
      </c>
      <c r="C271" s="19" t="s">
        <v>1736</v>
      </c>
      <c r="D271" s="20" t="s">
        <v>1737</v>
      </c>
      <c r="E271" s="32" t="s">
        <v>52</v>
      </c>
      <c r="F271" s="33" t="s">
        <v>42</v>
      </c>
      <c r="G271" s="23" t="s">
        <v>1738</v>
      </c>
      <c r="H271" s="24" t="s">
        <v>20</v>
      </c>
      <c r="J271" s="284" t="str">
        <f t="shared" si="21"/>
        <v>International Journal of Crashworthiness │  ISSN:  1358-8265 *</v>
      </c>
      <c r="L271" s="243" t="s">
        <v>5191</v>
      </c>
    </row>
    <row r="272" spans="1:12" ht="26.25" customHeight="1">
      <c r="A272" s="17">
        <f t="shared" si="0"/>
        <v>269</v>
      </c>
      <c r="B272" s="18" t="s">
        <v>132</v>
      </c>
      <c r="C272" s="19" t="s">
        <v>1743</v>
      </c>
      <c r="D272" s="20" t="s">
        <v>1744</v>
      </c>
      <c r="E272" s="32" t="s">
        <v>52</v>
      </c>
      <c r="F272" s="22" t="s">
        <v>42</v>
      </c>
      <c r="G272" s="23" t="s">
        <v>1745</v>
      </c>
      <c r="H272" s="24" t="s">
        <v>20</v>
      </c>
      <c r="J272" s="284" t="str">
        <f t="shared" si="21"/>
        <v>International Journal of Damage Mechanics │  ISSN:  1056-7895 *</v>
      </c>
      <c r="L272" s="243" t="s">
        <v>5192</v>
      </c>
    </row>
    <row r="273" spans="1:12" ht="26.25" customHeight="1">
      <c r="A273" s="17">
        <f t="shared" si="0"/>
        <v>270</v>
      </c>
      <c r="B273" s="18" t="s">
        <v>132</v>
      </c>
      <c r="C273" s="19" t="s">
        <v>1748</v>
      </c>
      <c r="D273" s="20" t="s">
        <v>1749</v>
      </c>
      <c r="E273" s="32" t="s">
        <v>178</v>
      </c>
      <c r="F273" s="22" t="s">
        <v>42</v>
      </c>
      <c r="G273" s="23" t="s">
        <v>1750</v>
      </c>
      <c r="H273" s="24" t="s">
        <v>20</v>
      </c>
      <c r="J273" s="284" t="str">
        <f t="shared" si="21"/>
        <v>International Journal of Engine Research │  ISSN:  1468-0874 *</v>
      </c>
      <c r="L273" s="243" t="s">
        <v>5193</v>
      </c>
    </row>
    <row r="274" spans="1:12" ht="26.25" hidden="1" customHeight="1">
      <c r="A274" s="17">
        <f t="shared" si="0"/>
        <v>271</v>
      </c>
      <c r="B274" s="18" t="s">
        <v>132</v>
      </c>
      <c r="C274" s="31" t="s">
        <v>1753</v>
      </c>
      <c r="D274" s="20" t="s">
        <v>1755</v>
      </c>
      <c r="E274" s="32" t="s">
        <v>1756</v>
      </c>
      <c r="F274" s="22" t="s">
        <v>53</v>
      </c>
      <c r="G274" s="23" t="s">
        <v>1757</v>
      </c>
      <c r="H274" s="24" t="s">
        <v>55</v>
      </c>
    </row>
    <row r="275" spans="1:12" ht="26.25" hidden="1" customHeight="1">
      <c r="A275" s="17">
        <f t="shared" si="0"/>
        <v>272</v>
      </c>
      <c r="B275" s="18" t="s">
        <v>132</v>
      </c>
      <c r="C275" s="31" t="s">
        <v>391</v>
      </c>
      <c r="D275" s="20" t="s">
        <v>392</v>
      </c>
      <c r="E275" s="32" t="s">
        <v>1761</v>
      </c>
      <c r="F275" s="22" t="s">
        <v>42</v>
      </c>
      <c r="G275" s="23" t="s">
        <v>1762</v>
      </c>
      <c r="H275" s="24" t="s">
        <v>55</v>
      </c>
    </row>
    <row r="276" spans="1:12" ht="26.25" customHeight="1">
      <c r="A276" s="17">
        <f t="shared" si="0"/>
        <v>273</v>
      </c>
      <c r="B276" s="18" t="s">
        <v>105</v>
      </c>
      <c r="C276" s="19" t="s">
        <v>1765</v>
      </c>
      <c r="D276" s="20" t="s">
        <v>1766</v>
      </c>
      <c r="E276" s="32" t="s">
        <v>4957</v>
      </c>
      <c r="F276" s="33" t="s">
        <v>1290</v>
      </c>
      <c r="G276" s="23" t="s">
        <v>1767</v>
      </c>
      <c r="H276" s="24" t="s">
        <v>20</v>
      </c>
      <c r="J276" s="284" t="str">
        <f>CONCATENATE(C276," │  ISSN:  ",D276," *")</f>
        <v>International Journal of Geographical Information science │  ISSN:  1365-8816 *</v>
      </c>
      <c r="L276" s="243" t="s">
        <v>5194</v>
      </c>
    </row>
    <row r="277" spans="1:12" ht="26.25" hidden="1" customHeight="1">
      <c r="A277" s="17">
        <f t="shared" si="0"/>
        <v>274</v>
      </c>
      <c r="B277" s="18" t="s">
        <v>132</v>
      </c>
      <c r="C277" s="31" t="s">
        <v>1041</v>
      </c>
      <c r="D277" s="20" t="s">
        <v>1043</v>
      </c>
      <c r="E277" s="32" t="s">
        <v>170</v>
      </c>
      <c r="F277" s="22" t="s">
        <v>31</v>
      </c>
      <c r="G277" s="23" t="s">
        <v>1771</v>
      </c>
      <c r="H277" s="24" t="s">
        <v>55</v>
      </c>
    </row>
    <row r="278" spans="1:12" ht="26.25" hidden="1" customHeight="1">
      <c r="A278" s="17">
        <f t="shared" si="0"/>
        <v>275</v>
      </c>
      <c r="B278" s="18" t="s">
        <v>81</v>
      </c>
      <c r="C278" s="31" t="s">
        <v>1775</v>
      </c>
      <c r="D278" s="20" t="s">
        <v>1777</v>
      </c>
      <c r="E278" s="32" t="s">
        <v>222</v>
      </c>
      <c r="F278" s="33" t="s">
        <v>42</v>
      </c>
      <c r="G278" s="23" t="s">
        <v>1778</v>
      </c>
      <c r="H278" s="24" t="s">
        <v>55</v>
      </c>
    </row>
    <row r="279" spans="1:12" ht="26.25" customHeight="1">
      <c r="A279" s="17">
        <f t="shared" si="0"/>
        <v>276</v>
      </c>
      <c r="B279" s="18" t="s">
        <v>81</v>
      </c>
      <c r="C279" s="31" t="s">
        <v>1782</v>
      </c>
      <c r="D279" s="20" t="s">
        <v>1784</v>
      </c>
      <c r="E279" s="21" t="s">
        <v>186</v>
      </c>
      <c r="F279" s="33" t="s">
        <v>1086</v>
      </c>
      <c r="G279" s="23" t="s">
        <v>1785</v>
      </c>
      <c r="H279" s="34" t="s">
        <v>20</v>
      </c>
      <c r="J279" s="284" t="str">
        <f t="shared" ref="J279:J280" si="22">CONCATENATE(C279," │  ISSN:  ",D279," *")</f>
        <v>International Journal of Innovative Computing, Information and Control │  ISSN:  1349-4198 *</v>
      </c>
      <c r="L279" s="243" t="s">
        <v>5195</v>
      </c>
    </row>
    <row r="280" spans="1:12" ht="26.25" customHeight="1">
      <c r="A280" s="17">
        <f t="shared" si="0"/>
        <v>277</v>
      </c>
      <c r="B280" s="18" t="s">
        <v>132</v>
      </c>
      <c r="C280" s="19" t="s">
        <v>1788</v>
      </c>
      <c r="D280" s="20" t="s">
        <v>1790</v>
      </c>
      <c r="E280" s="32" t="s">
        <v>52</v>
      </c>
      <c r="F280" s="22" t="s">
        <v>31</v>
      </c>
      <c r="G280" s="23" t="s">
        <v>1791</v>
      </c>
      <c r="H280" s="24" t="s">
        <v>20</v>
      </c>
      <c r="J280" s="284" t="str">
        <f t="shared" si="22"/>
        <v>International Journal of Materials and Product Technology │  ISSN:  0268-1900 *</v>
      </c>
      <c r="L280" s="243" t="s">
        <v>5196</v>
      </c>
    </row>
    <row r="281" spans="1:12" ht="26.25" hidden="1" customHeight="1">
      <c r="A281" s="17">
        <f t="shared" si="0"/>
        <v>278</v>
      </c>
      <c r="B281" s="18" t="s">
        <v>248</v>
      </c>
      <c r="C281" s="31" t="s">
        <v>1047</v>
      </c>
      <c r="D281" s="20" t="s">
        <v>1048</v>
      </c>
      <c r="E281" s="32" t="s">
        <v>962</v>
      </c>
      <c r="F281" s="33" t="s">
        <v>53</v>
      </c>
      <c r="G281" s="23" t="s">
        <v>1795</v>
      </c>
      <c r="H281" s="24" t="s">
        <v>55</v>
      </c>
    </row>
    <row r="282" spans="1:12" ht="26.25" hidden="1" customHeight="1">
      <c r="A282" s="17">
        <f t="shared" si="0"/>
        <v>279</v>
      </c>
      <c r="B282" s="18" t="s">
        <v>37</v>
      </c>
      <c r="C282" s="33" t="s">
        <v>1054</v>
      </c>
      <c r="D282" s="84" t="s">
        <v>1056</v>
      </c>
      <c r="E282" s="44">
        <v>2019</v>
      </c>
      <c r="F282" s="22" t="s">
        <v>42</v>
      </c>
      <c r="G282" s="59" t="s">
        <v>1799</v>
      </c>
      <c r="H282" s="24" t="s">
        <v>55</v>
      </c>
    </row>
    <row r="283" spans="1:12" ht="26.25" customHeight="1">
      <c r="A283" s="17">
        <f t="shared" si="0"/>
        <v>280</v>
      </c>
      <c r="B283" s="18" t="s">
        <v>37</v>
      </c>
      <c r="C283" s="19" t="s">
        <v>1803</v>
      </c>
      <c r="D283" s="20" t="s">
        <v>1805</v>
      </c>
      <c r="E283" s="32" t="s">
        <v>178</v>
      </c>
      <c r="F283" s="22" t="s">
        <v>42</v>
      </c>
      <c r="G283" s="23" t="s">
        <v>1806</v>
      </c>
      <c r="H283" s="24" t="s">
        <v>20</v>
      </c>
      <c r="J283" s="284" t="str">
        <f>CONCATENATE(C283," │  ISSN:  ",D283," *")</f>
        <v>International Journal of Metalcasting │  ISSN:  1939-5981 *</v>
      </c>
      <c r="L283" s="243" t="s">
        <v>5197</v>
      </c>
    </row>
    <row r="284" spans="1:12" ht="26.25" hidden="1" customHeight="1">
      <c r="A284" s="17">
        <f t="shared" si="0"/>
        <v>281</v>
      </c>
      <c r="B284" s="18" t="s">
        <v>132</v>
      </c>
      <c r="C284" s="31" t="s">
        <v>1061</v>
      </c>
      <c r="D284" s="20" t="s">
        <v>1062</v>
      </c>
      <c r="E284" s="32" t="s">
        <v>62</v>
      </c>
      <c r="F284" s="22" t="s">
        <v>53</v>
      </c>
      <c r="G284" s="23" t="s">
        <v>1810</v>
      </c>
      <c r="H284" s="24" t="s">
        <v>55</v>
      </c>
    </row>
    <row r="285" spans="1:12" ht="26.25" customHeight="1">
      <c r="A285" s="17">
        <f t="shared" si="0"/>
        <v>282</v>
      </c>
      <c r="B285" s="18" t="s">
        <v>37</v>
      </c>
      <c r="C285" s="19" t="s">
        <v>1814</v>
      </c>
      <c r="D285" s="20" t="s">
        <v>1815</v>
      </c>
      <c r="E285" s="32" t="s">
        <v>178</v>
      </c>
      <c r="F285" s="22" t="s">
        <v>31</v>
      </c>
      <c r="G285" s="23" t="s">
        <v>1816</v>
      </c>
      <c r="H285" s="24" t="s">
        <v>20</v>
      </c>
      <c r="J285" s="284" t="str">
        <f t="shared" ref="J285:J286" si="23">CONCATENATE(C285," │  ISSN:  ",D285," *")</f>
        <v>International Journal of Nanotechnology │  ISSN:  1475-7435 *</v>
      </c>
      <c r="L285" s="243" t="s">
        <v>5198</v>
      </c>
    </row>
    <row r="286" spans="1:12" ht="26.25" customHeight="1">
      <c r="A286" s="17">
        <f t="shared" si="0"/>
        <v>283</v>
      </c>
      <c r="B286" s="18" t="s">
        <v>146</v>
      </c>
      <c r="C286" s="19" t="s">
        <v>1820</v>
      </c>
      <c r="D286" s="20" t="s">
        <v>1822</v>
      </c>
      <c r="E286" s="32" t="s">
        <v>178</v>
      </c>
      <c r="F286" s="33" t="s">
        <v>42</v>
      </c>
      <c r="G286" s="23" t="s">
        <v>1823</v>
      </c>
      <c r="H286" s="24" t="s">
        <v>20</v>
      </c>
      <c r="J286" s="284" t="str">
        <f t="shared" si="23"/>
        <v>International Journal of Offshore and Polar Engineering │  ISSN:  1053-5381 *</v>
      </c>
      <c r="L286" s="243" t="s">
        <v>5199</v>
      </c>
    </row>
    <row r="287" spans="1:12" ht="26.25" hidden="1" customHeight="1">
      <c r="A287" s="17">
        <f t="shared" si="0"/>
        <v>284</v>
      </c>
      <c r="B287" s="18" t="s">
        <v>132</v>
      </c>
      <c r="C287" s="31" t="s">
        <v>254</v>
      </c>
      <c r="D287" s="20" t="s">
        <v>256</v>
      </c>
      <c r="E287" s="32" t="s">
        <v>62</v>
      </c>
      <c r="F287" s="22" t="s">
        <v>42</v>
      </c>
      <c r="G287" s="23" t="s">
        <v>1827</v>
      </c>
      <c r="H287" s="24" t="s">
        <v>55</v>
      </c>
    </row>
    <row r="288" spans="1:12" ht="26.25" customHeight="1">
      <c r="A288" s="17">
        <f t="shared" si="0"/>
        <v>285</v>
      </c>
      <c r="B288" s="18" t="s">
        <v>27</v>
      </c>
      <c r="C288" s="19" t="s">
        <v>1831</v>
      </c>
      <c r="D288" s="20" t="s">
        <v>1832</v>
      </c>
      <c r="E288" s="32" t="s">
        <v>178</v>
      </c>
      <c r="F288" s="22" t="s">
        <v>42</v>
      </c>
      <c r="G288" s="23" t="s">
        <v>1833</v>
      </c>
      <c r="H288" s="24" t="s">
        <v>20</v>
      </c>
      <c r="J288" s="284" t="str">
        <f t="shared" ref="J288:J289" si="24">CONCATENATE(C288," │  ISSN:  ",D288," *")</f>
        <v>International Journal of Polymer Analysis and Characterization │  ISSN:  1023-666X *</v>
      </c>
      <c r="L288" s="243" t="s">
        <v>5200</v>
      </c>
    </row>
    <row r="289" spans="1:12" ht="26.25" customHeight="1">
      <c r="A289" s="17">
        <f t="shared" si="0"/>
        <v>286</v>
      </c>
      <c r="B289" s="18" t="s">
        <v>37</v>
      </c>
      <c r="C289" s="19" t="s">
        <v>1837</v>
      </c>
      <c r="D289" s="20" t="s">
        <v>1839</v>
      </c>
      <c r="E289" s="32" t="s">
        <v>178</v>
      </c>
      <c r="F289" s="22" t="s">
        <v>31</v>
      </c>
      <c r="G289" s="23" t="s">
        <v>1840</v>
      </c>
      <c r="H289" s="24" t="s">
        <v>20</v>
      </c>
      <c r="J289" s="284" t="str">
        <f t="shared" si="24"/>
        <v>International Journal of Powder Metallurgy │  ISSN:  0888-7462 *</v>
      </c>
      <c r="L289" s="243" t="s">
        <v>5201</v>
      </c>
    </row>
    <row r="290" spans="1:12" ht="26.25" hidden="1" customHeight="1">
      <c r="A290" s="17">
        <f t="shared" si="0"/>
        <v>287</v>
      </c>
      <c r="B290" s="18" t="s">
        <v>48</v>
      </c>
      <c r="C290" s="31" t="s">
        <v>1844</v>
      </c>
      <c r="D290" s="20" t="s">
        <v>1069</v>
      </c>
      <c r="E290" s="32" t="s">
        <v>1845</v>
      </c>
      <c r="F290" s="33" t="s">
        <v>1846</v>
      </c>
      <c r="G290" s="23" t="s">
        <v>1847</v>
      </c>
      <c r="H290" s="24" t="s">
        <v>55</v>
      </c>
    </row>
    <row r="291" spans="1:12" ht="26.25" hidden="1" customHeight="1">
      <c r="A291" s="17">
        <f t="shared" si="0"/>
        <v>288</v>
      </c>
      <c r="B291" s="18" t="s">
        <v>13</v>
      </c>
      <c r="C291" s="31" t="s">
        <v>1851</v>
      </c>
      <c r="D291" s="20" t="s">
        <v>1852</v>
      </c>
      <c r="E291" s="32" t="s">
        <v>1853</v>
      </c>
      <c r="F291" s="22" t="s">
        <v>42</v>
      </c>
      <c r="G291" s="23" t="s">
        <v>1854</v>
      </c>
      <c r="H291" s="24" t="s">
        <v>55</v>
      </c>
    </row>
    <row r="292" spans="1:12" ht="26.25" hidden="1" customHeight="1">
      <c r="A292" s="17">
        <f t="shared" si="0"/>
        <v>289</v>
      </c>
      <c r="B292" s="18" t="s">
        <v>81</v>
      </c>
      <c r="C292" s="31" t="s">
        <v>1858</v>
      </c>
      <c r="D292" s="20" t="s">
        <v>1860</v>
      </c>
      <c r="E292" s="32" t="s">
        <v>416</v>
      </c>
      <c r="F292" s="33" t="s">
        <v>42</v>
      </c>
      <c r="G292" s="23" t="s">
        <v>1861</v>
      </c>
      <c r="H292" s="24" t="s">
        <v>55</v>
      </c>
    </row>
    <row r="293" spans="1:12" ht="26.25" hidden="1" customHeight="1">
      <c r="A293" s="17">
        <f t="shared" si="0"/>
        <v>290</v>
      </c>
      <c r="B293" s="18" t="s">
        <v>81</v>
      </c>
      <c r="C293" s="31" t="s">
        <v>557</v>
      </c>
      <c r="D293" s="20" t="s">
        <v>559</v>
      </c>
      <c r="E293" s="32" t="s">
        <v>1865</v>
      </c>
      <c r="F293" s="33" t="s">
        <v>42</v>
      </c>
      <c r="G293" s="23" t="s">
        <v>1866</v>
      </c>
      <c r="H293" s="24" t="s">
        <v>55</v>
      </c>
    </row>
    <row r="294" spans="1:12" ht="26.25" hidden="1" customHeight="1">
      <c r="A294" s="17">
        <f t="shared" si="0"/>
        <v>291</v>
      </c>
      <c r="B294" s="18" t="s">
        <v>105</v>
      </c>
      <c r="C294" s="31" t="s">
        <v>1870</v>
      </c>
      <c r="D294" s="20" t="s">
        <v>500</v>
      </c>
      <c r="E294" s="32" t="s">
        <v>1871</v>
      </c>
      <c r="F294" s="33" t="s">
        <v>350</v>
      </c>
      <c r="G294" s="23" t="s">
        <v>1872</v>
      </c>
      <c r="H294" s="24" t="s">
        <v>55</v>
      </c>
    </row>
    <row r="295" spans="1:12" ht="26.25" hidden="1" customHeight="1">
      <c r="A295" s="17">
        <f t="shared" si="0"/>
        <v>292</v>
      </c>
      <c r="B295" s="18" t="s">
        <v>105</v>
      </c>
      <c r="C295" s="31" t="s">
        <v>1876</v>
      </c>
      <c r="D295" s="20" t="s">
        <v>1877</v>
      </c>
      <c r="E295" s="32">
        <v>2017</v>
      </c>
      <c r="F295" s="33" t="s">
        <v>1086</v>
      </c>
      <c r="G295" s="23" t="s">
        <v>1878</v>
      </c>
      <c r="H295" s="24" t="s">
        <v>55</v>
      </c>
    </row>
    <row r="296" spans="1:12" ht="26.25" hidden="1" customHeight="1">
      <c r="A296" s="17">
        <f t="shared" si="0"/>
        <v>293</v>
      </c>
      <c r="B296" s="18" t="s">
        <v>132</v>
      </c>
      <c r="C296" s="31" t="s">
        <v>1882</v>
      </c>
      <c r="D296" s="20" t="s">
        <v>1883</v>
      </c>
      <c r="E296" s="32" t="s">
        <v>222</v>
      </c>
      <c r="F296" s="22" t="s">
        <v>42</v>
      </c>
      <c r="G296" s="23" t="s">
        <v>1884</v>
      </c>
      <c r="H296" s="24" t="s">
        <v>55</v>
      </c>
    </row>
    <row r="297" spans="1:12" ht="26.25" hidden="1" customHeight="1">
      <c r="A297" s="17">
        <f t="shared" si="0"/>
        <v>294</v>
      </c>
      <c r="B297" s="18" t="s">
        <v>248</v>
      </c>
      <c r="C297" s="31" t="s">
        <v>1887</v>
      </c>
      <c r="D297" s="20" t="s">
        <v>1888</v>
      </c>
      <c r="E297" s="32" t="s">
        <v>1889</v>
      </c>
      <c r="F297" s="33" t="s">
        <v>42</v>
      </c>
      <c r="G297" s="23" t="s">
        <v>1890</v>
      </c>
      <c r="H297" s="24" t="s">
        <v>55</v>
      </c>
    </row>
    <row r="298" spans="1:12" ht="26.25" customHeight="1">
      <c r="A298" s="17">
        <f t="shared" si="0"/>
        <v>295</v>
      </c>
      <c r="B298" s="18" t="s">
        <v>248</v>
      </c>
      <c r="C298" s="19" t="s">
        <v>1891</v>
      </c>
      <c r="D298" s="20" t="s">
        <v>1892</v>
      </c>
      <c r="E298" s="32" t="s">
        <v>52</v>
      </c>
      <c r="F298" s="33" t="s">
        <v>1893</v>
      </c>
      <c r="G298" s="23" t="s">
        <v>1894</v>
      </c>
      <c r="H298" s="24" t="s">
        <v>20</v>
      </c>
      <c r="J298" s="284" t="str">
        <f t="shared" ref="J298:J303" si="25">CONCATENATE(C298," │  ISSN:  ",D298," *")</f>
        <v>International Journal of Technology Management │  ISSN:  0267-5730 *</v>
      </c>
      <c r="L298" s="243" t="s">
        <v>5202</v>
      </c>
    </row>
    <row r="299" spans="1:12" ht="26.25" customHeight="1">
      <c r="A299" s="17">
        <f t="shared" si="0"/>
        <v>296</v>
      </c>
      <c r="B299" s="18" t="s">
        <v>233</v>
      </c>
      <c r="C299" s="19" t="s">
        <v>1895</v>
      </c>
      <c r="D299" s="20" t="s">
        <v>1896</v>
      </c>
      <c r="E299" s="32" t="s">
        <v>52</v>
      </c>
      <c r="F299" s="22" t="s">
        <v>42</v>
      </c>
      <c r="G299" s="23" t="s">
        <v>1897</v>
      </c>
      <c r="H299" s="24" t="s">
        <v>20</v>
      </c>
      <c r="J299" s="284" t="str">
        <f t="shared" si="25"/>
        <v>International Journal of Turbo and Jet Engines │  ISSN:  0334-0082 *</v>
      </c>
      <c r="L299" s="243" t="s">
        <v>5203</v>
      </c>
    </row>
    <row r="300" spans="1:12" ht="26.25" customHeight="1">
      <c r="A300" s="17">
        <f t="shared" si="0"/>
        <v>297</v>
      </c>
      <c r="B300" s="18" t="s">
        <v>132</v>
      </c>
      <c r="C300" s="19" t="s">
        <v>1898</v>
      </c>
      <c r="D300" s="20" t="s">
        <v>1899</v>
      </c>
      <c r="E300" s="32" t="s">
        <v>52</v>
      </c>
      <c r="F300" s="22" t="s">
        <v>31</v>
      </c>
      <c r="G300" s="23" t="s">
        <v>1900</v>
      </c>
      <c r="H300" s="24" t="s">
        <v>20</v>
      </c>
      <c r="J300" s="284" t="str">
        <f t="shared" si="25"/>
        <v>International Journal of Vehicle Design │  ISSN:  0143-3369 *</v>
      </c>
      <c r="L300" s="243" t="s">
        <v>5204</v>
      </c>
    </row>
    <row r="301" spans="1:12" ht="26.25" customHeight="1">
      <c r="A301" s="17">
        <f t="shared" si="0"/>
        <v>298</v>
      </c>
      <c r="B301" s="18" t="s">
        <v>13</v>
      </c>
      <c r="C301" s="19" t="s">
        <v>1901</v>
      </c>
      <c r="D301" s="20" t="s">
        <v>1902</v>
      </c>
      <c r="E301" s="32" t="s">
        <v>186</v>
      </c>
      <c r="F301" s="22" t="s">
        <v>42</v>
      </c>
      <c r="G301" s="23" t="s">
        <v>1903</v>
      </c>
      <c r="H301" s="24" t="s">
        <v>20</v>
      </c>
      <c r="J301" s="284" t="str">
        <f t="shared" si="25"/>
        <v>International Journal of Ventilation │  ISSN:  1473-3315 *</v>
      </c>
      <c r="L301" s="243" t="s">
        <v>5205</v>
      </c>
    </row>
    <row r="302" spans="1:12" ht="26.25" customHeight="1">
      <c r="A302" s="17">
        <f t="shared" si="0"/>
        <v>299</v>
      </c>
      <c r="B302" s="18" t="s">
        <v>1197</v>
      </c>
      <c r="C302" s="19" t="s">
        <v>1904</v>
      </c>
      <c r="D302" s="20" t="s">
        <v>1905</v>
      </c>
      <c r="E302" s="32" t="s">
        <v>178</v>
      </c>
      <c r="F302" s="33" t="s">
        <v>42</v>
      </c>
      <c r="G302" s="23" t="s">
        <v>1906</v>
      </c>
      <c r="H302" s="24" t="s">
        <v>20</v>
      </c>
      <c r="J302" s="284" t="str">
        <f t="shared" si="25"/>
        <v>International Journal of Water Resources Development │  ISSN:  0790-0627 *</v>
      </c>
      <c r="L302" s="243" t="s">
        <v>5206</v>
      </c>
    </row>
    <row r="303" spans="1:12" ht="26.25" customHeight="1">
      <c r="A303" s="17">
        <f t="shared" si="0"/>
        <v>300</v>
      </c>
      <c r="B303" s="18" t="s">
        <v>37</v>
      </c>
      <c r="C303" s="19" t="s">
        <v>1907</v>
      </c>
      <c r="D303" s="20" t="s">
        <v>1908</v>
      </c>
      <c r="E303" s="32" t="s">
        <v>5007</v>
      </c>
      <c r="F303" s="22" t="s">
        <v>42</v>
      </c>
      <c r="G303" s="23" t="s">
        <v>1910</v>
      </c>
      <c r="H303" s="24" t="s">
        <v>20</v>
      </c>
      <c r="J303" s="284" t="str">
        <f t="shared" si="25"/>
        <v>International Materials Reviews │  ISSN:  0950-6608 *</v>
      </c>
      <c r="L303" s="243" t="s">
        <v>5207</v>
      </c>
    </row>
    <row r="304" spans="1:12" ht="26.25" hidden="1" customHeight="1">
      <c r="A304" s="17">
        <f t="shared" si="0"/>
        <v>301</v>
      </c>
      <c r="B304" s="18" t="s">
        <v>1375</v>
      </c>
      <c r="C304" s="31" t="s">
        <v>1911</v>
      </c>
      <c r="D304" s="20" t="s">
        <v>1912</v>
      </c>
      <c r="E304" s="32" t="s">
        <v>1913</v>
      </c>
      <c r="F304" s="22" t="s">
        <v>1086</v>
      </c>
      <c r="G304" s="23" t="s">
        <v>1914</v>
      </c>
      <c r="H304" s="24" t="s">
        <v>55</v>
      </c>
    </row>
    <row r="305" spans="1:12" ht="26.25" customHeight="1">
      <c r="A305" s="17">
        <f t="shared" si="0"/>
        <v>302</v>
      </c>
      <c r="B305" s="18" t="s">
        <v>81</v>
      </c>
      <c r="C305" s="19" t="s">
        <v>1915</v>
      </c>
      <c r="D305" s="20" t="s">
        <v>1916</v>
      </c>
      <c r="E305" s="32" t="s">
        <v>52</v>
      </c>
      <c r="F305" s="33" t="s">
        <v>42</v>
      </c>
      <c r="G305" s="23" t="s">
        <v>1917</v>
      </c>
      <c r="H305" s="24" t="s">
        <v>20</v>
      </c>
      <c r="J305" s="284" t="str">
        <f>CONCATENATE(C305," │  ISSN:  ",D305," *")</f>
        <v>Inverse Problems in science and Engineering │  ISSN:  1741-5977 *</v>
      </c>
      <c r="L305" s="243" t="s">
        <v>5208</v>
      </c>
    </row>
    <row r="306" spans="1:12" ht="26.25" hidden="1" customHeight="1">
      <c r="A306" s="17">
        <f t="shared" si="0"/>
        <v>303</v>
      </c>
      <c r="B306" s="18" t="s">
        <v>105</v>
      </c>
      <c r="C306" s="31" t="s">
        <v>1918</v>
      </c>
      <c r="D306" s="20" t="s">
        <v>1920</v>
      </c>
      <c r="E306" s="32" t="s">
        <v>1921</v>
      </c>
      <c r="F306" s="33" t="s">
        <v>42</v>
      </c>
      <c r="G306" s="23" t="s">
        <v>1922</v>
      </c>
      <c r="H306" s="24" t="s">
        <v>55</v>
      </c>
    </row>
    <row r="307" spans="1:12" ht="26.25" customHeight="1">
      <c r="A307" s="17">
        <f t="shared" si="0"/>
        <v>304</v>
      </c>
      <c r="B307" s="18" t="s">
        <v>248</v>
      </c>
      <c r="C307" s="31" t="s">
        <v>1923</v>
      </c>
      <c r="D307" s="20" t="s">
        <v>1924</v>
      </c>
      <c r="E307" s="21" t="s">
        <v>5066</v>
      </c>
      <c r="F307" s="33" t="s">
        <v>31</v>
      </c>
      <c r="G307" s="23" t="s">
        <v>1926</v>
      </c>
      <c r="H307" s="34" t="s">
        <v>20</v>
      </c>
      <c r="J307" s="284" t="str">
        <f>CONCATENATE(C307," │  ISSN:  ",D307," *")</f>
        <v>Japanese Journal of Applied Physics │  ISSN:  0021-4922 *</v>
      </c>
      <c r="L307" s="243" t="s">
        <v>5209</v>
      </c>
    </row>
    <row r="308" spans="1:12" ht="26.25" hidden="1" customHeight="1">
      <c r="A308" s="17">
        <f t="shared" si="0"/>
        <v>305</v>
      </c>
      <c r="B308" s="18" t="s">
        <v>175</v>
      </c>
      <c r="C308" s="31" t="s">
        <v>1927</v>
      </c>
      <c r="D308" s="20" t="s">
        <v>1929</v>
      </c>
      <c r="E308" s="32" t="s">
        <v>1930</v>
      </c>
      <c r="F308" s="33" t="s">
        <v>63</v>
      </c>
      <c r="G308" s="23" t="s">
        <v>1931</v>
      </c>
      <c r="H308" s="24" t="s">
        <v>55</v>
      </c>
    </row>
    <row r="309" spans="1:12" ht="26.25" hidden="1" customHeight="1">
      <c r="A309" s="17">
        <f t="shared" si="0"/>
        <v>306</v>
      </c>
      <c r="B309" s="64" t="s">
        <v>37</v>
      </c>
      <c r="C309" s="85" t="s">
        <v>1932</v>
      </c>
      <c r="D309" s="20" t="s">
        <v>966</v>
      </c>
      <c r="E309" s="32" t="s">
        <v>1033</v>
      </c>
      <c r="F309" s="22" t="s">
        <v>31</v>
      </c>
      <c r="G309" s="23" t="s">
        <v>1933</v>
      </c>
      <c r="H309" s="24" t="s">
        <v>55</v>
      </c>
    </row>
    <row r="310" spans="1:12" ht="26.25" hidden="1" customHeight="1">
      <c r="A310" s="17">
        <f t="shared" si="0"/>
        <v>307</v>
      </c>
      <c r="B310" s="86" t="s">
        <v>27</v>
      </c>
      <c r="C310" s="31" t="s">
        <v>1934</v>
      </c>
      <c r="D310" s="20" t="s">
        <v>530</v>
      </c>
      <c r="E310" s="32" t="s">
        <v>918</v>
      </c>
      <c r="F310" s="22" t="s">
        <v>53</v>
      </c>
      <c r="G310" s="23" t="s">
        <v>1936</v>
      </c>
      <c r="H310" s="24" t="s">
        <v>55</v>
      </c>
    </row>
    <row r="311" spans="1:12" ht="26.25" hidden="1" customHeight="1">
      <c r="A311" s="17">
        <f t="shared" si="0"/>
        <v>308</v>
      </c>
      <c r="B311" s="86" t="s">
        <v>1197</v>
      </c>
      <c r="C311" s="31" t="s">
        <v>1937</v>
      </c>
      <c r="D311" s="20" t="s">
        <v>90</v>
      </c>
      <c r="E311" s="32" t="s">
        <v>1938</v>
      </c>
      <c r="F311" s="33" t="s">
        <v>31</v>
      </c>
      <c r="G311" s="23" t="s">
        <v>1939</v>
      </c>
      <c r="H311" s="24" t="s">
        <v>55</v>
      </c>
    </row>
    <row r="312" spans="1:12" ht="26.25" customHeight="1">
      <c r="A312" s="17">
        <f t="shared" si="0"/>
        <v>309</v>
      </c>
      <c r="B312" s="18" t="s">
        <v>37</v>
      </c>
      <c r="C312" s="87" t="s">
        <v>1940</v>
      </c>
      <c r="D312" s="20" t="s">
        <v>1941</v>
      </c>
      <c r="E312" s="32" t="s">
        <v>5008</v>
      </c>
      <c r="F312" s="22" t="s">
        <v>42</v>
      </c>
      <c r="G312" s="23" t="s">
        <v>1943</v>
      </c>
      <c r="H312" s="24" t="s">
        <v>20</v>
      </c>
      <c r="J312" s="284" t="str">
        <f>CONCATENATE(C312," │  ISSN:  ",D312," *")</f>
        <v>JOM │  ISSN:  1047-4838 *</v>
      </c>
      <c r="L312" s="243" t="s">
        <v>5210</v>
      </c>
    </row>
    <row r="313" spans="1:12" ht="26.25" hidden="1" customHeight="1">
      <c r="A313" s="17">
        <f t="shared" si="0"/>
        <v>310</v>
      </c>
      <c r="B313" s="18" t="s">
        <v>37</v>
      </c>
      <c r="C313" s="31" t="s">
        <v>1944</v>
      </c>
      <c r="D313" s="20" t="s">
        <v>1946</v>
      </c>
      <c r="E313" s="32" t="s">
        <v>1947</v>
      </c>
      <c r="F313" s="22" t="s">
        <v>42</v>
      </c>
      <c r="G313" s="23" t="s">
        <v>1948</v>
      </c>
      <c r="H313" s="24" t="s">
        <v>55</v>
      </c>
    </row>
    <row r="314" spans="1:12" ht="26.25" hidden="1" customHeight="1">
      <c r="A314" s="17">
        <f t="shared" si="0"/>
        <v>311</v>
      </c>
      <c r="B314" s="18" t="s">
        <v>105</v>
      </c>
      <c r="C314" s="31" t="s">
        <v>1949</v>
      </c>
      <c r="D314" s="20" t="s">
        <v>1951</v>
      </c>
      <c r="E314" s="32" t="s">
        <v>1952</v>
      </c>
      <c r="F314" s="33" t="s">
        <v>42</v>
      </c>
      <c r="G314" s="23" t="s">
        <v>1953</v>
      </c>
      <c r="H314" s="24" t="s">
        <v>55</v>
      </c>
    </row>
    <row r="315" spans="1:12" ht="26.25" hidden="1" customHeight="1">
      <c r="A315" s="17">
        <f t="shared" si="0"/>
        <v>312</v>
      </c>
      <c r="B315" s="18" t="s">
        <v>867</v>
      </c>
      <c r="C315" s="31" t="s">
        <v>1954</v>
      </c>
      <c r="D315" s="20" t="s">
        <v>1956</v>
      </c>
      <c r="E315" s="32" t="s">
        <v>1957</v>
      </c>
      <c r="F315" s="33" t="s">
        <v>42</v>
      </c>
      <c r="G315" s="23" t="s">
        <v>1958</v>
      </c>
      <c r="H315" s="24" t="s">
        <v>55</v>
      </c>
    </row>
    <row r="316" spans="1:12" ht="26.25" hidden="1" customHeight="1">
      <c r="A316" s="17">
        <f t="shared" si="0"/>
        <v>313</v>
      </c>
      <c r="B316" s="18" t="s">
        <v>1368</v>
      </c>
      <c r="C316" s="31" t="s">
        <v>1959</v>
      </c>
      <c r="D316" s="20" t="s">
        <v>1072</v>
      </c>
      <c r="E316" s="32" t="s">
        <v>1960</v>
      </c>
      <c r="F316" s="33" t="s">
        <v>18</v>
      </c>
      <c r="G316" s="23" t="s">
        <v>1961</v>
      </c>
      <c r="H316" s="24" t="s">
        <v>55</v>
      </c>
    </row>
    <row r="317" spans="1:12" ht="26.25" hidden="1" customHeight="1">
      <c r="A317" s="17">
        <f t="shared" si="0"/>
        <v>314</v>
      </c>
      <c r="B317" s="18" t="s">
        <v>1197</v>
      </c>
      <c r="C317" s="31" t="s">
        <v>1962</v>
      </c>
      <c r="D317" s="20" t="s">
        <v>1964</v>
      </c>
      <c r="E317" s="32" t="s">
        <v>1965</v>
      </c>
      <c r="F317" s="33" t="s">
        <v>53</v>
      </c>
      <c r="G317" s="23" t="s">
        <v>1966</v>
      </c>
      <c r="H317" s="24" t="s">
        <v>55</v>
      </c>
    </row>
    <row r="318" spans="1:12" ht="26.25" customHeight="1">
      <c r="A318" s="17">
        <f t="shared" si="0"/>
        <v>315</v>
      </c>
      <c r="B318" s="18" t="s">
        <v>81</v>
      </c>
      <c r="C318" s="31" t="s">
        <v>1967</v>
      </c>
      <c r="D318" s="20" t="s">
        <v>1969</v>
      </c>
      <c r="E318" s="21" t="s">
        <v>2705</v>
      </c>
      <c r="F318" s="33" t="s">
        <v>53</v>
      </c>
      <c r="G318" s="23" t="s">
        <v>1971</v>
      </c>
      <c r="H318" s="34" t="s">
        <v>20</v>
      </c>
      <c r="J318" s="284" t="str">
        <f>CONCATENATE(C318," │  ISSN:  ",D318," *")</f>
        <v>Journal- Japanese Society for Artificial Intelligence │  ISSN:  0912-8085 *</v>
      </c>
      <c r="L318" s="243" t="s">
        <v>5211</v>
      </c>
    </row>
    <row r="319" spans="1:12" ht="26.25" hidden="1" customHeight="1">
      <c r="A319" s="17">
        <f t="shared" si="0"/>
        <v>316</v>
      </c>
      <c r="B319" s="18" t="s">
        <v>105</v>
      </c>
      <c r="C319" s="31" t="s">
        <v>1972</v>
      </c>
      <c r="D319" s="20" t="s">
        <v>1974</v>
      </c>
      <c r="E319" s="32" t="s">
        <v>209</v>
      </c>
      <c r="F319" s="33" t="s">
        <v>53</v>
      </c>
      <c r="G319" s="23" t="s">
        <v>1975</v>
      </c>
      <c r="H319" s="24" t="s">
        <v>55</v>
      </c>
    </row>
    <row r="320" spans="1:12" ht="26.25" customHeight="1">
      <c r="A320" s="17">
        <f t="shared" si="0"/>
        <v>317</v>
      </c>
      <c r="B320" s="18" t="s">
        <v>37</v>
      </c>
      <c r="C320" s="19" t="s">
        <v>1976</v>
      </c>
      <c r="D320" s="20" t="s">
        <v>1977</v>
      </c>
      <c r="E320" s="32" t="s">
        <v>52</v>
      </c>
      <c r="F320" s="22" t="s">
        <v>42</v>
      </c>
      <c r="G320" s="23" t="s">
        <v>1978</v>
      </c>
      <c r="H320" s="24" t="s">
        <v>20</v>
      </c>
      <c r="J320" s="284" t="str">
        <f>CONCATENATE(C320," │  ISSN:  ",D320," *")</f>
        <v>Journal of Adhesion science and Technology │  ISSN:  0169-4243 *</v>
      </c>
      <c r="L320" s="243" t="s">
        <v>5212</v>
      </c>
    </row>
    <row r="321" spans="1:12" ht="26.25" hidden="1" customHeight="1">
      <c r="A321" s="17">
        <f t="shared" si="0"/>
        <v>318</v>
      </c>
      <c r="B321" s="18" t="s">
        <v>37</v>
      </c>
      <c r="C321" s="88" t="s">
        <v>1979</v>
      </c>
      <c r="D321" s="20" t="s">
        <v>1981</v>
      </c>
      <c r="E321" s="32" t="s">
        <v>416</v>
      </c>
      <c r="F321" s="22" t="s">
        <v>53</v>
      </c>
      <c r="G321" s="23" t="s">
        <v>1982</v>
      </c>
      <c r="H321" s="24" t="s">
        <v>55</v>
      </c>
    </row>
    <row r="322" spans="1:12" ht="26.25" hidden="1" customHeight="1">
      <c r="A322" s="17">
        <f t="shared" si="0"/>
        <v>319</v>
      </c>
      <c r="B322" s="18" t="s">
        <v>248</v>
      </c>
      <c r="C322" s="31" t="s">
        <v>1983</v>
      </c>
      <c r="D322" s="20" t="s">
        <v>1984</v>
      </c>
      <c r="E322" s="32" t="s">
        <v>222</v>
      </c>
      <c r="F322" s="33" t="s">
        <v>42</v>
      </c>
      <c r="G322" s="23" t="s">
        <v>1985</v>
      </c>
      <c r="H322" s="24" t="s">
        <v>55</v>
      </c>
    </row>
    <row r="323" spans="1:12" ht="26.25" customHeight="1">
      <c r="A323" s="17">
        <f t="shared" si="0"/>
        <v>320</v>
      </c>
      <c r="B323" s="18" t="s">
        <v>233</v>
      </c>
      <c r="C323" s="89" t="s">
        <v>1674</v>
      </c>
      <c r="D323" s="90" t="s">
        <v>1675</v>
      </c>
      <c r="E323" s="91" t="s">
        <v>1986</v>
      </c>
      <c r="F323" s="22" t="s">
        <v>42</v>
      </c>
      <c r="G323" s="23" t="s">
        <v>1987</v>
      </c>
      <c r="H323" s="24" t="s">
        <v>20</v>
      </c>
      <c r="J323" s="284" t="str">
        <f t="shared" ref="J323:J324" si="26">CONCATENATE(C323," │  ISSN:  ",D323," *")</f>
        <v>Journal of Aerospace Engineering │  ISSN:  0893-1321 *</v>
      </c>
      <c r="L323" s="243" t="s">
        <v>5213</v>
      </c>
    </row>
    <row r="324" spans="1:12" ht="26.25" customHeight="1">
      <c r="A324" s="17">
        <f t="shared" si="0"/>
        <v>321</v>
      </c>
      <c r="B324" s="18" t="s">
        <v>867</v>
      </c>
      <c r="C324" s="31" t="s">
        <v>1988</v>
      </c>
      <c r="D324" s="20" t="s">
        <v>1576</v>
      </c>
      <c r="E324" s="21" t="s">
        <v>1990</v>
      </c>
      <c r="F324" s="33" t="s">
        <v>42</v>
      </c>
      <c r="G324" s="23" t="s">
        <v>1991</v>
      </c>
      <c r="H324" s="34" t="s">
        <v>20</v>
      </c>
      <c r="J324" s="284" t="str">
        <f t="shared" si="26"/>
        <v>Journal of Agricultural Meteorology │  ISSN:  0021-8588 *</v>
      </c>
      <c r="L324" s="243" t="s">
        <v>5214</v>
      </c>
    </row>
    <row r="325" spans="1:12" ht="26.25" hidden="1" customHeight="1">
      <c r="A325" s="17">
        <f t="shared" si="0"/>
        <v>322</v>
      </c>
      <c r="B325" s="18" t="s">
        <v>867</v>
      </c>
      <c r="C325" s="31" t="s">
        <v>1992</v>
      </c>
      <c r="D325" s="20" t="s">
        <v>1993</v>
      </c>
      <c r="E325" s="32" t="s">
        <v>1994</v>
      </c>
      <c r="F325" s="33" t="s">
        <v>42</v>
      </c>
      <c r="G325" s="23" t="s">
        <v>1995</v>
      </c>
      <c r="H325" s="24" t="s">
        <v>55</v>
      </c>
    </row>
    <row r="326" spans="1:12" ht="26.25" hidden="1" customHeight="1">
      <c r="A326" s="17">
        <f t="shared" si="0"/>
        <v>323</v>
      </c>
      <c r="B326" s="18" t="s">
        <v>233</v>
      </c>
      <c r="C326" s="31" t="s">
        <v>1996</v>
      </c>
      <c r="D326" s="20" t="s">
        <v>1997</v>
      </c>
      <c r="E326" s="32" t="s">
        <v>1998</v>
      </c>
      <c r="F326" s="22" t="s">
        <v>42</v>
      </c>
      <c r="G326" s="23" t="s">
        <v>1999</v>
      </c>
      <c r="H326" s="24" t="s">
        <v>55</v>
      </c>
    </row>
    <row r="327" spans="1:12" ht="26.25" hidden="1" customHeight="1">
      <c r="A327" s="17">
        <f t="shared" si="0"/>
        <v>324</v>
      </c>
      <c r="B327" s="18" t="s">
        <v>27</v>
      </c>
      <c r="C327" s="31" t="s">
        <v>2000</v>
      </c>
      <c r="D327" s="20" t="s">
        <v>2001</v>
      </c>
      <c r="E327" s="32" t="s">
        <v>693</v>
      </c>
      <c r="F327" s="22" t="s">
        <v>42</v>
      </c>
      <c r="G327" s="23" t="s">
        <v>2002</v>
      </c>
      <c r="H327" s="24" t="s">
        <v>55</v>
      </c>
    </row>
    <row r="328" spans="1:12" ht="26.25" customHeight="1">
      <c r="A328" s="17">
        <f t="shared" si="0"/>
        <v>325</v>
      </c>
      <c r="B328" s="18" t="s">
        <v>132</v>
      </c>
      <c r="C328" s="19" t="s">
        <v>2003</v>
      </c>
      <c r="D328" s="20" t="s">
        <v>2005</v>
      </c>
      <c r="E328" s="32" t="s">
        <v>4978</v>
      </c>
      <c r="F328" s="22" t="s">
        <v>42</v>
      </c>
      <c r="G328" s="23" t="s">
        <v>2007</v>
      </c>
      <c r="H328" s="24" t="s">
        <v>20</v>
      </c>
      <c r="J328" s="284" t="str">
        <f t="shared" ref="J328:J329" si="27">CONCATENATE(C328," │  ISSN:  ",D328," *")</f>
        <v>Journal of Applied Mechanics │  ISSN:  0021-8936 *</v>
      </c>
      <c r="L328" s="243" t="s">
        <v>5215</v>
      </c>
    </row>
    <row r="329" spans="1:12" ht="26.25" customHeight="1">
      <c r="A329" s="17">
        <f t="shared" si="0"/>
        <v>326</v>
      </c>
      <c r="B329" s="18" t="s">
        <v>175</v>
      </c>
      <c r="C329" s="31" t="s">
        <v>2008</v>
      </c>
      <c r="D329" s="20" t="s">
        <v>2009</v>
      </c>
      <c r="E329" s="32" t="s">
        <v>4969</v>
      </c>
      <c r="F329" s="33" t="s">
        <v>42</v>
      </c>
      <c r="G329" s="23" t="s">
        <v>2010</v>
      </c>
      <c r="H329" s="24" t="s">
        <v>20</v>
      </c>
      <c r="J329" s="284" t="str">
        <f t="shared" si="27"/>
        <v>Journal of Applied Physiology │  ISSN:  8750-7587 *</v>
      </c>
      <c r="L329" s="243" t="s">
        <v>5216</v>
      </c>
    </row>
    <row r="330" spans="1:12" ht="26.25" hidden="1" customHeight="1">
      <c r="A330" s="17">
        <f t="shared" si="0"/>
        <v>327</v>
      </c>
      <c r="B330" s="18" t="s">
        <v>13</v>
      </c>
      <c r="C330" s="31" t="s">
        <v>857</v>
      </c>
      <c r="D330" s="20" t="s">
        <v>859</v>
      </c>
      <c r="E330" s="32" t="s">
        <v>2011</v>
      </c>
      <c r="F330" s="22" t="s">
        <v>2012</v>
      </c>
      <c r="G330" s="23" t="s">
        <v>2013</v>
      </c>
      <c r="H330" s="24" t="s">
        <v>55</v>
      </c>
    </row>
    <row r="331" spans="1:12" ht="26.25" hidden="1" customHeight="1">
      <c r="A331" s="17">
        <f t="shared" si="0"/>
        <v>328</v>
      </c>
      <c r="B331" s="18" t="s">
        <v>13</v>
      </c>
      <c r="C331" s="31" t="s">
        <v>2014</v>
      </c>
      <c r="D331" s="20" t="s">
        <v>2016</v>
      </c>
      <c r="E331" s="32" t="s">
        <v>2017</v>
      </c>
      <c r="F331" s="22" t="s">
        <v>2018</v>
      </c>
      <c r="G331" s="23" t="s">
        <v>2019</v>
      </c>
      <c r="H331" s="24" t="s">
        <v>55</v>
      </c>
    </row>
    <row r="332" spans="1:12" ht="26.25" customHeight="1">
      <c r="A332" s="17">
        <f t="shared" si="0"/>
        <v>329</v>
      </c>
      <c r="B332" s="18" t="s">
        <v>27</v>
      </c>
      <c r="C332" s="19" t="s">
        <v>2020</v>
      </c>
      <c r="D332" s="20" t="s">
        <v>2022</v>
      </c>
      <c r="E332" s="32" t="s">
        <v>4997</v>
      </c>
      <c r="F332" s="22" t="s">
        <v>42</v>
      </c>
      <c r="G332" s="23" t="s">
        <v>2024</v>
      </c>
      <c r="H332" s="24" t="s">
        <v>20</v>
      </c>
      <c r="J332" s="284" t="str">
        <f t="shared" ref="J332:J333" si="28">CONCATENATE(C332," │  ISSN:  ",D332," *")</f>
        <v>Journal of Bioactive and Compatible Polymers │  ISSN:  0883-9115 *</v>
      </c>
      <c r="L332" s="243" t="s">
        <v>5217</v>
      </c>
    </row>
    <row r="333" spans="1:12" ht="26.25" customHeight="1">
      <c r="A333" s="17">
        <f t="shared" si="0"/>
        <v>330</v>
      </c>
      <c r="B333" s="18" t="s">
        <v>175</v>
      </c>
      <c r="C333" s="19" t="s">
        <v>2025</v>
      </c>
      <c r="D333" s="20" t="s">
        <v>2026</v>
      </c>
      <c r="E333" s="32" t="s">
        <v>178</v>
      </c>
      <c r="F333" s="33" t="s">
        <v>42</v>
      </c>
      <c r="G333" s="23" t="s">
        <v>2027</v>
      </c>
      <c r="H333" s="24" t="s">
        <v>20</v>
      </c>
      <c r="J333" s="284" t="str">
        <f t="shared" si="28"/>
        <v>Journal of Biomaterials Applications │  ISSN:  0885-3282 *</v>
      </c>
      <c r="L333" s="243" t="s">
        <v>5218</v>
      </c>
    </row>
    <row r="334" spans="1:12" ht="26.25" hidden="1" customHeight="1">
      <c r="A334" s="17">
        <f t="shared" si="0"/>
        <v>331</v>
      </c>
      <c r="B334" s="18" t="s">
        <v>175</v>
      </c>
      <c r="C334" s="31" t="s">
        <v>2028</v>
      </c>
      <c r="D334" s="20" t="s">
        <v>2029</v>
      </c>
      <c r="E334" s="32" t="s">
        <v>416</v>
      </c>
      <c r="F334" s="33" t="s">
        <v>42</v>
      </c>
      <c r="G334" s="23" t="s">
        <v>2030</v>
      </c>
      <c r="H334" s="24" t="s">
        <v>55</v>
      </c>
    </row>
    <row r="335" spans="1:12" ht="26.25" customHeight="1">
      <c r="A335" s="17">
        <f t="shared" si="0"/>
        <v>332</v>
      </c>
      <c r="B335" s="18" t="s">
        <v>175</v>
      </c>
      <c r="C335" s="19" t="s">
        <v>2031</v>
      </c>
      <c r="D335" s="20" t="s">
        <v>2032</v>
      </c>
      <c r="E335" s="32" t="s">
        <v>52</v>
      </c>
      <c r="F335" s="33" t="s">
        <v>42</v>
      </c>
      <c r="G335" s="23" t="s">
        <v>2033</v>
      </c>
      <c r="H335" s="24" t="s">
        <v>20</v>
      </c>
      <c r="J335" s="284" t="str">
        <f t="shared" ref="J335:J336" si="29">CONCATENATE(C335," │  ISSN:  ",D335," *")</f>
        <v>Journal of Biomechanical Engineering │  ISSN:  0148-0731 *</v>
      </c>
      <c r="L335" s="243" t="s">
        <v>5219</v>
      </c>
    </row>
    <row r="336" spans="1:12" ht="26.25" customHeight="1">
      <c r="A336" s="17">
        <f t="shared" si="0"/>
        <v>333</v>
      </c>
      <c r="B336" s="18" t="s">
        <v>175</v>
      </c>
      <c r="C336" s="19" t="s">
        <v>2034</v>
      </c>
      <c r="D336" s="20" t="s">
        <v>2035</v>
      </c>
      <c r="E336" s="32" t="s">
        <v>178</v>
      </c>
      <c r="F336" s="33" t="s">
        <v>42</v>
      </c>
      <c r="G336" s="23" t="s">
        <v>2036</v>
      </c>
      <c r="H336" s="24" t="s">
        <v>20</v>
      </c>
      <c r="J336" s="284" t="str">
        <f t="shared" si="29"/>
        <v>Journal of Biomedical Nanotechnology │  ISSN:  1550-7033 *</v>
      </c>
      <c r="L336" s="243" t="s">
        <v>5220</v>
      </c>
    </row>
    <row r="337" spans="1:12" ht="26.25" hidden="1" customHeight="1">
      <c r="A337" s="17">
        <f t="shared" si="0"/>
        <v>334</v>
      </c>
      <c r="B337" s="18" t="s">
        <v>175</v>
      </c>
      <c r="C337" s="31" t="s">
        <v>2037</v>
      </c>
      <c r="D337" s="20" t="s">
        <v>2039</v>
      </c>
      <c r="E337" s="32" t="s">
        <v>700</v>
      </c>
      <c r="F337" s="70" t="s">
        <v>42</v>
      </c>
      <c r="G337" s="23" t="s">
        <v>2040</v>
      </c>
      <c r="H337" s="24" t="s">
        <v>55</v>
      </c>
    </row>
    <row r="338" spans="1:12" ht="26.25" customHeight="1">
      <c r="A338" s="17">
        <f t="shared" si="0"/>
        <v>335</v>
      </c>
      <c r="B338" s="18" t="s">
        <v>13</v>
      </c>
      <c r="C338" s="19" t="s">
        <v>2041</v>
      </c>
      <c r="D338" s="20" t="s">
        <v>2042</v>
      </c>
      <c r="E338" s="32" t="s">
        <v>52</v>
      </c>
      <c r="F338" s="22" t="s">
        <v>42</v>
      </c>
      <c r="G338" s="23" t="s">
        <v>2043</v>
      </c>
      <c r="H338" s="24" t="s">
        <v>20</v>
      </c>
      <c r="J338" s="284" t="str">
        <f>CONCATENATE(C338," │  ISSN:  ",D338," *")</f>
        <v>Journal of Bridge Engineering │  ISSN:  1084-0702 *</v>
      </c>
      <c r="L338" s="243" t="s">
        <v>5221</v>
      </c>
    </row>
    <row r="339" spans="1:12" ht="26.25" hidden="1" customHeight="1">
      <c r="A339" s="17">
        <f t="shared" si="0"/>
        <v>336</v>
      </c>
      <c r="B339" s="18" t="s">
        <v>27</v>
      </c>
      <c r="C339" s="31" t="s">
        <v>95</v>
      </c>
      <c r="D339" s="20" t="s">
        <v>97</v>
      </c>
      <c r="E339" s="32" t="s">
        <v>142</v>
      </c>
      <c r="F339" s="22" t="s">
        <v>53</v>
      </c>
      <c r="G339" s="23" t="s">
        <v>2044</v>
      </c>
      <c r="H339" s="24" t="s">
        <v>55</v>
      </c>
    </row>
    <row r="340" spans="1:12" ht="26.25" customHeight="1">
      <c r="A340" s="17">
        <f t="shared" si="0"/>
        <v>337</v>
      </c>
      <c r="B340" s="18" t="s">
        <v>37</v>
      </c>
      <c r="C340" s="19" t="s">
        <v>2045</v>
      </c>
      <c r="D340" s="20" t="s">
        <v>2046</v>
      </c>
      <c r="E340" s="32" t="s">
        <v>5009</v>
      </c>
      <c r="F340" s="22" t="s">
        <v>42</v>
      </c>
      <c r="G340" s="23" t="s">
        <v>2048</v>
      </c>
      <c r="H340" s="24" t="s">
        <v>20</v>
      </c>
      <c r="J340" s="284" t="str">
        <f t="shared" ref="J340:J341" si="30">CONCATENATE(C340," │  ISSN:  ",D340," *")</f>
        <v>Journal of Cellular Plastics │  ISSN:  0021-955X *</v>
      </c>
      <c r="L340" s="243" t="s">
        <v>5222</v>
      </c>
    </row>
    <row r="341" spans="1:12" ht="26.25" customHeight="1">
      <c r="A341" s="17">
        <f t="shared" si="0"/>
        <v>338</v>
      </c>
      <c r="B341" s="18" t="s">
        <v>27</v>
      </c>
      <c r="C341" s="19" t="s">
        <v>2049</v>
      </c>
      <c r="D341" s="20" t="s">
        <v>2051</v>
      </c>
      <c r="E341" s="32" t="s">
        <v>4966</v>
      </c>
      <c r="F341" s="22" t="s">
        <v>31</v>
      </c>
      <c r="G341" s="23" t="s">
        <v>2053</v>
      </c>
      <c r="H341" s="24" t="s">
        <v>20</v>
      </c>
      <c r="J341" s="284" t="str">
        <f t="shared" si="30"/>
        <v>Journal of Chemical Engineering of Japan │  ISSN:  0021-9592 *</v>
      </c>
      <c r="L341" s="243" t="s">
        <v>5223</v>
      </c>
    </row>
    <row r="342" spans="1:12" ht="26.25" hidden="1" customHeight="1">
      <c r="A342" s="17">
        <f t="shared" si="0"/>
        <v>339</v>
      </c>
      <c r="B342" s="18" t="s">
        <v>105</v>
      </c>
      <c r="C342" s="31" t="s">
        <v>2054</v>
      </c>
      <c r="D342" s="20" t="s">
        <v>2056</v>
      </c>
      <c r="E342" s="32" t="s">
        <v>2057</v>
      </c>
      <c r="F342" s="33" t="s">
        <v>42</v>
      </c>
      <c r="G342" s="23" t="s">
        <v>2058</v>
      </c>
      <c r="H342" s="24" t="s">
        <v>55</v>
      </c>
    </row>
    <row r="343" spans="1:12" ht="26.25" hidden="1" customHeight="1">
      <c r="A343" s="17">
        <f t="shared" si="0"/>
        <v>340</v>
      </c>
      <c r="B343" s="18" t="s">
        <v>13</v>
      </c>
      <c r="C343" s="31" t="s">
        <v>1077</v>
      </c>
      <c r="D343" s="20" t="s">
        <v>1079</v>
      </c>
      <c r="E343" s="32" t="s">
        <v>170</v>
      </c>
      <c r="F343" s="22" t="s">
        <v>42</v>
      </c>
      <c r="G343" s="23" t="s">
        <v>2059</v>
      </c>
      <c r="H343" s="24" t="s">
        <v>55</v>
      </c>
    </row>
    <row r="344" spans="1:12" ht="26.25" customHeight="1">
      <c r="A344" s="17">
        <f t="shared" si="0"/>
        <v>341</v>
      </c>
      <c r="B344" s="18" t="s">
        <v>37</v>
      </c>
      <c r="C344" s="19" t="s">
        <v>2060</v>
      </c>
      <c r="D344" s="20" t="s">
        <v>2061</v>
      </c>
      <c r="E344" s="32" t="s">
        <v>5010</v>
      </c>
      <c r="F344" s="22" t="s">
        <v>42</v>
      </c>
      <c r="G344" s="23" t="s">
        <v>2063</v>
      </c>
      <c r="H344" s="24" t="s">
        <v>20</v>
      </c>
      <c r="J344" s="284" t="str">
        <f t="shared" ref="J344:J346" si="31">CONCATENATE(C344," │  ISSN:  ",D344," *")</f>
        <v>Journal of Composite Materials │  ISSN:  0021-9983 *</v>
      </c>
      <c r="L344" s="243" t="s">
        <v>5224</v>
      </c>
    </row>
    <row r="345" spans="1:12" ht="26.25" customHeight="1">
      <c r="A345" s="17">
        <f t="shared" si="0"/>
        <v>342</v>
      </c>
      <c r="B345" s="18" t="s">
        <v>13</v>
      </c>
      <c r="C345" s="19" t="s">
        <v>2064</v>
      </c>
      <c r="D345" s="20" t="s">
        <v>2065</v>
      </c>
      <c r="E345" s="32" t="s">
        <v>52</v>
      </c>
      <c r="F345" s="22" t="s">
        <v>42</v>
      </c>
      <c r="G345" s="23" t="s">
        <v>2066</v>
      </c>
      <c r="H345" s="24" t="s">
        <v>20</v>
      </c>
      <c r="J345" s="284" t="str">
        <f t="shared" si="31"/>
        <v>Journal of Composites for Construction │  ISSN:  1090-0268 *</v>
      </c>
      <c r="L345" s="243" t="s">
        <v>5225</v>
      </c>
    </row>
    <row r="346" spans="1:12" ht="26.25" customHeight="1">
      <c r="A346" s="17">
        <f t="shared" si="0"/>
        <v>343</v>
      </c>
      <c r="B346" s="18" t="s">
        <v>132</v>
      </c>
      <c r="C346" s="19" t="s">
        <v>2067</v>
      </c>
      <c r="D346" s="20" t="s">
        <v>2069</v>
      </c>
      <c r="E346" s="32" t="s">
        <v>178</v>
      </c>
      <c r="F346" s="22" t="s">
        <v>31</v>
      </c>
      <c r="G346" s="23" t="s">
        <v>2070</v>
      </c>
      <c r="H346" s="24" t="s">
        <v>20</v>
      </c>
      <c r="J346" s="284" t="str">
        <f t="shared" si="31"/>
        <v>Journal of Computational and Nonlinear Dynamics │  ISSN:  1555-1415 *</v>
      </c>
      <c r="L346" s="243" t="s">
        <v>5226</v>
      </c>
    </row>
    <row r="347" spans="1:12" ht="26.25" hidden="1" customHeight="1">
      <c r="A347" s="17">
        <f t="shared" si="0"/>
        <v>344</v>
      </c>
      <c r="B347" s="18" t="s">
        <v>175</v>
      </c>
      <c r="C347" s="31" t="s">
        <v>2071</v>
      </c>
      <c r="D347" s="20" t="s">
        <v>2073</v>
      </c>
      <c r="E347" s="32" t="s">
        <v>2074</v>
      </c>
      <c r="F347" s="33" t="s">
        <v>42</v>
      </c>
      <c r="G347" s="23" t="s">
        <v>2075</v>
      </c>
      <c r="H347" s="24" t="s">
        <v>55</v>
      </c>
    </row>
    <row r="348" spans="1:12" ht="26.25" hidden="1" customHeight="1">
      <c r="A348" s="17">
        <f t="shared" si="0"/>
        <v>345</v>
      </c>
      <c r="B348" s="18" t="s">
        <v>132</v>
      </c>
      <c r="C348" s="31" t="s">
        <v>2076</v>
      </c>
      <c r="D348" s="20" t="s">
        <v>2077</v>
      </c>
      <c r="E348" s="32" t="s">
        <v>416</v>
      </c>
      <c r="F348" s="22" t="s">
        <v>31</v>
      </c>
      <c r="G348" s="23" t="s">
        <v>2078</v>
      </c>
      <c r="H348" s="24" t="s">
        <v>55</v>
      </c>
    </row>
    <row r="349" spans="1:12" ht="26.25" hidden="1" customHeight="1">
      <c r="A349" s="17">
        <f t="shared" si="0"/>
        <v>346</v>
      </c>
      <c r="B349" s="18" t="s">
        <v>81</v>
      </c>
      <c r="C349" s="31" t="s">
        <v>2079</v>
      </c>
      <c r="D349" s="20" t="s">
        <v>2080</v>
      </c>
      <c r="E349" s="32" t="s">
        <v>2081</v>
      </c>
      <c r="F349" s="33" t="s">
        <v>42</v>
      </c>
      <c r="G349" s="23" t="s">
        <v>2082</v>
      </c>
      <c r="H349" s="24" t="s">
        <v>55</v>
      </c>
    </row>
    <row r="350" spans="1:12" ht="26.25" customHeight="1">
      <c r="A350" s="17">
        <f t="shared" si="0"/>
        <v>347</v>
      </c>
      <c r="B350" s="18" t="s">
        <v>13</v>
      </c>
      <c r="C350" s="19" t="s">
        <v>2083</v>
      </c>
      <c r="D350" s="20" t="s">
        <v>2084</v>
      </c>
      <c r="E350" s="32" t="s">
        <v>2485</v>
      </c>
      <c r="F350" s="22" t="s">
        <v>42</v>
      </c>
      <c r="G350" s="23" t="s">
        <v>2086</v>
      </c>
      <c r="H350" s="24" t="s">
        <v>20</v>
      </c>
      <c r="J350" s="284" t="str">
        <f>CONCATENATE(C350," │  ISSN:  ",D350," *")</f>
        <v>Journal of Construction Engineering and Management │  ISSN:  0733-9364 *</v>
      </c>
      <c r="L350" s="243" t="s">
        <v>5227</v>
      </c>
    </row>
    <row r="351" spans="1:12" ht="26.25" hidden="1" customHeight="1">
      <c r="A351" s="17">
        <f t="shared" si="0"/>
        <v>348</v>
      </c>
      <c r="B351" s="18" t="s">
        <v>105</v>
      </c>
      <c r="C351" s="31" t="s">
        <v>2087</v>
      </c>
      <c r="D351" s="20" t="s">
        <v>2088</v>
      </c>
      <c r="E351" s="32" t="s">
        <v>2089</v>
      </c>
      <c r="F351" s="33" t="s">
        <v>42</v>
      </c>
      <c r="G351" s="23" t="s">
        <v>2090</v>
      </c>
      <c r="H351" s="24" t="s">
        <v>55</v>
      </c>
    </row>
    <row r="352" spans="1:12" ht="26.25" hidden="1" customHeight="1">
      <c r="A352" s="17">
        <f t="shared" si="0"/>
        <v>349</v>
      </c>
      <c r="B352" s="18" t="s">
        <v>105</v>
      </c>
      <c r="C352" s="31" t="s">
        <v>2091</v>
      </c>
      <c r="D352" s="20" t="s">
        <v>2093</v>
      </c>
      <c r="E352" s="32" t="s">
        <v>2094</v>
      </c>
      <c r="F352" s="33" t="s">
        <v>42</v>
      </c>
      <c r="G352" s="23" t="s">
        <v>2095</v>
      </c>
      <c r="H352" s="24" t="s">
        <v>55</v>
      </c>
    </row>
    <row r="353" spans="1:12" ht="26.25" hidden="1" customHeight="1">
      <c r="A353" s="17">
        <f t="shared" si="0"/>
        <v>350</v>
      </c>
      <c r="B353" s="18" t="s">
        <v>132</v>
      </c>
      <c r="C353" s="31" t="s">
        <v>2096</v>
      </c>
      <c r="D353" s="20" t="s">
        <v>2097</v>
      </c>
      <c r="E353" s="32" t="s">
        <v>2098</v>
      </c>
      <c r="F353" s="22" t="s">
        <v>31</v>
      </c>
      <c r="G353" s="23" t="s">
        <v>2099</v>
      </c>
      <c r="H353" s="24" t="s">
        <v>55</v>
      </c>
    </row>
    <row r="354" spans="1:12" ht="26.25" hidden="1" customHeight="1">
      <c r="A354" s="17">
        <f t="shared" si="0"/>
        <v>351</v>
      </c>
      <c r="B354" s="18" t="s">
        <v>37</v>
      </c>
      <c r="C354" s="31" t="s">
        <v>865</v>
      </c>
      <c r="D354" s="20" t="s">
        <v>866</v>
      </c>
      <c r="E354" s="32" t="s">
        <v>2100</v>
      </c>
      <c r="F354" s="22" t="s">
        <v>42</v>
      </c>
      <c r="G354" s="23" t="s">
        <v>2101</v>
      </c>
      <c r="H354" s="24" t="s">
        <v>55</v>
      </c>
    </row>
    <row r="355" spans="1:12" ht="26.25" hidden="1" customHeight="1">
      <c r="A355" s="17">
        <f t="shared" si="0"/>
        <v>352</v>
      </c>
      <c r="B355" s="18" t="s">
        <v>48</v>
      </c>
      <c r="C355" s="31" t="s">
        <v>2102</v>
      </c>
      <c r="D355" s="20" t="s">
        <v>2103</v>
      </c>
      <c r="E355" s="32" t="s">
        <v>416</v>
      </c>
      <c r="F355" s="33" t="s">
        <v>31</v>
      </c>
      <c r="G355" s="23" t="s">
        <v>2104</v>
      </c>
      <c r="H355" s="24" t="s">
        <v>55</v>
      </c>
    </row>
    <row r="356" spans="1:12" ht="26.25" customHeight="1">
      <c r="A356" s="17">
        <f t="shared" si="0"/>
        <v>353</v>
      </c>
      <c r="B356" s="18" t="s">
        <v>105</v>
      </c>
      <c r="C356" s="19" t="s">
        <v>2105</v>
      </c>
      <c r="D356" s="20" t="s">
        <v>2106</v>
      </c>
      <c r="E356" s="32" t="s">
        <v>178</v>
      </c>
      <c r="F356" s="33" t="s">
        <v>42</v>
      </c>
      <c r="G356" s="23" t="s">
        <v>2107</v>
      </c>
      <c r="H356" s="24" t="s">
        <v>20</v>
      </c>
      <c r="J356" s="284" t="str">
        <f t="shared" ref="J356:J362" si="32">CONCATENATE(C356," │  ISSN:  ",D356," *")</f>
        <v>Journal of Energetic Materials │  ISSN:  0737-0652 *</v>
      </c>
      <c r="L356" s="243" t="s">
        <v>5228</v>
      </c>
    </row>
    <row r="357" spans="1:12" ht="26.25" customHeight="1">
      <c r="A357" s="17">
        <f t="shared" si="0"/>
        <v>354</v>
      </c>
      <c r="B357" s="18" t="s">
        <v>146</v>
      </c>
      <c r="C357" s="19" t="s">
        <v>2108</v>
      </c>
      <c r="D357" s="20" t="s">
        <v>2109</v>
      </c>
      <c r="E357" s="32" t="s">
        <v>5087</v>
      </c>
      <c r="F357" s="33" t="s">
        <v>42</v>
      </c>
      <c r="G357" s="23" t="s">
        <v>2111</v>
      </c>
      <c r="H357" s="24" t="s">
        <v>20</v>
      </c>
      <c r="J357" s="284" t="str">
        <f t="shared" si="32"/>
        <v>Journal of Energy Engineering │  ISSN:  0733-9402 *</v>
      </c>
      <c r="L357" s="243" t="s">
        <v>5229</v>
      </c>
    </row>
    <row r="358" spans="1:12" ht="26.25" customHeight="1">
      <c r="A358" s="17">
        <f t="shared" si="0"/>
        <v>355</v>
      </c>
      <c r="B358" s="18" t="s">
        <v>146</v>
      </c>
      <c r="C358" s="19" t="s">
        <v>2112</v>
      </c>
      <c r="D358" s="20" t="s">
        <v>2113</v>
      </c>
      <c r="E358" s="32" t="s">
        <v>52</v>
      </c>
      <c r="F358" s="33" t="s">
        <v>42</v>
      </c>
      <c r="G358" s="23" t="s">
        <v>2114</v>
      </c>
      <c r="H358" s="24" t="s">
        <v>20</v>
      </c>
      <c r="J358" s="284" t="str">
        <f t="shared" si="32"/>
        <v>Journal of Energy Resources Technology │  ISSN:  0195-0738 *</v>
      </c>
      <c r="L358" s="243" t="s">
        <v>5230</v>
      </c>
    </row>
    <row r="359" spans="1:12" ht="26.25" customHeight="1">
      <c r="A359" s="17">
        <f t="shared" si="0"/>
        <v>356</v>
      </c>
      <c r="B359" s="18" t="s">
        <v>248</v>
      </c>
      <c r="C359" s="19" t="s">
        <v>1710</v>
      </c>
      <c r="D359" s="20" t="s">
        <v>1711</v>
      </c>
      <c r="E359" s="32" t="s">
        <v>52</v>
      </c>
      <c r="F359" s="33" t="s">
        <v>42</v>
      </c>
      <c r="G359" s="23" t="s">
        <v>2115</v>
      </c>
      <c r="H359" s="24" t="s">
        <v>20</v>
      </c>
      <c r="J359" s="284" t="str">
        <f t="shared" si="32"/>
        <v>Journal of Engineering Design │  ISSN:  0954-4828 *</v>
      </c>
      <c r="L359" s="243" t="s">
        <v>5231</v>
      </c>
    </row>
    <row r="360" spans="1:12" ht="26.25" customHeight="1">
      <c r="A360" s="17">
        <f t="shared" si="0"/>
        <v>357</v>
      </c>
      <c r="B360" s="18" t="s">
        <v>132</v>
      </c>
      <c r="C360" s="19" t="s">
        <v>2116</v>
      </c>
      <c r="D360" s="20" t="s">
        <v>2117</v>
      </c>
      <c r="E360" s="32" t="s">
        <v>4975</v>
      </c>
      <c r="F360" s="22" t="s">
        <v>42</v>
      </c>
      <c r="G360" s="23" t="s">
        <v>2118</v>
      </c>
      <c r="H360" s="24" t="s">
        <v>20</v>
      </c>
      <c r="J360" s="284" t="str">
        <f t="shared" si="32"/>
        <v>Journal of Engineering for Gas Turbines and Power │  ISSN:  0742-4795 *</v>
      </c>
      <c r="L360" s="243" t="s">
        <v>5232</v>
      </c>
    </row>
    <row r="361" spans="1:12" ht="26.25" customHeight="1">
      <c r="A361" s="17">
        <f t="shared" si="0"/>
        <v>358</v>
      </c>
      <c r="B361" s="18" t="s">
        <v>37</v>
      </c>
      <c r="C361" s="19" t="s">
        <v>2119</v>
      </c>
      <c r="D361" s="20" t="s">
        <v>2120</v>
      </c>
      <c r="E361" s="32" t="s">
        <v>4979</v>
      </c>
      <c r="F361" s="22" t="s">
        <v>42</v>
      </c>
      <c r="G361" s="23" t="s">
        <v>2122</v>
      </c>
      <c r="H361" s="24" t="s">
        <v>20</v>
      </c>
      <c r="J361" s="284" t="str">
        <f t="shared" si="32"/>
        <v>Journal of Engineering Materials and Technology │  ISSN:  0094-4289 *</v>
      </c>
      <c r="L361" s="243" t="s">
        <v>5233</v>
      </c>
    </row>
    <row r="362" spans="1:12" ht="26.25" customHeight="1">
      <c r="A362" s="17">
        <f t="shared" si="0"/>
        <v>359</v>
      </c>
      <c r="B362" s="18" t="s">
        <v>132</v>
      </c>
      <c r="C362" s="19" t="s">
        <v>2123</v>
      </c>
      <c r="D362" s="20" t="s">
        <v>2124</v>
      </c>
      <c r="E362" s="32" t="s">
        <v>4979</v>
      </c>
      <c r="F362" s="22" t="s">
        <v>42</v>
      </c>
      <c r="G362" s="23" t="s">
        <v>2125</v>
      </c>
      <c r="H362" s="24" t="s">
        <v>20</v>
      </c>
      <c r="J362" s="284" t="str">
        <f t="shared" si="32"/>
        <v>Journal of Engineering Mechanics │  ISSN:  0733-9399 *</v>
      </c>
      <c r="L362" s="243" t="s">
        <v>5234</v>
      </c>
    </row>
    <row r="363" spans="1:12" ht="26.25" hidden="1" customHeight="1">
      <c r="A363" s="17">
        <f t="shared" si="0"/>
        <v>360</v>
      </c>
      <c r="B363" s="18" t="s">
        <v>132</v>
      </c>
      <c r="C363" s="31" t="s">
        <v>102</v>
      </c>
      <c r="D363" s="20" t="s">
        <v>104</v>
      </c>
      <c r="E363" s="32" t="s">
        <v>962</v>
      </c>
      <c r="F363" s="22" t="s">
        <v>42</v>
      </c>
      <c r="G363" s="23" t="s">
        <v>2126</v>
      </c>
      <c r="H363" s="24" t="s">
        <v>55</v>
      </c>
    </row>
    <row r="364" spans="1:12" ht="26.25" customHeight="1">
      <c r="A364" s="17">
        <f t="shared" si="0"/>
        <v>361</v>
      </c>
      <c r="B364" s="18" t="s">
        <v>1197</v>
      </c>
      <c r="C364" s="19" t="s">
        <v>2127</v>
      </c>
      <c r="D364" s="20" t="s">
        <v>2128</v>
      </c>
      <c r="E364" s="32" t="s">
        <v>5086</v>
      </c>
      <c r="F364" s="33" t="s">
        <v>42</v>
      </c>
      <c r="G364" s="23" t="s">
        <v>2130</v>
      </c>
      <c r="H364" s="24" t="s">
        <v>20</v>
      </c>
      <c r="J364" s="284" t="str">
        <f>CONCATENATE(C364," │  ISSN:  ",D364," *")</f>
        <v>Journal of Environmental Engineering │  ISSN:  0733-9372 *</v>
      </c>
      <c r="L364" s="243" t="s">
        <v>5235</v>
      </c>
    </row>
    <row r="365" spans="1:12" ht="26.25" hidden="1" customHeight="1">
      <c r="A365" s="17">
        <f t="shared" si="0"/>
        <v>362</v>
      </c>
      <c r="B365" s="18" t="s">
        <v>105</v>
      </c>
      <c r="C365" s="31" t="s">
        <v>2131</v>
      </c>
      <c r="D365" s="20" t="s">
        <v>2133</v>
      </c>
      <c r="E365" s="32" t="s">
        <v>519</v>
      </c>
      <c r="F365" s="33" t="s">
        <v>42</v>
      </c>
      <c r="G365" s="23" t="s">
        <v>2134</v>
      </c>
      <c r="H365" s="24" t="s">
        <v>55</v>
      </c>
    </row>
    <row r="366" spans="1:12" ht="26.25" hidden="1" customHeight="1">
      <c r="A366" s="17">
        <f t="shared" si="0"/>
        <v>363</v>
      </c>
      <c r="B366" s="18" t="s">
        <v>175</v>
      </c>
      <c r="C366" s="31" t="s">
        <v>2135</v>
      </c>
      <c r="D366" s="20" t="s">
        <v>2136</v>
      </c>
      <c r="E366" s="32" t="s">
        <v>2137</v>
      </c>
      <c r="F366" s="33" t="s">
        <v>42</v>
      </c>
      <c r="G366" s="23" t="s">
        <v>2138</v>
      </c>
      <c r="H366" s="24" t="s">
        <v>55</v>
      </c>
    </row>
    <row r="367" spans="1:12" ht="26.25" hidden="1" customHeight="1">
      <c r="A367" s="17">
        <f t="shared" si="0"/>
        <v>364</v>
      </c>
      <c r="B367" s="18" t="s">
        <v>27</v>
      </c>
      <c r="C367" s="31" t="s">
        <v>2139</v>
      </c>
      <c r="D367" s="20" t="s">
        <v>2140</v>
      </c>
      <c r="E367" s="32" t="s">
        <v>542</v>
      </c>
      <c r="F367" s="22" t="s">
        <v>42</v>
      </c>
      <c r="G367" s="23" t="s">
        <v>2141</v>
      </c>
      <c r="H367" s="24" t="s">
        <v>55</v>
      </c>
    </row>
    <row r="368" spans="1:12" ht="26.25" customHeight="1">
      <c r="A368" s="17">
        <f t="shared" si="0"/>
        <v>365</v>
      </c>
      <c r="B368" s="18" t="s">
        <v>1368</v>
      </c>
      <c r="C368" s="31" t="s">
        <v>2142</v>
      </c>
      <c r="D368" s="20" t="s">
        <v>2144</v>
      </c>
      <c r="E368" s="32" t="s">
        <v>3775</v>
      </c>
      <c r="F368" s="33" t="s">
        <v>53</v>
      </c>
      <c r="G368" s="23" t="s">
        <v>2145</v>
      </c>
      <c r="H368" s="24" t="s">
        <v>20</v>
      </c>
      <c r="J368" s="284" t="str">
        <f>CONCATENATE(C368," │  ISSN:  ",D368," *")</f>
        <v>Journal of Family and Consumer sciences │  ISSN:  1082-1651 *</v>
      </c>
      <c r="L368" s="243" t="s">
        <v>5236</v>
      </c>
    </row>
    <row r="369" spans="1:12" ht="26.25" hidden="1" customHeight="1">
      <c r="A369" s="17">
        <f t="shared" si="0"/>
        <v>366</v>
      </c>
      <c r="B369" s="18" t="s">
        <v>37</v>
      </c>
      <c r="C369" s="31" t="s">
        <v>2146</v>
      </c>
      <c r="D369" s="20" t="s">
        <v>2147</v>
      </c>
      <c r="E369" s="32" t="s">
        <v>542</v>
      </c>
      <c r="F369" s="22" t="s">
        <v>53</v>
      </c>
      <c r="G369" s="23" t="s">
        <v>2148</v>
      </c>
      <c r="H369" s="24" t="s">
        <v>55</v>
      </c>
    </row>
    <row r="370" spans="1:12" ht="26.25" customHeight="1">
      <c r="A370" s="17">
        <f t="shared" si="0"/>
        <v>367</v>
      </c>
      <c r="B370" s="18" t="s">
        <v>248</v>
      </c>
      <c r="C370" s="19" t="s">
        <v>2149</v>
      </c>
      <c r="D370" s="20" t="s">
        <v>2150</v>
      </c>
      <c r="E370" s="32" t="s">
        <v>5081</v>
      </c>
      <c r="F370" s="33" t="s">
        <v>42</v>
      </c>
      <c r="G370" s="23" t="s">
        <v>2152</v>
      </c>
      <c r="H370" s="24" t="s">
        <v>20</v>
      </c>
      <c r="J370" s="284" t="str">
        <f t="shared" ref="J370:J371" si="33">CONCATENATE(C370," │  ISSN:  ",D370," *")</f>
        <v>Journal of Fluids Engineering │  ISSN:  0098-2202 *</v>
      </c>
      <c r="L370" s="243" t="s">
        <v>5237</v>
      </c>
    </row>
    <row r="371" spans="1:12" ht="26.25" customHeight="1">
      <c r="A371" s="17">
        <f t="shared" si="0"/>
        <v>368</v>
      </c>
      <c r="B371" s="18" t="s">
        <v>13</v>
      </c>
      <c r="C371" s="19" t="s">
        <v>2153</v>
      </c>
      <c r="D371" s="20" t="s">
        <v>2154</v>
      </c>
      <c r="E371" s="32" t="s">
        <v>4956</v>
      </c>
      <c r="F371" s="22" t="s">
        <v>42</v>
      </c>
      <c r="G371" s="23" t="s">
        <v>2155</v>
      </c>
      <c r="H371" s="24" t="s">
        <v>20</v>
      </c>
      <c r="J371" s="284" t="str">
        <f t="shared" si="33"/>
        <v>Journal of Geotechnical and Geoenvironmental Engineering │  ISSN:  1090-0241 *</v>
      </c>
      <c r="L371" s="243" t="s">
        <v>5238</v>
      </c>
    </row>
    <row r="372" spans="1:12" ht="26.25" hidden="1" customHeight="1">
      <c r="A372" s="17">
        <f t="shared" si="0"/>
        <v>369</v>
      </c>
      <c r="B372" s="18" t="s">
        <v>233</v>
      </c>
      <c r="C372" s="31" t="s">
        <v>585</v>
      </c>
      <c r="D372" s="20" t="s">
        <v>586</v>
      </c>
      <c r="E372" s="32" t="s">
        <v>2157</v>
      </c>
      <c r="F372" s="22" t="s">
        <v>42</v>
      </c>
      <c r="G372" s="23" t="s">
        <v>2158</v>
      </c>
      <c r="H372" s="24" t="s">
        <v>55</v>
      </c>
    </row>
    <row r="373" spans="1:12" ht="26.25" customHeight="1">
      <c r="A373" s="17">
        <f t="shared" si="0"/>
        <v>370</v>
      </c>
      <c r="B373" s="18" t="s">
        <v>132</v>
      </c>
      <c r="C373" s="19" t="s">
        <v>2159</v>
      </c>
      <c r="D373" s="20" t="s">
        <v>2160</v>
      </c>
      <c r="E373" s="32" t="s">
        <v>4980</v>
      </c>
      <c r="F373" s="22" t="s">
        <v>42</v>
      </c>
      <c r="G373" s="23" t="s">
        <v>2162</v>
      </c>
      <c r="H373" s="24" t="s">
        <v>20</v>
      </c>
      <c r="J373" s="284" t="str">
        <f>CONCATENATE(C373," │  ISSN:  ",D373," *")</f>
        <v>Journal of Heat Transfer │  ISSN:  0022-1481 *</v>
      </c>
      <c r="L373" s="243" t="s">
        <v>5239</v>
      </c>
    </row>
    <row r="374" spans="1:12" ht="26.25" hidden="1" customHeight="1">
      <c r="A374" s="17">
        <f t="shared" si="0"/>
        <v>371</v>
      </c>
      <c r="B374" s="18" t="s">
        <v>175</v>
      </c>
      <c r="C374" s="31" t="s">
        <v>2163</v>
      </c>
      <c r="D374" s="20" t="s">
        <v>2165</v>
      </c>
      <c r="E374" s="32" t="s">
        <v>2166</v>
      </c>
      <c r="F374" s="33" t="s">
        <v>42</v>
      </c>
      <c r="G374" s="23" t="s">
        <v>2167</v>
      </c>
      <c r="H374" s="24" t="s">
        <v>55</v>
      </c>
    </row>
    <row r="375" spans="1:12" ht="26.25" customHeight="1">
      <c r="A375" s="17">
        <f t="shared" si="0"/>
        <v>372</v>
      </c>
      <c r="B375" s="18" t="s">
        <v>248</v>
      </c>
      <c r="C375" s="19" t="s">
        <v>2168</v>
      </c>
      <c r="D375" s="20" t="s">
        <v>2169</v>
      </c>
      <c r="E375" s="32" t="s">
        <v>4966</v>
      </c>
      <c r="F375" s="33" t="s">
        <v>42</v>
      </c>
      <c r="G375" s="23" t="s">
        <v>2170</v>
      </c>
      <c r="H375" s="24" t="s">
        <v>20</v>
      </c>
      <c r="J375" s="284" t="str">
        <f t="shared" ref="J375:J376" si="34">CONCATENATE(C375," │  ISSN:  ",D375," *")</f>
        <v>Journal of Hydraulic Engineering │  ISSN:  0733-9429 *</v>
      </c>
      <c r="L375" s="243" t="s">
        <v>5240</v>
      </c>
    </row>
    <row r="376" spans="1:12" ht="26.25" customHeight="1">
      <c r="A376" s="17">
        <f t="shared" si="0"/>
        <v>373</v>
      </c>
      <c r="B376" s="18" t="s">
        <v>248</v>
      </c>
      <c r="C376" s="19" t="s">
        <v>2171</v>
      </c>
      <c r="D376" s="20" t="s">
        <v>2172</v>
      </c>
      <c r="E376" s="32" t="s">
        <v>52</v>
      </c>
      <c r="F376" s="33" t="s">
        <v>42</v>
      </c>
      <c r="G376" s="23" t="s">
        <v>2173</v>
      </c>
      <c r="H376" s="24" t="s">
        <v>20</v>
      </c>
      <c r="J376" s="284" t="str">
        <f t="shared" si="34"/>
        <v>Journal of Hydraulic Research │  ISSN:  0022-1686 *</v>
      </c>
      <c r="L376" s="243" t="s">
        <v>5241</v>
      </c>
    </row>
    <row r="377" spans="1:12" ht="26.25" hidden="1" customHeight="1">
      <c r="A377" s="17">
        <f t="shared" si="0"/>
        <v>374</v>
      </c>
      <c r="B377" s="18" t="s">
        <v>105</v>
      </c>
      <c r="C377" s="31" t="s">
        <v>2174</v>
      </c>
      <c r="D377" s="20" t="s">
        <v>2176</v>
      </c>
      <c r="E377" s="32" t="s">
        <v>222</v>
      </c>
      <c r="F377" s="33" t="s">
        <v>42</v>
      </c>
      <c r="G377" s="23" t="s">
        <v>2177</v>
      </c>
      <c r="H377" s="24" t="s">
        <v>55</v>
      </c>
    </row>
    <row r="378" spans="1:12" ht="26.25" customHeight="1">
      <c r="A378" s="17">
        <f t="shared" si="0"/>
        <v>375</v>
      </c>
      <c r="B378" s="18" t="s">
        <v>248</v>
      </c>
      <c r="C378" s="19" t="s">
        <v>2178</v>
      </c>
      <c r="D378" s="20" t="s">
        <v>2179</v>
      </c>
      <c r="E378" s="32" t="s">
        <v>52</v>
      </c>
      <c r="F378" s="33" t="s">
        <v>42</v>
      </c>
      <c r="G378" s="23" t="s">
        <v>2180</v>
      </c>
      <c r="H378" s="24" t="s">
        <v>20</v>
      </c>
      <c r="J378" s="284" t="str">
        <f>CONCATENATE(C378," │  ISSN:  ",D378," *")</f>
        <v>Journal of Hydrologic Engineering │  ISSN:  1084-0699 *</v>
      </c>
      <c r="L378" s="243" t="s">
        <v>5242</v>
      </c>
    </row>
    <row r="379" spans="1:12" ht="26.25" hidden="1" customHeight="1">
      <c r="A379" s="17">
        <f t="shared" si="0"/>
        <v>376</v>
      </c>
      <c r="B379" s="18" t="s">
        <v>2181</v>
      </c>
      <c r="C379" s="31" t="s">
        <v>2182</v>
      </c>
      <c r="D379" s="20" t="s">
        <v>2184</v>
      </c>
      <c r="E379" s="32" t="s">
        <v>222</v>
      </c>
      <c r="F379" s="33" t="s">
        <v>42</v>
      </c>
      <c r="G379" s="23" t="s">
        <v>2185</v>
      </c>
      <c r="H379" s="24" t="s">
        <v>55</v>
      </c>
    </row>
    <row r="380" spans="1:12" ht="26.25" customHeight="1">
      <c r="A380" s="17">
        <f t="shared" si="0"/>
        <v>377</v>
      </c>
      <c r="B380" s="18" t="s">
        <v>37</v>
      </c>
      <c r="C380" s="19" t="s">
        <v>2186</v>
      </c>
      <c r="D380" s="20" t="s">
        <v>2187</v>
      </c>
      <c r="E380" s="32" t="s">
        <v>2705</v>
      </c>
      <c r="F380" s="22" t="s">
        <v>42</v>
      </c>
      <c r="G380" s="23" t="s">
        <v>2188</v>
      </c>
      <c r="H380" s="24" t="s">
        <v>20</v>
      </c>
      <c r="J380" s="284" t="str">
        <f>CONCATENATE(C380," │  ISSN:  ",D380," *")</f>
        <v>Journal of Intelligent Material Systems and Structures │  ISSN:  1045-389X *</v>
      </c>
      <c r="L380" s="243" t="s">
        <v>5243</v>
      </c>
    </row>
    <row r="381" spans="1:12" ht="26.25" hidden="1" customHeight="1">
      <c r="A381" s="17">
        <f t="shared" si="0"/>
        <v>378</v>
      </c>
      <c r="B381" s="18" t="s">
        <v>13</v>
      </c>
      <c r="C381" s="31" t="s">
        <v>2189</v>
      </c>
      <c r="D381" s="20" t="s">
        <v>2190</v>
      </c>
      <c r="E381" s="32" t="s">
        <v>2191</v>
      </c>
      <c r="F381" s="22" t="s">
        <v>42</v>
      </c>
      <c r="G381" s="23" t="s">
        <v>2192</v>
      </c>
      <c r="H381" s="24" t="s">
        <v>55</v>
      </c>
    </row>
    <row r="382" spans="1:12" ht="26.25" hidden="1" customHeight="1">
      <c r="A382" s="17">
        <f t="shared" si="0"/>
        <v>379</v>
      </c>
      <c r="B382" s="18" t="s">
        <v>81</v>
      </c>
      <c r="C382" s="31" t="s">
        <v>2193</v>
      </c>
      <c r="D382" s="20" t="s">
        <v>2195</v>
      </c>
      <c r="E382" s="32" t="s">
        <v>2196</v>
      </c>
      <c r="F382" s="33" t="s">
        <v>42</v>
      </c>
      <c r="G382" s="23" t="s">
        <v>2197</v>
      </c>
      <c r="H382" s="24" t="s">
        <v>55</v>
      </c>
    </row>
    <row r="383" spans="1:12" ht="26.25" customHeight="1">
      <c r="A383" s="17">
        <f t="shared" si="0"/>
        <v>380</v>
      </c>
      <c r="B383" s="18" t="s">
        <v>27</v>
      </c>
      <c r="C383" s="31" t="s">
        <v>2198</v>
      </c>
      <c r="D383" s="20" t="s">
        <v>2199</v>
      </c>
      <c r="E383" s="21" t="s">
        <v>5070</v>
      </c>
      <c r="F383" s="22" t="s">
        <v>42</v>
      </c>
      <c r="G383" s="23" t="s">
        <v>2201</v>
      </c>
      <c r="H383" s="34" t="s">
        <v>20</v>
      </c>
      <c r="J383" s="284" t="str">
        <f t="shared" ref="J383:J385" si="35">CONCATENATE(C383," │  ISSN:  ",D383," *")</f>
        <v>Journal of Macromolecular science. Part A │  ISSN:  1060-1325 *</v>
      </c>
      <c r="L383" s="243" t="s">
        <v>5244</v>
      </c>
    </row>
    <row r="384" spans="1:12" ht="26.25" customHeight="1">
      <c r="A384" s="17">
        <f t="shared" si="0"/>
        <v>381</v>
      </c>
      <c r="B384" s="18" t="s">
        <v>248</v>
      </c>
      <c r="C384" s="19" t="s">
        <v>2202</v>
      </c>
      <c r="D384" s="20" t="s">
        <v>2203</v>
      </c>
      <c r="E384" s="32" t="s">
        <v>52</v>
      </c>
      <c r="F384" s="33" t="s">
        <v>42</v>
      </c>
      <c r="G384" s="23" t="s">
        <v>2204</v>
      </c>
      <c r="H384" s="24" t="s">
        <v>20</v>
      </c>
      <c r="J384" s="284" t="str">
        <f t="shared" si="35"/>
        <v>Journal of Management in Engineering │  ISSN:  0742-597X *</v>
      </c>
      <c r="L384" s="243" t="s">
        <v>5245</v>
      </c>
    </row>
    <row r="385" spans="1:12" ht="26.25" customHeight="1">
      <c r="A385" s="17">
        <f t="shared" si="0"/>
        <v>382</v>
      </c>
      <c r="B385" s="18" t="s">
        <v>132</v>
      </c>
      <c r="C385" s="19" t="s">
        <v>2205</v>
      </c>
      <c r="D385" s="20" t="s">
        <v>2206</v>
      </c>
      <c r="E385" s="32" t="s">
        <v>4981</v>
      </c>
      <c r="F385" s="22" t="s">
        <v>42</v>
      </c>
      <c r="G385" s="23" t="s">
        <v>2208</v>
      </c>
      <c r="H385" s="24" t="s">
        <v>20</v>
      </c>
      <c r="J385" s="284" t="str">
        <f t="shared" si="35"/>
        <v>Journal of Manufacturing science and Engineering │  ISSN:  1087-1357 *</v>
      </c>
      <c r="L385" s="243" t="s">
        <v>5246</v>
      </c>
    </row>
    <row r="386" spans="1:12" ht="26.25" hidden="1" customHeight="1">
      <c r="A386" s="17">
        <f t="shared" si="0"/>
        <v>383</v>
      </c>
      <c r="B386" s="18" t="s">
        <v>132</v>
      </c>
      <c r="C386" s="31" t="s">
        <v>2209</v>
      </c>
      <c r="D386" s="20" t="s">
        <v>2210</v>
      </c>
      <c r="E386" s="32" t="s">
        <v>2211</v>
      </c>
      <c r="F386" s="22" t="s">
        <v>42</v>
      </c>
      <c r="G386" s="23" t="s">
        <v>2212</v>
      </c>
      <c r="H386" s="24" t="s">
        <v>55</v>
      </c>
    </row>
    <row r="387" spans="1:12" ht="26.25" hidden="1" customHeight="1">
      <c r="A387" s="17">
        <f t="shared" si="0"/>
        <v>384</v>
      </c>
      <c r="B387" s="18" t="s">
        <v>81</v>
      </c>
      <c r="C387" s="31" t="s">
        <v>2213</v>
      </c>
      <c r="D387" s="20" t="s">
        <v>2214</v>
      </c>
      <c r="E387" s="32" t="s">
        <v>2215</v>
      </c>
      <c r="F387" s="33" t="s">
        <v>1290</v>
      </c>
      <c r="G387" s="23" t="s">
        <v>2216</v>
      </c>
      <c r="H387" s="24" t="s">
        <v>55</v>
      </c>
    </row>
    <row r="388" spans="1:12" ht="26.25" hidden="1" customHeight="1">
      <c r="A388" s="17">
        <f t="shared" si="0"/>
        <v>385</v>
      </c>
      <c r="B388" s="18" t="s">
        <v>1375</v>
      </c>
      <c r="C388" s="31" t="s">
        <v>2217</v>
      </c>
      <c r="D388" s="20" t="s">
        <v>2219</v>
      </c>
      <c r="E388" s="32" t="s">
        <v>1921</v>
      </c>
      <c r="F388" s="22" t="s">
        <v>31</v>
      </c>
      <c r="G388" s="23" t="s">
        <v>2220</v>
      </c>
      <c r="H388" s="24" t="s">
        <v>55</v>
      </c>
    </row>
    <row r="389" spans="1:12" ht="26.25" hidden="1" customHeight="1">
      <c r="A389" s="17">
        <f t="shared" si="0"/>
        <v>386</v>
      </c>
      <c r="B389" s="18" t="s">
        <v>27</v>
      </c>
      <c r="C389" s="31" t="s">
        <v>2221</v>
      </c>
      <c r="D389" s="20" t="s">
        <v>2222</v>
      </c>
      <c r="E389" s="32" t="s">
        <v>428</v>
      </c>
      <c r="F389" s="22" t="s">
        <v>53</v>
      </c>
      <c r="G389" s="23" t="s">
        <v>2223</v>
      </c>
      <c r="H389" s="24" t="s">
        <v>55</v>
      </c>
    </row>
    <row r="390" spans="1:12" ht="26.25" hidden="1" customHeight="1">
      <c r="A390" s="17">
        <f t="shared" si="0"/>
        <v>387</v>
      </c>
      <c r="B390" s="18" t="s">
        <v>27</v>
      </c>
      <c r="C390" s="31" t="s">
        <v>2224</v>
      </c>
      <c r="D390" s="20" t="s">
        <v>809</v>
      </c>
      <c r="E390" s="32" t="s">
        <v>2225</v>
      </c>
      <c r="F390" s="22" t="s">
        <v>42</v>
      </c>
      <c r="G390" s="23" t="s">
        <v>2226</v>
      </c>
      <c r="H390" s="24" t="s">
        <v>55</v>
      </c>
    </row>
    <row r="391" spans="1:12" ht="26.25" hidden="1" customHeight="1">
      <c r="A391" s="17">
        <f t="shared" si="0"/>
        <v>388</v>
      </c>
      <c r="B391" s="18" t="s">
        <v>27</v>
      </c>
      <c r="C391" s="31" t="s">
        <v>2227</v>
      </c>
      <c r="D391" s="20" t="s">
        <v>814</v>
      </c>
      <c r="E391" s="32" t="s">
        <v>2225</v>
      </c>
      <c r="F391" s="22" t="s">
        <v>42</v>
      </c>
      <c r="G391" s="23" t="s">
        <v>2228</v>
      </c>
      <c r="H391" s="24" t="s">
        <v>55</v>
      </c>
    </row>
    <row r="392" spans="1:12" ht="26.25" hidden="1" customHeight="1">
      <c r="A392" s="17">
        <f t="shared" si="0"/>
        <v>389</v>
      </c>
      <c r="B392" s="18" t="s">
        <v>27</v>
      </c>
      <c r="C392" s="31" t="s">
        <v>2229</v>
      </c>
      <c r="D392" s="20" t="s">
        <v>820</v>
      </c>
      <c r="E392" s="32" t="s">
        <v>2225</v>
      </c>
      <c r="F392" s="22" t="s">
        <v>42</v>
      </c>
      <c r="G392" s="23" t="s">
        <v>2230</v>
      </c>
      <c r="H392" s="24" t="s">
        <v>55</v>
      </c>
    </row>
    <row r="393" spans="1:12" ht="26.25" customHeight="1">
      <c r="A393" s="17">
        <f t="shared" si="0"/>
        <v>390</v>
      </c>
      <c r="B393" s="18" t="s">
        <v>13</v>
      </c>
      <c r="C393" s="19" t="s">
        <v>2231</v>
      </c>
      <c r="D393" s="20" t="s">
        <v>2232</v>
      </c>
      <c r="E393" s="32" t="s">
        <v>4957</v>
      </c>
      <c r="F393" s="22" t="s">
        <v>42</v>
      </c>
      <c r="G393" s="23" t="s">
        <v>2233</v>
      </c>
      <c r="H393" s="24" t="s">
        <v>20</v>
      </c>
      <c r="J393" s="284" t="str">
        <f t="shared" ref="J393:J395" si="36">CONCATENATE(C393," │  ISSN:  ",D393," *")</f>
        <v>Journal of Materials in Civil Engineering │  ISSN:  0899-1561 *</v>
      </c>
      <c r="L393" s="243" t="s">
        <v>5247</v>
      </c>
    </row>
    <row r="394" spans="1:12" ht="26.25" customHeight="1">
      <c r="A394" s="17">
        <f t="shared" si="0"/>
        <v>391</v>
      </c>
      <c r="B394" s="18" t="s">
        <v>37</v>
      </c>
      <c r="C394" s="19" t="s">
        <v>2234</v>
      </c>
      <c r="D394" s="20" t="s">
        <v>2235</v>
      </c>
      <c r="E394" s="32" t="s">
        <v>4995</v>
      </c>
      <c r="F394" s="22" t="s">
        <v>42</v>
      </c>
      <c r="G394" s="23" t="s">
        <v>2237</v>
      </c>
      <c r="H394" s="24" t="s">
        <v>20</v>
      </c>
      <c r="J394" s="284" t="str">
        <f t="shared" si="36"/>
        <v>Journal of Materials Research │  ISSN:  0884-2914 *</v>
      </c>
      <c r="L394" s="243" t="s">
        <v>5248</v>
      </c>
    </row>
    <row r="395" spans="1:12" ht="26.25" customHeight="1">
      <c r="A395" s="17">
        <f t="shared" si="0"/>
        <v>392</v>
      </c>
      <c r="B395" s="18" t="s">
        <v>37</v>
      </c>
      <c r="C395" s="19" t="s">
        <v>2238</v>
      </c>
      <c r="D395" s="20" t="s">
        <v>2239</v>
      </c>
      <c r="E395" s="32" t="s">
        <v>5011</v>
      </c>
      <c r="F395" s="22" t="s">
        <v>42</v>
      </c>
      <c r="G395" s="23" t="s">
        <v>2240</v>
      </c>
      <c r="H395" s="24" t="s">
        <v>20</v>
      </c>
      <c r="J395" s="284" t="str">
        <f t="shared" si="36"/>
        <v>Journal of Materials science │  ISSN:  0022-2461 *</v>
      </c>
      <c r="L395" s="243" t="s">
        <v>5249</v>
      </c>
    </row>
    <row r="396" spans="1:12" ht="26.25" hidden="1" customHeight="1">
      <c r="A396" s="17">
        <f t="shared" si="0"/>
        <v>393</v>
      </c>
      <c r="B396" s="18" t="s">
        <v>37</v>
      </c>
      <c r="C396" s="31" t="s">
        <v>2241</v>
      </c>
      <c r="D396" s="20" t="s">
        <v>2243</v>
      </c>
      <c r="E396" s="32" t="s">
        <v>2244</v>
      </c>
      <c r="F396" s="22" t="s">
        <v>53</v>
      </c>
      <c r="G396" s="23" t="s">
        <v>2245</v>
      </c>
      <c r="H396" s="24" t="s">
        <v>55</v>
      </c>
    </row>
    <row r="397" spans="1:12" ht="26.25" hidden="1" customHeight="1">
      <c r="A397" s="17">
        <f t="shared" si="0"/>
        <v>394</v>
      </c>
      <c r="B397" s="18" t="s">
        <v>37</v>
      </c>
      <c r="C397" s="31" t="s">
        <v>2246</v>
      </c>
      <c r="D397" s="20" t="s">
        <v>2248</v>
      </c>
      <c r="E397" s="32" t="s">
        <v>2249</v>
      </c>
      <c r="F397" s="22" t="s">
        <v>42</v>
      </c>
      <c r="G397" s="23" t="s">
        <v>2250</v>
      </c>
      <c r="H397" s="24" t="s">
        <v>55</v>
      </c>
    </row>
    <row r="398" spans="1:12" ht="26.25" hidden="1" customHeight="1">
      <c r="A398" s="17">
        <f t="shared" si="0"/>
        <v>395</v>
      </c>
      <c r="B398" s="18" t="s">
        <v>37</v>
      </c>
      <c r="C398" s="31" t="s">
        <v>2251</v>
      </c>
      <c r="D398" s="20" t="s">
        <v>2252</v>
      </c>
      <c r="E398" s="32" t="s">
        <v>2253</v>
      </c>
      <c r="F398" s="22" t="s">
        <v>42</v>
      </c>
      <c r="G398" s="23" t="s">
        <v>2254</v>
      </c>
      <c r="H398" s="24" t="s">
        <v>55</v>
      </c>
    </row>
    <row r="399" spans="1:12" ht="26.25" hidden="1" customHeight="1">
      <c r="A399" s="17">
        <f t="shared" si="0"/>
        <v>396</v>
      </c>
      <c r="B399" s="18" t="s">
        <v>105</v>
      </c>
      <c r="C399" s="31" t="s">
        <v>2255</v>
      </c>
      <c r="D399" s="20" t="s">
        <v>2256</v>
      </c>
      <c r="E399" s="32" t="s">
        <v>2257</v>
      </c>
      <c r="F399" s="33" t="s">
        <v>63</v>
      </c>
      <c r="G399" s="23" t="s">
        <v>2258</v>
      </c>
      <c r="H399" s="24" t="s">
        <v>55</v>
      </c>
    </row>
    <row r="400" spans="1:12" ht="26.25" customHeight="1">
      <c r="A400" s="17">
        <f t="shared" si="0"/>
        <v>397</v>
      </c>
      <c r="B400" s="18" t="s">
        <v>132</v>
      </c>
      <c r="C400" s="31" t="s">
        <v>2259</v>
      </c>
      <c r="D400" s="20" t="s">
        <v>2260</v>
      </c>
      <c r="E400" s="32" t="s">
        <v>4977</v>
      </c>
      <c r="F400" s="22" t="s">
        <v>31</v>
      </c>
      <c r="G400" s="23" t="s">
        <v>2261</v>
      </c>
      <c r="H400" s="24" t="s">
        <v>20</v>
      </c>
      <c r="J400" s="284" t="str">
        <f t="shared" ref="J400:J401" si="37">CONCATENATE(C400," │  ISSN:  ",D400," *")</f>
        <v>Journal of Mechanical Design │  ISSN:  1050-0472 *</v>
      </c>
      <c r="L400" s="243" t="s">
        <v>5250</v>
      </c>
    </row>
    <row r="401" spans="1:12" ht="26.25" customHeight="1">
      <c r="A401" s="17">
        <f t="shared" si="0"/>
        <v>398</v>
      </c>
      <c r="B401" s="18" t="s">
        <v>175</v>
      </c>
      <c r="C401" s="19" t="s">
        <v>2262</v>
      </c>
      <c r="D401" s="20" t="s">
        <v>2264</v>
      </c>
      <c r="E401" s="32" t="s">
        <v>178</v>
      </c>
      <c r="F401" s="33" t="s">
        <v>31</v>
      </c>
      <c r="G401" s="23" t="s">
        <v>2265</v>
      </c>
      <c r="H401" s="24" t="s">
        <v>20</v>
      </c>
      <c r="J401" s="284" t="str">
        <f t="shared" si="37"/>
        <v>Journal of Mechanics of Materials and Structures │  ISSN:  1559-3959 *</v>
      </c>
      <c r="L401" s="243" t="s">
        <v>5251</v>
      </c>
    </row>
    <row r="402" spans="1:12" ht="26.25" hidden="1" customHeight="1">
      <c r="A402" s="17">
        <f t="shared" si="0"/>
        <v>399</v>
      </c>
      <c r="B402" s="18" t="s">
        <v>48</v>
      </c>
      <c r="C402" s="31" t="s">
        <v>2266</v>
      </c>
      <c r="D402" s="20" t="s">
        <v>2268</v>
      </c>
      <c r="E402" s="32" t="s">
        <v>542</v>
      </c>
      <c r="F402" s="33" t="s">
        <v>42</v>
      </c>
      <c r="G402" s="23" t="s">
        <v>2269</v>
      </c>
      <c r="H402" s="24" t="s">
        <v>55</v>
      </c>
    </row>
    <row r="403" spans="1:12" ht="26.25" customHeight="1">
      <c r="A403" s="17">
        <f t="shared" si="0"/>
        <v>400</v>
      </c>
      <c r="B403" s="18" t="s">
        <v>105</v>
      </c>
      <c r="C403" s="19" t="s">
        <v>2270</v>
      </c>
      <c r="D403" s="20" t="s">
        <v>1864</v>
      </c>
      <c r="E403" s="32" t="s">
        <v>2272</v>
      </c>
      <c r="F403" s="33" t="s">
        <v>42</v>
      </c>
      <c r="G403" s="23" t="s">
        <v>2273</v>
      </c>
      <c r="H403" s="24" t="s">
        <v>20</v>
      </c>
      <c r="J403" s="284" t="str">
        <f>CONCATENATE(C403," │  ISSN:  ",D403," *")</f>
        <v>Journal of Mineralogical and Petrological sciences │  ISSN:  1345-6296 *</v>
      </c>
      <c r="L403" s="243" t="s">
        <v>5252</v>
      </c>
    </row>
    <row r="404" spans="1:12" ht="26.25" hidden="1" customHeight="1">
      <c r="A404" s="17">
        <f t="shared" si="0"/>
        <v>401</v>
      </c>
      <c r="B404" s="18" t="s">
        <v>175</v>
      </c>
      <c r="C404" s="31" t="s">
        <v>2274</v>
      </c>
      <c r="D404" s="20" t="s">
        <v>2275</v>
      </c>
      <c r="E404" s="32" t="s">
        <v>2276</v>
      </c>
      <c r="F404" s="33" t="s">
        <v>42</v>
      </c>
      <c r="G404" s="23" t="s">
        <v>2277</v>
      </c>
      <c r="H404" s="24" t="s">
        <v>55</v>
      </c>
    </row>
    <row r="405" spans="1:12" ht="26.25" hidden="1" customHeight="1">
      <c r="A405" s="17">
        <f t="shared" si="0"/>
        <v>402</v>
      </c>
      <c r="B405" s="18" t="s">
        <v>105</v>
      </c>
      <c r="C405" s="31" t="s">
        <v>2278</v>
      </c>
      <c r="D405" s="20" t="s">
        <v>2279</v>
      </c>
      <c r="E405" s="32" t="s">
        <v>2280</v>
      </c>
      <c r="F405" s="33" t="s">
        <v>1290</v>
      </c>
      <c r="G405" s="23" t="s">
        <v>2281</v>
      </c>
      <c r="H405" s="24" t="s">
        <v>55</v>
      </c>
    </row>
    <row r="406" spans="1:12" ht="26.25" customHeight="1">
      <c r="A406" s="17">
        <f t="shared" si="0"/>
        <v>403</v>
      </c>
      <c r="B406" s="18" t="s">
        <v>248</v>
      </c>
      <c r="C406" s="19" t="s">
        <v>2282</v>
      </c>
      <c r="D406" s="20" t="s">
        <v>2283</v>
      </c>
      <c r="E406" s="32" t="s">
        <v>2890</v>
      </c>
      <c r="F406" s="33" t="s">
        <v>31</v>
      </c>
      <c r="G406" s="23" t="s">
        <v>2285</v>
      </c>
      <c r="H406" s="24" t="s">
        <v>20</v>
      </c>
      <c r="J406" s="284" t="str">
        <f t="shared" ref="J406:J407" si="38">CONCATENATE(C406," │  ISSN:  ",D406," *")</f>
        <v>Journal of Nanoscience and Nanotechnology │  ISSN:  1533-4880 *</v>
      </c>
      <c r="L406" s="243" t="s">
        <v>5253</v>
      </c>
    </row>
    <row r="407" spans="1:12" ht="26.25" customHeight="1">
      <c r="A407" s="17">
        <f t="shared" si="0"/>
        <v>404</v>
      </c>
      <c r="B407" s="18" t="s">
        <v>867</v>
      </c>
      <c r="C407" s="19" t="s">
        <v>2286</v>
      </c>
      <c r="D407" s="20" t="s">
        <v>2288</v>
      </c>
      <c r="E407" s="32" t="s">
        <v>186</v>
      </c>
      <c r="F407" s="33" t="s">
        <v>42</v>
      </c>
      <c r="G407" s="23" t="s">
        <v>2289</v>
      </c>
      <c r="H407" s="24" t="s">
        <v>20</v>
      </c>
      <c r="J407" s="284" t="str">
        <f t="shared" si="38"/>
        <v>Journal of Natural Fibers │  ISSN:  1544-0478 *</v>
      </c>
      <c r="L407" s="243" t="s">
        <v>5254</v>
      </c>
    </row>
    <row r="408" spans="1:12" ht="26.25" hidden="1" customHeight="1">
      <c r="A408" s="17">
        <f t="shared" si="0"/>
        <v>405</v>
      </c>
      <c r="B408" s="18" t="s">
        <v>105</v>
      </c>
      <c r="C408" s="31" t="s">
        <v>2290</v>
      </c>
      <c r="D408" s="20" t="s">
        <v>113</v>
      </c>
      <c r="E408" s="32" t="s">
        <v>962</v>
      </c>
      <c r="F408" s="33" t="s">
        <v>42</v>
      </c>
      <c r="G408" s="23" t="s">
        <v>2291</v>
      </c>
      <c r="H408" s="24" t="s">
        <v>55</v>
      </c>
    </row>
    <row r="409" spans="1:12" ht="26.25" hidden="1" customHeight="1">
      <c r="A409" s="17">
        <f t="shared" si="0"/>
        <v>406</v>
      </c>
      <c r="B409" s="18" t="s">
        <v>105</v>
      </c>
      <c r="C409" s="31" t="s">
        <v>2292</v>
      </c>
      <c r="D409" s="20" t="s">
        <v>2293</v>
      </c>
      <c r="E409" s="32" t="s">
        <v>2294</v>
      </c>
      <c r="F409" s="33" t="s">
        <v>42</v>
      </c>
      <c r="G409" s="23" t="s">
        <v>2295</v>
      </c>
      <c r="H409" s="24" t="s">
        <v>55</v>
      </c>
    </row>
    <row r="410" spans="1:12" ht="26.25" customHeight="1">
      <c r="A410" s="17">
        <f t="shared" si="0"/>
        <v>407</v>
      </c>
      <c r="B410" s="18" t="s">
        <v>132</v>
      </c>
      <c r="C410" s="19" t="s">
        <v>2296</v>
      </c>
      <c r="D410" s="20" t="s">
        <v>2297</v>
      </c>
      <c r="E410" s="32" t="s">
        <v>52</v>
      </c>
      <c r="F410" s="22" t="s">
        <v>42</v>
      </c>
      <c r="G410" s="23" t="s">
        <v>2298</v>
      </c>
      <c r="H410" s="24" t="s">
        <v>20</v>
      </c>
      <c r="J410" s="284" t="str">
        <f t="shared" ref="J410:J411" si="39">CONCATENATE(C410," │  ISSN:  ",D410," *")</f>
        <v>Journal of Offshore Mechanics and Arctic Engineering │  ISSN:  0892-7219 *</v>
      </c>
      <c r="L410" s="243" t="s">
        <v>5255</v>
      </c>
    </row>
    <row r="411" spans="1:12" ht="26.25" customHeight="1">
      <c r="A411" s="17">
        <f t="shared" si="0"/>
        <v>408</v>
      </c>
      <c r="B411" s="18" t="s">
        <v>27</v>
      </c>
      <c r="C411" s="19" t="s">
        <v>2299</v>
      </c>
      <c r="D411" s="20" t="s">
        <v>2301</v>
      </c>
      <c r="E411" s="32" t="s">
        <v>5000</v>
      </c>
      <c r="F411" s="22" t="s">
        <v>42</v>
      </c>
      <c r="G411" s="23" t="s">
        <v>2302</v>
      </c>
      <c r="H411" s="24" t="s">
        <v>20</v>
      </c>
      <c r="J411" s="284" t="str">
        <f t="shared" si="39"/>
        <v>Journal of Oleo science │  ISSN:  1345-8957 *</v>
      </c>
      <c r="L411" s="243" t="s">
        <v>5256</v>
      </c>
    </row>
    <row r="412" spans="1:12" ht="26.25" hidden="1" customHeight="1">
      <c r="A412" s="17">
        <f t="shared" si="0"/>
        <v>409</v>
      </c>
      <c r="B412" s="18" t="s">
        <v>105</v>
      </c>
      <c r="C412" s="31" t="s">
        <v>2303</v>
      </c>
      <c r="D412" s="20" t="s">
        <v>2304</v>
      </c>
      <c r="E412" s="32" t="s">
        <v>519</v>
      </c>
      <c r="F412" s="33" t="s">
        <v>42</v>
      </c>
      <c r="G412" s="23" t="s">
        <v>2305</v>
      </c>
      <c r="H412" s="24" t="s">
        <v>55</v>
      </c>
    </row>
    <row r="413" spans="1:12" ht="26.25" hidden="1" customHeight="1">
      <c r="A413" s="17">
        <f t="shared" si="0"/>
        <v>410</v>
      </c>
      <c r="B413" s="18" t="s">
        <v>48</v>
      </c>
      <c r="C413" s="31" t="s">
        <v>2306</v>
      </c>
      <c r="D413" s="20" t="s">
        <v>2308</v>
      </c>
      <c r="E413" s="32" t="s">
        <v>222</v>
      </c>
      <c r="F413" s="33" t="s">
        <v>42</v>
      </c>
      <c r="G413" s="23" t="s">
        <v>2309</v>
      </c>
      <c r="H413" s="24" t="s">
        <v>55</v>
      </c>
    </row>
    <row r="414" spans="1:12" ht="26.25" customHeight="1">
      <c r="A414" s="17">
        <f t="shared" si="0"/>
        <v>411</v>
      </c>
      <c r="B414" s="18" t="s">
        <v>105</v>
      </c>
      <c r="C414" s="31" t="s">
        <v>2310</v>
      </c>
      <c r="D414" s="20" t="s">
        <v>2312</v>
      </c>
      <c r="E414" s="32" t="s">
        <v>3736</v>
      </c>
      <c r="F414" s="33" t="s">
        <v>42</v>
      </c>
      <c r="G414" s="23" t="s">
        <v>2313</v>
      </c>
      <c r="H414" s="24" t="s">
        <v>20</v>
      </c>
      <c r="J414" s="284" t="str">
        <f t="shared" ref="J414:J415" si="40">CONCATENATE(C414," │  ISSN:  ",D414," *")</f>
        <v>Journal of Paleontology │  ISSN:  0022-3360 *</v>
      </c>
      <c r="L414" s="243" t="s">
        <v>5257</v>
      </c>
    </row>
    <row r="415" spans="1:12" ht="26.25" customHeight="1">
      <c r="A415" s="17">
        <f t="shared" si="0"/>
        <v>412</v>
      </c>
      <c r="B415" s="18" t="s">
        <v>13</v>
      </c>
      <c r="C415" s="19" t="s">
        <v>2314</v>
      </c>
      <c r="D415" s="20" t="s">
        <v>2315</v>
      </c>
      <c r="E415" s="32" t="s">
        <v>52</v>
      </c>
      <c r="F415" s="22" t="s">
        <v>42</v>
      </c>
      <c r="G415" s="23" t="s">
        <v>2316</v>
      </c>
      <c r="H415" s="24" t="s">
        <v>20</v>
      </c>
      <c r="J415" s="284" t="str">
        <f t="shared" si="40"/>
        <v>Journal of Performance of Constructed Facilities │  ISSN:  0887-3828 *</v>
      </c>
      <c r="L415" s="243" t="s">
        <v>5258</v>
      </c>
    </row>
    <row r="416" spans="1:12" ht="26.25" hidden="1" customHeight="1">
      <c r="A416" s="17">
        <f t="shared" si="0"/>
        <v>413</v>
      </c>
      <c r="B416" s="18" t="s">
        <v>105</v>
      </c>
      <c r="C416" s="31" t="s">
        <v>2317</v>
      </c>
      <c r="D416" s="20" t="s">
        <v>2318</v>
      </c>
      <c r="E416" s="32" t="s">
        <v>1957</v>
      </c>
      <c r="F416" s="33" t="s">
        <v>31</v>
      </c>
      <c r="G416" s="23" t="s">
        <v>2319</v>
      </c>
      <c r="H416" s="24" t="s">
        <v>55</v>
      </c>
    </row>
    <row r="417" spans="1:12" ht="26.25" hidden="1" customHeight="1">
      <c r="A417" s="17">
        <f t="shared" si="0"/>
        <v>414</v>
      </c>
      <c r="B417" s="18" t="s">
        <v>175</v>
      </c>
      <c r="C417" s="31" t="s">
        <v>2320</v>
      </c>
      <c r="D417" s="20" t="s">
        <v>2321</v>
      </c>
      <c r="E417" s="32" t="s">
        <v>2322</v>
      </c>
      <c r="F417" s="33" t="s">
        <v>42</v>
      </c>
      <c r="G417" s="23" t="s">
        <v>2323</v>
      </c>
      <c r="H417" s="24" t="s">
        <v>55</v>
      </c>
    </row>
    <row r="418" spans="1:12" ht="26.25" hidden="1" customHeight="1">
      <c r="A418" s="17">
        <f t="shared" si="0"/>
        <v>415</v>
      </c>
      <c r="B418" s="18" t="s">
        <v>175</v>
      </c>
      <c r="C418" s="31" t="s">
        <v>2324</v>
      </c>
      <c r="D418" s="20" t="s">
        <v>2325</v>
      </c>
      <c r="E418" s="32" t="s">
        <v>2326</v>
      </c>
      <c r="F418" s="33" t="s">
        <v>42</v>
      </c>
      <c r="G418" s="23" t="s">
        <v>2327</v>
      </c>
      <c r="H418" s="24" t="s">
        <v>55</v>
      </c>
    </row>
    <row r="419" spans="1:12" ht="26.25" customHeight="1">
      <c r="A419" s="17">
        <f t="shared" si="0"/>
        <v>416</v>
      </c>
      <c r="B419" s="18" t="s">
        <v>175</v>
      </c>
      <c r="C419" s="31" t="s">
        <v>2328</v>
      </c>
      <c r="D419" s="20" t="s">
        <v>2329</v>
      </c>
      <c r="E419" s="21" t="s">
        <v>5089</v>
      </c>
      <c r="F419" s="33" t="s">
        <v>42</v>
      </c>
      <c r="G419" s="23" t="s">
        <v>2331</v>
      </c>
      <c r="H419" s="34" t="s">
        <v>20</v>
      </c>
      <c r="J419" s="284" t="str">
        <f>CONCATENATE(C419," │  ISSN:  ",D419," *")</f>
        <v>Journal of Physics, Condensed Matter │  ISSN:  0953-8984 *</v>
      </c>
      <c r="L419" s="243" t="s">
        <v>5259</v>
      </c>
    </row>
    <row r="420" spans="1:12" ht="26.25" hidden="1" customHeight="1">
      <c r="A420" s="17">
        <f t="shared" si="0"/>
        <v>417</v>
      </c>
      <c r="B420" s="18" t="s">
        <v>248</v>
      </c>
      <c r="C420" s="31" t="s">
        <v>2332</v>
      </c>
      <c r="D420" s="20" t="s">
        <v>2333</v>
      </c>
      <c r="E420" s="32" t="s">
        <v>2334</v>
      </c>
      <c r="F420" s="33" t="s">
        <v>350</v>
      </c>
      <c r="G420" s="23" t="s">
        <v>2335</v>
      </c>
      <c r="H420" s="24" t="s">
        <v>55</v>
      </c>
    </row>
    <row r="421" spans="1:12" ht="26.25" hidden="1" customHeight="1">
      <c r="A421" s="17">
        <f t="shared" si="0"/>
        <v>418</v>
      </c>
      <c r="B421" s="18" t="s">
        <v>175</v>
      </c>
      <c r="C421" s="31" t="s">
        <v>2336</v>
      </c>
      <c r="D421" s="20" t="s">
        <v>2338</v>
      </c>
      <c r="E421" s="32" t="s">
        <v>2339</v>
      </c>
      <c r="F421" s="33" t="s">
        <v>42</v>
      </c>
      <c r="G421" s="23" t="s">
        <v>2340</v>
      </c>
      <c r="H421" s="24" t="s">
        <v>55</v>
      </c>
    </row>
    <row r="422" spans="1:12" ht="26.25" customHeight="1">
      <c r="A422" s="17">
        <f t="shared" si="0"/>
        <v>419</v>
      </c>
      <c r="B422" s="18" t="s">
        <v>37</v>
      </c>
      <c r="C422" s="19" t="s">
        <v>2341</v>
      </c>
      <c r="D422" s="20" t="s">
        <v>2342</v>
      </c>
      <c r="E422" s="32" t="s">
        <v>178</v>
      </c>
      <c r="F422" s="22" t="s">
        <v>42</v>
      </c>
      <c r="G422" s="23" t="s">
        <v>2343</v>
      </c>
      <c r="H422" s="24" t="s">
        <v>20</v>
      </c>
      <c r="J422" s="284" t="str">
        <f t="shared" ref="J422:J423" si="41">CONCATENATE(C422," │  ISSN:  ",D422," *")</f>
        <v>Journal of Plastic Film and Sheeting │  ISSN:  8756-0879 *</v>
      </c>
      <c r="L422" s="243" t="s">
        <v>5260</v>
      </c>
    </row>
    <row r="423" spans="1:12" ht="26.25" customHeight="1">
      <c r="A423" s="17">
        <f t="shared" si="0"/>
        <v>420</v>
      </c>
      <c r="B423" s="18" t="s">
        <v>27</v>
      </c>
      <c r="C423" s="19" t="s">
        <v>2344</v>
      </c>
      <c r="D423" s="20" t="s">
        <v>2345</v>
      </c>
      <c r="E423" s="32" t="s">
        <v>178</v>
      </c>
      <c r="F423" s="22" t="s">
        <v>42</v>
      </c>
      <c r="G423" s="23" t="s">
        <v>2346</v>
      </c>
      <c r="H423" s="24" t="s">
        <v>20</v>
      </c>
      <c r="J423" s="284" t="str">
        <f t="shared" si="41"/>
        <v>Journal of Polymer Engineering │  ISSN:  0334-6447 *</v>
      </c>
      <c r="L423" s="243" t="s">
        <v>5261</v>
      </c>
    </row>
    <row r="424" spans="1:12" ht="26.25" hidden="1" customHeight="1">
      <c r="A424" s="17">
        <f t="shared" si="0"/>
        <v>421</v>
      </c>
      <c r="B424" s="18" t="s">
        <v>37</v>
      </c>
      <c r="C424" s="31" t="s">
        <v>1088</v>
      </c>
      <c r="D424" s="20" t="s">
        <v>1089</v>
      </c>
      <c r="E424" s="32" t="s">
        <v>170</v>
      </c>
      <c r="F424" s="22" t="s">
        <v>42</v>
      </c>
      <c r="G424" s="23" t="s">
        <v>2347</v>
      </c>
      <c r="H424" s="24" t="s">
        <v>55</v>
      </c>
    </row>
    <row r="425" spans="1:12" ht="26.25" customHeight="1">
      <c r="A425" s="17">
        <f t="shared" si="0"/>
        <v>422</v>
      </c>
      <c r="B425" s="18" t="s">
        <v>132</v>
      </c>
      <c r="C425" s="19" t="s">
        <v>2348</v>
      </c>
      <c r="D425" s="20" t="s">
        <v>2349</v>
      </c>
      <c r="E425" s="32" t="s">
        <v>4982</v>
      </c>
      <c r="F425" s="22" t="s">
        <v>42</v>
      </c>
      <c r="G425" s="23" t="s">
        <v>2351</v>
      </c>
      <c r="H425" s="24" t="s">
        <v>20</v>
      </c>
      <c r="J425" s="284" t="str">
        <f>CONCATENATE(C425," │  ISSN:  ",D425," *")</f>
        <v>Journal of Pressure Vessel Technology │  ISSN:  0094-9930 *</v>
      </c>
      <c r="L425" s="243" t="s">
        <v>5262</v>
      </c>
    </row>
    <row r="426" spans="1:12" ht="26.25" hidden="1" customHeight="1">
      <c r="A426" s="17">
        <f t="shared" si="0"/>
        <v>423</v>
      </c>
      <c r="B426" s="18" t="s">
        <v>13</v>
      </c>
      <c r="C426" s="31" t="s">
        <v>2352</v>
      </c>
      <c r="D426" s="20" t="s">
        <v>2353</v>
      </c>
      <c r="E426" s="32" t="s">
        <v>222</v>
      </c>
      <c r="F426" s="22" t="s">
        <v>31</v>
      </c>
      <c r="G426" s="23" t="s">
        <v>2354</v>
      </c>
      <c r="H426" s="24" t="s">
        <v>55</v>
      </c>
    </row>
    <row r="427" spans="1:12" ht="26.25" hidden="1" customHeight="1">
      <c r="A427" s="17">
        <f t="shared" si="0"/>
        <v>424</v>
      </c>
      <c r="B427" s="18" t="s">
        <v>233</v>
      </c>
      <c r="C427" s="31" t="s">
        <v>591</v>
      </c>
      <c r="D427" s="20" t="s">
        <v>592</v>
      </c>
      <c r="E427" s="32" t="s">
        <v>496</v>
      </c>
      <c r="F427" s="22" t="s">
        <v>42</v>
      </c>
      <c r="G427" s="23" t="s">
        <v>2355</v>
      </c>
      <c r="H427" s="24" t="s">
        <v>55</v>
      </c>
    </row>
    <row r="428" spans="1:12" ht="26.25" customHeight="1">
      <c r="A428" s="17">
        <f t="shared" si="0"/>
        <v>425</v>
      </c>
      <c r="B428" s="18" t="s">
        <v>132</v>
      </c>
      <c r="C428" s="19" t="s">
        <v>2356</v>
      </c>
      <c r="D428" s="20" t="s">
        <v>2357</v>
      </c>
      <c r="E428" s="32" t="s">
        <v>4983</v>
      </c>
      <c r="F428" s="22" t="s">
        <v>42</v>
      </c>
      <c r="G428" s="23" t="s">
        <v>2359</v>
      </c>
      <c r="H428" s="24" t="s">
        <v>20</v>
      </c>
      <c r="J428" s="284" t="str">
        <f t="shared" ref="J428:J430" si="42">CONCATENATE(C428," │  ISSN:  ",D428," *")</f>
        <v>Journal of Quality Technology │  ISSN:  0022-4065 *</v>
      </c>
      <c r="L428" s="243" t="s">
        <v>5263</v>
      </c>
    </row>
    <row r="429" spans="1:12" ht="26.25" customHeight="1">
      <c r="A429" s="17">
        <f t="shared" si="0"/>
        <v>426</v>
      </c>
      <c r="B429" s="18" t="s">
        <v>37</v>
      </c>
      <c r="C429" s="31" t="s">
        <v>2360</v>
      </c>
      <c r="D429" s="20" t="s">
        <v>2362</v>
      </c>
      <c r="E429" s="21" t="s">
        <v>5065</v>
      </c>
      <c r="F429" s="22" t="s">
        <v>42</v>
      </c>
      <c r="G429" s="23" t="s">
        <v>2363</v>
      </c>
      <c r="H429" s="34" t="s">
        <v>20</v>
      </c>
      <c r="J429" s="284" t="str">
        <f t="shared" si="42"/>
        <v>Journal of Rheology │  ISSN:  0148-6055 *</v>
      </c>
      <c r="L429" s="243" t="s">
        <v>5264</v>
      </c>
    </row>
    <row r="430" spans="1:12" ht="26.25" customHeight="1">
      <c r="A430" s="17">
        <f t="shared" si="0"/>
        <v>427</v>
      </c>
      <c r="B430" s="18" t="s">
        <v>37</v>
      </c>
      <c r="C430" s="19" t="s">
        <v>1680</v>
      </c>
      <c r="D430" s="20" t="s">
        <v>1681</v>
      </c>
      <c r="E430" s="32" t="s">
        <v>178</v>
      </c>
      <c r="F430" s="22" t="s">
        <v>42</v>
      </c>
      <c r="G430" s="23" t="s">
        <v>2364</v>
      </c>
      <c r="H430" s="24" t="s">
        <v>20</v>
      </c>
      <c r="J430" s="284" t="str">
        <f t="shared" si="42"/>
        <v>Journal of Sandwich Structures &amp; Materials │  ISSN:  1099-6362 *</v>
      </c>
      <c r="L430" s="243" t="s">
        <v>5265</v>
      </c>
    </row>
    <row r="431" spans="1:12" ht="26.25" hidden="1" customHeight="1">
      <c r="A431" s="17">
        <f t="shared" si="0"/>
        <v>428</v>
      </c>
      <c r="B431" s="18" t="s">
        <v>1368</v>
      </c>
      <c r="C431" s="31" t="s">
        <v>2365</v>
      </c>
      <c r="D431" s="20" t="s">
        <v>2366</v>
      </c>
      <c r="E431" s="32" t="s">
        <v>142</v>
      </c>
      <c r="F431" s="33" t="s">
        <v>42</v>
      </c>
      <c r="G431" s="23" t="s">
        <v>2367</v>
      </c>
      <c r="H431" s="24" t="s">
        <v>55</v>
      </c>
    </row>
    <row r="432" spans="1:12" ht="26.25" hidden="1" customHeight="1">
      <c r="A432" s="17">
        <f t="shared" si="0"/>
        <v>429</v>
      </c>
      <c r="B432" s="18" t="s">
        <v>1368</v>
      </c>
      <c r="C432" s="31" t="s">
        <v>2368</v>
      </c>
      <c r="D432" s="20" t="s">
        <v>2369</v>
      </c>
      <c r="E432" s="32" t="s">
        <v>416</v>
      </c>
      <c r="F432" s="33" t="s">
        <v>53</v>
      </c>
      <c r="G432" s="23" t="s">
        <v>2370</v>
      </c>
      <c r="H432" s="24" t="s">
        <v>55</v>
      </c>
    </row>
    <row r="433" spans="1:12" ht="26.25" hidden="1" customHeight="1">
      <c r="A433" s="17">
        <f t="shared" si="0"/>
        <v>430</v>
      </c>
      <c r="B433" s="18" t="s">
        <v>105</v>
      </c>
      <c r="C433" s="31" t="s">
        <v>2371</v>
      </c>
      <c r="D433" s="20" t="s">
        <v>2373</v>
      </c>
      <c r="E433" s="32" t="s">
        <v>2374</v>
      </c>
      <c r="F433" s="33" t="s">
        <v>42</v>
      </c>
      <c r="G433" s="23" t="s">
        <v>2375</v>
      </c>
      <c r="H433" s="24" t="s">
        <v>55</v>
      </c>
    </row>
    <row r="434" spans="1:12" ht="26.25" customHeight="1">
      <c r="A434" s="17">
        <f t="shared" si="0"/>
        <v>431</v>
      </c>
      <c r="B434" s="18" t="s">
        <v>1375</v>
      </c>
      <c r="C434" s="19" t="s">
        <v>2376</v>
      </c>
      <c r="D434" s="20" t="s">
        <v>2378</v>
      </c>
      <c r="E434" s="32" t="s">
        <v>52</v>
      </c>
      <c r="F434" s="22" t="s">
        <v>31</v>
      </c>
      <c r="G434" s="23" t="s">
        <v>2379</v>
      </c>
      <c r="H434" s="24" t="s">
        <v>20</v>
      </c>
      <c r="J434" s="284" t="str">
        <f t="shared" ref="J434:J436" si="43">CONCATENATE(C434," │  ISSN:  ",D434," *")</f>
        <v>Journal of Ship Production and Design │  ISSN:  2158-2866 *</v>
      </c>
      <c r="L434" s="243" t="s">
        <v>5266</v>
      </c>
    </row>
    <row r="435" spans="1:12" ht="26.25" customHeight="1">
      <c r="A435" s="17">
        <f t="shared" si="0"/>
        <v>432</v>
      </c>
      <c r="B435" s="18" t="s">
        <v>1375</v>
      </c>
      <c r="C435" s="19" t="s">
        <v>2380</v>
      </c>
      <c r="D435" s="20" t="s">
        <v>2381</v>
      </c>
      <c r="E435" s="32" t="s">
        <v>4992</v>
      </c>
      <c r="F435" s="22" t="s">
        <v>31</v>
      </c>
      <c r="G435" s="23" t="s">
        <v>2383</v>
      </c>
      <c r="H435" s="24" t="s">
        <v>20</v>
      </c>
      <c r="J435" s="284" t="str">
        <f t="shared" si="43"/>
        <v>Journal of Ship Research │  ISSN:  0022-4502 *</v>
      </c>
      <c r="L435" s="243" t="s">
        <v>5267</v>
      </c>
    </row>
    <row r="436" spans="1:12" ht="26.25" customHeight="1">
      <c r="A436" s="17">
        <f t="shared" si="0"/>
        <v>433</v>
      </c>
      <c r="B436" s="18" t="s">
        <v>146</v>
      </c>
      <c r="C436" s="19" t="s">
        <v>2384</v>
      </c>
      <c r="D436" s="20" t="s">
        <v>2385</v>
      </c>
      <c r="E436" s="32" t="s">
        <v>52</v>
      </c>
      <c r="F436" s="33" t="s">
        <v>42</v>
      </c>
      <c r="G436" s="23" t="s">
        <v>2386</v>
      </c>
      <c r="H436" s="24" t="s">
        <v>20</v>
      </c>
      <c r="J436" s="284" t="str">
        <f t="shared" si="43"/>
        <v>Journal of Solar Energy Engineering │  ISSN:  0199-6231 *</v>
      </c>
      <c r="L436" s="243" t="s">
        <v>5268</v>
      </c>
    </row>
    <row r="437" spans="1:12" ht="26.25" hidden="1" customHeight="1">
      <c r="A437" s="17">
        <f t="shared" si="0"/>
        <v>434</v>
      </c>
      <c r="B437" s="18" t="s">
        <v>233</v>
      </c>
      <c r="C437" s="31" t="s">
        <v>598</v>
      </c>
      <c r="D437" s="20" t="s">
        <v>599</v>
      </c>
      <c r="E437" s="32" t="s">
        <v>2387</v>
      </c>
      <c r="F437" s="22" t="s">
        <v>42</v>
      </c>
      <c r="G437" s="23" t="s">
        <v>2388</v>
      </c>
      <c r="H437" s="24" t="s">
        <v>55</v>
      </c>
    </row>
    <row r="438" spans="1:12" ht="26.25" hidden="1" customHeight="1">
      <c r="A438" s="17">
        <f t="shared" si="0"/>
        <v>435</v>
      </c>
      <c r="B438" s="18" t="s">
        <v>105</v>
      </c>
      <c r="C438" s="31" t="s">
        <v>2389</v>
      </c>
      <c r="D438" s="20" t="s">
        <v>2390</v>
      </c>
      <c r="E438" s="32" t="s">
        <v>222</v>
      </c>
      <c r="F438" s="33" t="s">
        <v>42</v>
      </c>
      <c r="G438" s="23" t="s">
        <v>2391</v>
      </c>
      <c r="H438" s="24" t="s">
        <v>55</v>
      </c>
    </row>
    <row r="439" spans="1:12" ht="26.25" customHeight="1">
      <c r="A439" s="17">
        <f t="shared" si="0"/>
        <v>436</v>
      </c>
      <c r="B439" s="18" t="s">
        <v>13</v>
      </c>
      <c r="C439" s="19" t="s">
        <v>2392</v>
      </c>
      <c r="D439" s="20" t="s">
        <v>2393</v>
      </c>
      <c r="E439" s="32" t="s">
        <v>4958</v>
      </c>
      <c r="F439" s="22" t="s">
        <v>42</v>
      </c>
      <c r="G439" s="23" t="s">
        <v>2395</v>
      </c>
      <c r="H439" s="24" t="s">
        <v>20</v>
      </c>
      <c r="J439" s="284" t="str">
        <f>CONCATENATE(C439," │  ISSN:  ",D439," *")</f>
        <v>Journal of Structural Engineering │  ISSN:  0733-9445 *</v>
      </c>
      <c r="L439" s="243" t="s">
        <v>5269</v>
      </c>
    </row>
    <row r="440" spans="1:12" ht="26.25" hidden="1" customHeight="1">
      <c r="A440" s="17">
        <f t="shared" si="0"/>
        <v>437</v>
      </c>
      <c r="B440" s="18" t="s">
        <v>13</v>
      </c>
      <c r="C440" s="31" t="s">
        <v>1092</v>
      </c>
      <c r="D440" s="20" t="s">
        <v>1093</v>
      </c>
      <c r="E440" s="32" t="s">
        <v>2396</v>
      </c>
      <c r="F440" s="22" t="s">
        <v>42</v>
      </c>
      <c r="G440" s="23" t="s">
        <v>2397</v>
      </c>
      <c r="H440" s="24" t="s">
        <v>55</v>
      </c>
    </row>
    <row r="441" spans="1:12" ht="26.25" customHeight="1">
      <c r="A441" s="17">
        <f t="shared" si="0"/>
        <v>438</v>
      </c>
      <c r="B441" s="18" t="s">
        <v>37</v>
      </c>
      <c r="C441" s="19" t="s">
        <v>2398</v>
      </c>
      <c r="D441" s="20" t="s">
        <v>2400</v>
      </c>
      <c r="E441" s="32" t="s">
        <v>2890</v>
      </c>
      <c r="F441" s="22" t="s">
        <v>63</v>
      </c>
      <c r="G441" s="23" t="s">
        <v>2401</v>
      </c>
      <c r="H441" s="24" t="s">
        <v>20</v>
      </c>
      <c r="J441" s="284" t="str">
        <f>CONCATENATE(C441," │  ISSN:  ",D441," *")</f>
        <v>Journal of Textile Engineering │  ISSN:  1346-8235 *</v>
      </c>
      <c r="L441" s="243" t="s">
        <v>5270</v>
      </c>
    </row>
    <row r="442" spans="1:12" ht="26.25" hidden="1" customHeight="1">
      <c r="A442" s="17">
        <f t="shared" si="0"/>
        <v>439</v>
      </c>
      <c r="B442" s="18" t="s">
        <v>1197</v>
      </c>
      <c r="C442" s="31" t="s">
        <v>2402</v>
      </c>
      <c r="D442" s="20" t="s">
        <v>2403</v>
      </c>
      <c r="E442" s="32" t="s">
        <v>2404</v>
      </c>
      <c r="F442" s="33" t="s">
        <v>42</v>
      </c>
      <c r="G442" s="23" t="s">
        <v>2405</v>
      </c>
      <c r="H442" s="24" t="s">
        <v>55</v>
      </c>
    </row>
    <row r="443" spans="1:12" ht="26.25" hidden="1" customHeight="1">
      <c r="A443" s="17">
        <f t="shared" si="0"/>
        <v>440</v>
      </c>
      <c r="B443" s="18" t="s">
        <v>233</v>
      </c>
      <c r="C443" s="31" t="s">
        <v>2406</v>
      </c>
      <c r="D443" s="20" t="s">
        <v>2408</v>
      </c>
      <c r="E443" s="32" t="s">
        <v>222</v>
      </c>
      <c r="F443" s="22" t="s">
        <v>31</v>
      </c>
      <c r="G443" s="23" t="s">
        <v>2409</v>
      </c>
      <c r="H443" s="24" t="s">
        <v>55</v>
      </c>
    </row>
    <row r="444" spans="1:12" ht="26.25" customHeight="1">
      <c r="A444" s="17">
        <f t="shared" si="0"/>
        <v>441</v>
      </c>
      <c r="B444" s="18" t="s">
        <v>27</v>
      </c>
      <c r="C444" s="19" t="s">
        <v>2410</v>
      </c>
      <c r="D444" s="20" t="s">
        <v>2412</v>
      </c>
      <c r="E444" s="32" t="s">
        <v>178</v>
      </c>
      <c r="F444" s="22" t="s">
        <v>42</v>
      </c>
      <c r="G444" s="23" t="s">
        <v>2413</v>
      </c>
      <c r="H444" s="24" t="s">
        <v>20</v>
      </c>
      <c r="J444" s="284" t="str">
        <f>CONCATENATE(C444," │  ISSN:  ",D444," *")</f>
        <v>Journal of the American Leather Chemists Association │  ISSN:  0002-9726 *</v>
      </c>
      <c r="L444" s="243" t="s">
        <v>5271</v>
      </c>
    </row>
    <row r="445" spans="1:12" ht="26.25" hidden="1" customHeight="1">
      <c r="A445" s="17">
        <f t="shared" si="0"/>
        <v>442</v>
      </c>
      <c r="B445" s="18" t="s">
        <v>27</v>
      </c>
      <c r="C445" s="31" t="s">
        <v>2414</v>
      </c>
      <c r="D445" s="20" t="s">
        <v>2415</v>
      </c>
      <c r="E445" s="32" t="s">
        <v>2416</v>
      </c>
      <c r="F445" s="22" t="s">
        <v>42</v>
      </c>
      <c r="G445" s="23" t="s">
        <v>2417</v>
      </c>
      <c r="H445" s="24" t="s">
        <v>55</v>
      </c>
    </row>
    <row r="446" spans="1:12" ht="26.25" hidden="1" customHeight="1">
      <c r="A446" s="17">
        <f t="shared" si="0"/>
        <v>443</v>
      </c>
      <c r="B446" s="18" t="s">
        <v>867</v>
      </c>
      <c r="C446" s="92" t="s">
        <v>2418</v>
      </c>
      <c r="D446" s="90" t="s">
        <v>2420</v>
      </c>
      <c r="E446" s="91" t="s">
        <v>2421</v>
      </c>
      <c r="F446" s="93" t="s">
        <v>42</v>
      </c>
      <c r="G446" s="94" t="s">
        <v>2422</v>
      </c>
      <c r="H446" s="95" t="s">
        <v>55</v>
      </c>
    </row>
    <row r="447" spans="1:12" ht="26.25" customHeight="1">
      <c r="A447" s="17">
        <f t="shared" si="0"/>
        <v>444</v>
      </c>
      <c r="B447" s="18" t="s">
        <v>105</v>
      </c>
      <c r="C447" s="31" t="s">
        <v>2423</v>
      </c>
      <c r="D447" s="20" t="s">
        <v>2425</v>
      </c>
      <c r="E447" s="21" t="s">
        <v>5082</v>
      </c>
      <c r="F447" s="33" t="s">
        <v>42</v>
      </c>
      <c r="G447" s="23" t="s">
        <v>2427</v>
      </c>
      <c r="H447" s="34" t="s">
        <v>20</v>
      </c>
      <c r="J447" s="284" t="str">
        <f t="shared" ref="J447:J449" si="44">CONCATENATE(C447," │  ISSN:  ",D447," *")</f>
        <v>Journal of the American Statistical Association │  ISSN:  0162-1459 *</v>
      </c>
      <c r="L447" s="243" t="s">
        <v>5272</v>
      </c>
    </row>
    <row r="448" spans="1:12" ht="26.25" customHeight="1">
      <c r="A448" s="17">
        <f t="shared" si="0"/>
        <v>445</v>
      </c>
      <c r="B448" s="18" t="s">
        <v>105</v>
      </c>
      <c r="C448" s="19" t="s">
        <v>2428</v>
      </c>
      <c r="D448" s="20" t="s">
        <v>2430</v>
      </c>
      <c r="E448" s="32" t="s">
        <v>5049</v>
      </c>
      <c r="F448" s="33" t="s">
        <v>63</v>
      </c>
      <c r="G448" s="23" t="s">
        <v>2432</v>
      </c>
      <c r="H448" s="24" t="s">
        <v>20</v>
      </c>
      <c r="J448" s="284" t="str">
        <f t="shared" si="44"/>
        <v>Journal of the American Water Works Association │  ISSN:  0003-150X *</v>
      </c>
      <c r="L448" s="243" t="s">
        <v>5273</v>
      </c>
    </row>
    <row r="449" spans="1:25" ht="26.25" customHeight="1">
      <c r="A449" s="17">
        <f t="shared" si="0"/>
        <v>446</v>
      </c>
      <c r="B449" s="18" t="s">
        <v>81</v>
      </c>
      <c r="C449" s="31" t="s">
        <v>2433</v>
      </c>
      <c r="D449" s="20" t="s">
        <v>1442</v>
      </c>
      <c r="E449" s="32" t="s">
        <v>2434</v>
      </c>
      <c r="F449" s="33" t="s">
        <v>42</v>
      </c>
      <c r="G449" s="23" t="s">
        <v>2435</v>
      </c>
      <c r="H449" s="24" t="s">
        <v>20</v>
      </c>
      <c r="J449" s="284" t="str">
        <f t="shared" si="44"/>
        <v>Journal of the Association for Computing Machinery │  ISSN:  0004-5411 *</v>
      </c>
      <c r="L449" s="243" t="s">
        <v>5274</v>
      </c>
    </row>
    <row r="450" spans="1:25" ht="26.25" hidden="1" customHeight="1">
      <c r="A450" s="17">
        <f t="shared" si="0"/>
        <v>447</v>
      </c>
      <c r="B450" s="18" t="s">
        <v>105</v>
      </c>
      <c r="C450" s="31" t="s">
        <v>2436</v>
      </c>
      <c r="D450" s="20" t="s">
        <v>2437</v>
      </c>
      <c r="E450" s="32" t="s">
        <v>2438</v>
      </c>
      <c r="F450" s="33" t="s">
        <v>42</v>
      </c>
      <c r="G450" s="23" t="s">
        <v>2439</v>
      </c>
      <c r="H450" s="24" t="s">
        <v>55</v>
      </c>
    </row>
    <row r="451" spans="1:25" ht="26.25" hidden="1" customHeight="1">
      <c r="A451" s="17">
        <f t="shared" si="0"/>
        <v>448</v>
      </c>
      <c r="B451" s="18" t="s">
        <v>27</v>
      </c>
      <c r="C451" s="31" t="s">
        <v>2440</v>
      </c>
      <c r="D451" s="20" t="s">
        <v>2441</v>
      </c>
      <c r="E451" s="32" t="s">
        <v>2442</v>
      </c>
      <c r="F451" s="22" t="s">
        <v>42</v>
      </c>
      <c r="G451" s="23" t="s">
        <v>2443</v>
      </c>
      <c r="H451" s="24" t="s">
        <v>55</v>
      </c>
    </row>
    <row r="452" spans="1:25" ht="26.25" hidden="1" customHeight="1">
      <c r="A452" s="17">
        <f t="shared" si="0"/>
        <v>449</v>
      </c>
      <c r="B452" s="18" t="s">
        <v>105</v>
      </c>
      <c r="C452" s="31" t="s">
        <v>2444</v>
      </c>
      <c r="D452" s="20" t="s">
        <v>2446</v>
      </c>
      <c r="E452" s="32" t="s">
        <v>2447</v>
      </c>
      <c r="F452" s="33" t="s">
        <v>42</v>
      </c>
      <c r="G452" s="23" t="s">
        <v>2448</v>
      </c>
      <c r="H452" s="24" t="s">
        <v>55</v>
      </c>
    </row>
    <row r="453" spans="1:25" ht="26.25" hidden="1" customHeight="1">
      <c r="A453" s="17">
        <f t="shared" si="0"/>
        <v>450</v>
      </c>
      <c r="B453" s="18" t="s">
        <v>105</v>
      </c>
      <c r="C453" s="92" t="s">
        <v>2449</v>
      </c>
      <c r="D453" s="90" t="s">
        <v>2451</v>
      </c>
      <c r="E453" s="91" t="s">
        <v>2452</v>
      </c>
      <c r="F453" s="93" t="s">
        <v>53</v>
      </c>
      <c r="G453" s="94" t="s">
        <v>2453</v>
      </c>
      <c r="H453" s="95" t="s">
        <v>55</v>
      </c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</row>
    <row r="454" spans="1:25" ht="26.25" hidden="1" customHeight="1">
      <c r="A454" s="17">
        <f t="shared" si="0"/>
        <v>451</v>
      </c>
      <c r="B454" s="18" t="s">
        <v>105</v>
      </c>
      <c r="C454" s="31" t="s">
        <v>2454</v>
      </c>
      <c r="D454" s="20" t="s">
        <v>2456</v>
      </c>
      <c r="E454" s="32" t="s">
        <v>2457</v>
      </c>
      <c r="F454" s="33" t="s">
        <v>42</v>
      </c>
      <c r="G454" s="23" t="s">
        <v>2458</v>
      </c>
      <c r="H454" s="24" t="s">
        <v>55</v>
      </c>
    </row>
    <row r="455" spans="1:25" ht="26.25" hidden="1" customHeight="1">
      <c r="A455" s="17">
        <f t="shared" si="0"/>
        <v>452</v>
      </c>
      <c r="B455" s="18" t="s">
        <v>105</v>
      </c>
      <c r="C455" s="31" t="s">
        <v>2459</v>
      </c>
      <c r="D455" s="20" t="s">
        <v>493</v>
      </c>
      <c r="E455" s="32" t="s">
        <v>2461</v>
      </c>
      <c r="F455" s="33" t="s">
        <v>42</v>
      </c>
      <c r="G455" s="23" t="s">
        <v>2462</v>
      </c>
      <c r="H455" s="24" t="s">
        <v>55</v>
      </c>
    </row>
    <row r="456" spans="1:25" ht="26.25" hidden="1" customHeight="1">
      <c r="A456" s="17">
        <f t="shared" si="0"/>
        <v>453</v>
      </c>
      <c r="B456" s="18" t="s">
        <v>105</v>
      </c>
      <c r="C456" s="31" t="s">
        <v>2463</v>
      </c>
      <c r="D456" s="20" t="s">
        <v>2465</v>
      </c>
      <c r="E456" s="32" t="s">
        <v>2466</v>
      </c>
      <c r="F456" s="33" t="s">
        <v>42</v>
      </c>
      <c r="G456" s="23" t="s">
        <v>2467</v>
      </c>
      <c r="H456" s="24" t="s">
        <v>55</v>
      </c>
    </row>
    <row r="457" spans="1:25" ht="26.25" hidden="1" customHeight="1">
      <c r="A457" s="17">
        <f t="shared" si="0"/>
        <v>454</v>
      </c>
      <c r="B457" s="18" t="s">
        <v>105</v>
      </c>
      <c r="C457" s="31" t="s">
        <v>2468</v>
      </c>
      <c r="D457" s="20" t="s">
        <v>2469</v>
      </c>
      <c r="E457" s="32" t="s">
        <v>738</v>
      </c>
      <c r="F457" s="33" t="s">
        <v>42</v>
      </c>
      <c r="G457" s="23" t="s">
        <v>2470</v>
      </c>
      <c r="H457" s="24" t="s">
        <v>55</v>
      </c>
    </row>
    <row r="458" spans="1:25" ht="26.25" customHeight="1">
      <c r="A458" s="17">
        <f t="shared" si="0"/>
        <v>455</v>
      </c>
      <c r="B458" s="18" t="s">
        <v>105</v>
      </c>
      <c r="C458" s="31" t="s">
        <v>2471</v>
      </c>
      <c r="D458" s="20" t="s">
        <v>2473</v>
      </c>
      <c r="E458" s="21" t="s">
        <v>5075</v>
      </c>
      <c r="F458" s="33" t="s">
        <v>42</v>
      </c>
      <c r="G458" s="23" t="s">
        <v>2475</v>
      </c>
      <c r="H458" s="34" t="s">
        <v>20</v>
      </c>
      <c r="J458" s="284" t="str">
        <f>CONCATENATE(C458," │  ISSN:  ",D458," *")</f>
        <v>Journal of the Physical Society of Japan │  ISSN:  0031-9015 *</v>
      </c>
      <c r="L458" s="243" t="s">
        <v>5275</v>
      </c>
    </row>
    <row r="459" spans="1:25" ht="26.25" hidden="1" customHeight="1">
      <c r="A459" s="17">
        <f t="shared" si="0"/>
        <v>456</v>
      </c>
      <c r="B459" s="18" t="s">
        <v>27</v>
      </c>
      <c r="C459" s="31" t="s">
        <v>1096</v>
      </c>
      <c r="D459" s="20" t="s">
        <v>1098</v>
      </c>
      <c r="E459" s="32" t="s">
        <v>1033</v>
      </c>
      <c r="F459" s="22" t="s">
        <v>31</v>
      </c>
      <c r="G459" s="23" t="s">
        <v>2476</v>
      </c>
      <c r="H459" s="24" t="s">
        <v>55</v>
      </c>
    </row>
    <row r="460" spans="1:25" ht="26.25" hidden="1" customHeight="1">
      <c r="A460" s="17">
        <f t="shared" si="0"/>
        <v>457</v>
      </c>
      <c r="B460" s="18" t="s">
        <v>37</v>
      </c>
      <c r="C460" s="31" t="s">
        <v>367</v>
      </c>
      <c r="D460" s="20" t="s">
        <v>368</v>
      </c>
      <c r="E460" s="32" t="s">
        <v>163</v>
      </c>
      <c r="F460" s="22" t="s">
        <v>42</v>
      </c>
      <c r="G460" s="23" t="s">
        <v>2477</v>
      </c>
      <c r="H460" s="24" t="s">
        <v>55</v>
      </c>
    </row>
    <row r="461" spans="1:25" ht="26.25" hidden="1" customHeight="1">
      <c r="A461" s="17">
        <f t="shared" si="0"/>
        <v>458</v>
      </c>
      <c r="B461" s="18" t="s">
        <v>105</v>
      </c>
      <c r="C461" s="31" t="s">
        <v>605</v>
      </c>
      <c r="D461" s="20" t="s">
        <v>606</v>
      </c>
      <c r="E461" s="32" t="s">
        <v>496</v>
      </c>
      <c r="F461" s="33" t="s">
        <v>42</v>
      </c>
      <c r="G461" s="23" t="s">
        <v>2478</v>
      </c>
      <c r="H461" s="24" t="s">
        <v>55</v>
      </c>
    </row>
    <row r="462" spans="1:25" ht="26.25" hidden="1" customHeight="1">
      <c r="A462" s="17">
        <f t="shared" si="0"/>
        <v>459</v>
      </c>
      <c r="B462" s="18" t="s">
        <v>37</v>
      </c>
      <c r="C462" s="31" t="s">
        <v>695</v>
      </c>
      <c r="D462" s="20" t="s">
        <v>696</v>
      </c>
      <c r="E462" s="32" t="s">
        <v>603</v>
      </c>
      <c r="F462" s="22" t="s">
        <v>42</v>
      </c>
      <c r="G462" s="23" t="s">
        <v>2479</v>
      </c>
      <c r="H462" s="24" t="s">
        <v>55</v>
      </c>
    </row>
    <row r="463" spans="1:25" ht="26.25" customHeight="1">
      <c r="A463" s="17">
        <f t="shared" si="0"/>
        <v>460</v>
      </c>
      <c r="B463" s="18" t="s">
        <v>1197</v>
      </c>
      <c r="C463" s="19" t="s">
        <v>2480</v>
      </c>
      <c r="D463" s="20" t="s">
        <v>2481</v>
      </c>
      <c r="E463" s="32" t="s">
        <v>178</v>
      </c>
      <c r="F463" s="33" t="s">
        <v>42</v>
      </c>
      <c r="G463" s="23" t="s">
        <v>2482</v>
      </c>
      <c r="H463" s="24" t="s">
        <v>20</v>
      </c>
      <c r="J463" s="284" t="str">
        <f t="shared" ref="J463:J470" si="45">CONCATENATE(C463," │  ISSN:  ",D463," *")</f>
        <v>Journal of Toxicology and Environmental Health. Part B: Critical Reviews │  ISSN:  1093-7404 *</v>
      </c>
      <c r="L463" s="243" t="s">
        <v>5276</v>
      </c>
    </row>
    <row r="464" spans="1:25" ht="26.25" customHeight="1">
      <c r="A464" s="17">
        <f t="shared" si="0"/>
        <v>461</v>
      </c>
      <c r="B464" s="18" t="s">
        <v>13</v>
      </c>
      <c r="C464" s="19" t="s">
        <v>2483</v>
      </c>
      <c r="D464" s="20" t="s">
        <v>2484</v>
      </c>
      <c r="E464" s="32" t="s">
        <v>2485</v>
      </c>
      <c r="F464" s="22" t="s">
        <v>31</v>
      </c>
      <c r="G464" s="23" t="s">
        <v>2486</v>
      </c>
      <c r="H464" s="24" t="s">
        <v>20</v>
      </c>
      <c r="J464" s="284" t="str">
        <f t="shared" si="45"/>
        <v>Journal of Transportation Engineering │  ISSN:  0733-947X *</v>
      </c>
      <c r="L464" s="243" t="s">
        <v>5277</v>
      </c>
    </row>
    <row r="465" spans="1:12" ht="26.25" customHeight="1">
      <c r="A465" s="17">
        <f t="shared" si="0"/>
        <v>462</v>
      </c>
      <c r="B465" s="18" t="s">
        <v>132</v>
      </c>
      <c r="C465" s="19" t="s">
        <v>2487</v>
      </c>
      <c r="D465" s="20" t="s">
        <v>2488</v>
      </c>
      <c r="E465" s="32" t="s">
        <v>4975</v>
      </c>
      <c r="F465" s="22" t="s">
        <v>42</v>
      </c>
      <c r="G465" s="23" t="s">
        <v>2489</v>
      </c>
      <c r="H465" s="24" t="s">
        <v>20</v>
      </c>
      <c r="J465" s="284" t="str">
        <f t="shared" si="45"/>
        <v>Journal of Tribology │  ISSN:  0742-4787 *</v>
      </c>
      <c r="L465" s="243" t="s">
        <v>5278</v>
      </c>
    </row>
    <row r="466" spans="1:12" ht="26.25" customHeight="1">
      <c r="A466" s="17">
        <f t="shared" si="0"/>
        <v>463</v>
      </c>
      <c r="B466" s="18" t="s">
        <v>132</v>
      </c>
      <c r="C466" s="19" t="s">
        <v>2490</v>
      </c>
      <c r="D466" s="20" t="s">
        <v>2491</v>
      </c>
      <c r="E466" s="32" t="s">
        <v>52</v>
      </c>
      <c r="F466" s="22" t="s">
        <v>42</v>
      </c>
      <c r="G466" s="23" t="s">
        <v>2492</v>
      </c>
      <c r="H466" s="24" t="s">
        <v>20</v>
      </c>
      <c r="J466" s="284" t="str">
        <f t="shared" si="45"/>
        <v>Journal of Turbomachinery │  ISSN:  0889-504X *</v>
      </c>
      <c r="L466" s="243" t="s">
        <v>5279</v>
      </c>
    </row>
    <row r="467" spans="1:12" ht="26.25" customHeight="1">
      <c r="A467" s="17">
        <f t="shared" si="0"/>
        <v>464</v>
      </c>
      <c r="B467" s="18" t="s">
        <v>13</v>
      </c>
      <c r="C467" s="19" t="s">
        <v>2493</v>
      </c>
      <c r="D467" s="20" t="s">
        <v>2494</v>
      </c>
      <c r="E467" s="32" t="s">
        <v>52</v>
      </c>
      <c r="F467" s="22" t="s">
        <v>1086</v>
      </c>
      <c r="G467" s="23" t="s">
        <v>2495</v>
      </c>
      <c r="H467" s="24" t="s">
        <v>20</v>
      </c>
      <c r="J467" s="284" t="str">
        <f t="shared" si="45"/>
        <v>Journal of Urban Design │  ISSN:  1357-4809 *</v>
      </c>
      <c r="L467" s="243" t="s">
        <v>5280</v>
      </c>
    </row>
    <row r="468" spans="1:12" ht="26.25" customHeight="1">
      <c r="A468" s="17">
        <f t="shared" si="0"/>
        <v>465</v>
      </c>
      <c r="B468" s="18" t="s">
        <v>13</v>
      </c>
      <c r="C468" s="19" t="s">
        <v>2496</v>
      </c>
      <c r="D468" s="20" t="s">
        <v>2497</v>
      </c>
      <c r="E468" s="32" t="s">
        <v>4959</v>
      </c>
      <c r="F468" s="22" t="s">
        <v>1290</v>
      </c>
      <c r="G468" s="23" t="s">
        <v>2499</v>
      </c>
      <c r="H468" s="24" t="s">
        <v>20</v>
      </c>
      <c r="J468" s="284" t="str">
        <f t="shared" si="45"/>
        <v>Journal of Urban Planning and Development │  ISSN:  0733-9488 *</v>
      </c>
      <c r="L468" s="243" t="s">
        <v>5281</v>
      </c>
    </row>
    <row r="469" spans="1:12" ht="26.25" customHeight="1">
      <c r="A469" s="17">
        <f t="shared" si="0"/>
        <v>466</v>
      </c>
      <c r="B469" s="18" t="s">
        <v>37</v>
      </c>
      <c r="C469" s="19" t="s">
        <v>2500</v>
      </c>
      <c r="D469" s="20" t="s">
        <v>1717</v>
      </c>
      <c r="E469" s="32" t="s">
        <v>52</v>
      </c>
      <c r="F469" s="22" t="s">
        <v>42</v>
      </c>
      <c r="G469" s="23" t="s">
        <v>2502</v>
      </c>
      <c r="H469" s="24" t="s">
        <v>20</v>
      </c>
      <c r="J469" s="284" t="str">
        <f t="shared" si="45"/>
        <v>Journal of Vacuum science &amp; Technology. A │  ISSN:  0734-2101 *</v>
      </c>
      <c r="L469" s="243" t="s">
        <v>5282</v>
      </c>
    </row>
    <row r="470" spans="1:12" ht="26.25" customHeight="1">
      <c r="A470" s="17">
        <f t="shared" si="0"/>
        <v>467</v>
      </c>
      <c r="B470" s="18" t="s">
        <v>37</v>
      </c>
      <c r="C470" s="19" t="s">
        <v>2503</v>
      </c>
      <c r="D470" s="20" t="s">
        <v>1723</v>
      </c>
      <c r="E470" s="32" t="s">
        <v>2504</v>
      </c>
      <c r="F470" s="22" t="s">
        <v>42</v>
      </c>
      <c r="G470" s="23" t="s">
        <v>2505</v>
      </c>
      <c r="H470" s="24" t="s">
        <v>20</v>
      </c>
      <c r="J470" s="284" t="str">
        <f t="shared" si="45"/>
        <v>Journal of Vacuum science &amp; Technology. B │  ISSN:  2166-2746 *</v>
      </c>
      <c r="L470" s="243" t="s">
        <v>5283</v>
      </c>
    </row>
    <row r="471" spans="1:12" ht="26.25" hidden="1" customHeight="1">
      <c r="A471" s="17">
        <f t="shared" si="0"/>
        <v>468</v>
      </c>
      <c r="B471" s="18" t="s">
        <v>105</v>
      </c>
      <c r="C471" s="31" t="s">
        <v>689</v>
      </c>
      <c r="D471" s="20" t="s">
        <v>690</v>
      </c>
      <c r="E471" s="32" t="s">
        <v>2507</v>
      </c>
      <c r="F471" s="33" t="s">
        <v>42</v>
      </c>
      <c r="G471" s="23" t="s">
        <v>2508</v>
      </c>
      <c r="H471" s="24" t="s">
        <v>55</v>
      </c>
    </row>
    <row r="472" spans="1:12" ht="26.25" customHeight="1">
      <c r="A472" s="17">
        <f t="shared" si="0"/>
        <v>469</v>
      </c>
      <c r="B472" s="18" t="s">
        <v>132</v>
      </c>
      <c r="C472" s="19" t="s">
        <v>2509</v>
      </c>
      <c r="D472" s="20" t="s">
        <v>2510</v>
      </c>
      <c r="E472" s="32" t="s">
        <v>52</v>
      </c>
      <c r="F472" s="22" t="s">
        <v>31</v>
      </c>
      <c r="G472" s="23" t="s">
        <v>2511</v>
      </c>
      <c r="H472" s="24" t="s">
        <v>20</v>
      </c>
      <c r="J472" s="284" t="str">
        <f t="shared" ref="J472:J480" si="46">CONCATENATE(C472," │  ISSN:  ",D472," *")</f>
        <v>Journal of Vibration and Acoustics │  ISSN:  1048-9002 *</v>
      </c>
      <c r="L472" s="243" t="s">
        <v>5284</v>
      </c>
    </row>
    <row r="473" spans="1:12" ht="26.25" customHeight="1">
      <c r="A473" s="17">
        <f t="shared" si="0"/>
        <v>470</v>
      </c>
      <c r="B473" s="18" t="s">
        <v>105</v>
      </c>
      <c r="C473" s="19" t="s">
        <v>2512</v>
      </c>
      <c r="D473" s="20" t="s">
        <v>2513</v>
      </c>
      <c r="E473" s="32" t="s">
        <v>178</v>
      </c>
      <c r="F473" s="33" t="s">
        <v>42</v>
      </c>
      <c r="G473" s="23" t="s">
        <v>2514</v>
      </c>
      <c r="H473" s="24" t="s">
        <v>20</v>
      </c>
      <c r="J473" s="284" t="str">
        <f t="shared" si="46"/>
        <v>Journal of Vibration and Control │  ISSN:  1077-5463 *</v>
      </c>
      <c r="L473" s="243" t="s">
        <v>5285</v>
      </c>
    </row>
    <row r="474" spans="1:12" ht="26.25" customHeight="1">
      <c r="A474" s="17">
        <f t="shared" si="0"/>
        <v>471</v>
      </c>
      <c r="B474" s="18" t="s">
        <v>13</v>
      </c>
      <c r="C474" s="19" t="s">
        <v>2515</v>
      </c>
      <c r="D474" s="20" t="s">
        <v>2516</v>
      </c>
      <c r="E474" s="32" t="s">
        <v>52</v>
      </c>
      <c r="F474" s="22" t="s">
        <v>42</v>
      </c>
      <c r="G474" s="23" t="s">
        <v>2517</v>
      </c>
      <c r="H474" s="24" t="s">
        <v>20</v>
      </c>
      <c r="J474" s="284" t="str">
        <f t="shared" si="46"/>
        <v>Journal of Water Resources Planning and Management │  ISSN:  0733-9496 *</v>
      </c>
      <c r="L474" s="243" t="s">
        <v>5286</v>
      </c>
    </row>
    <row r="475" spans="1:12" ht="26.25" customHeight="1">
      <c r="A475" s="17">
        <f t="shared" si="0"/>
        <v>472</v>
      </c>
      <c r="B475" s="18" t="s">
        <v>105</v>
      </c>
      <c r="C475" s="89" t="s">
        <v>2518</v>
      </c>
      <c r="D475" s="90" t="s">
        <v>2519</v>
      </c>
      <c r="E475" s="91" t="s">
        <v>52</v>
      </c>
      <c r="F475" s="33" t="s">
        <v>42</v>
      </c>
      <c r="G475" s="94" t="s">
        <v>2520</v>
      </c>
      <c r="H475" s="24" t="s">
        <v>20</v>
      </c>
      <c r="J475" s="284" t="str">
        <f t="shared" si="46"/>
        <v>Journal of Water Supply │  ISSN:  0003-7214 *</v>
      </c>
      <c r="L475" s="243" t="s">
        <v>5287</v>
      </c>
    </row>
    <row r="476" spans="1:12" ht="26.25" customHeight="1">
      <c r="A476" s="17">
        <f t="shared" si="0"/>
        <v>473</v>
      </c>
      <c r="B476" s="18" t="s">
        <v>1375</v>
      </c>
      <c r="C476" s="19" t="s">
        <v>2521</v>
      </c>
      <c r="D476" s="20" t="s">
        <v>2522</v>
      </c>
      <c r="E476" s="32" t="s">
        <v>4960</v>
      </c>
      <c r="F476" s="22" t="s">
        <v>42</v>
      </c>
      <c r="G476" s="23" t="s">
        <v>2524</v>
      </c>
      <c r="H476" s="24" t="s">
        <v>20</v>
      </c>
      <c r="J476" s="284" t="str">
        <f t="shared" si="46"/>
        <v>Journal of Waterway, Port, Coastal, and Ocean Engineering │  ISSN:  0733-950X *</v>
      </c>
      <c r="L476" s="243" t="s">
        <v>5288</v>
      </c>
    </row>
    <row r="477" spans="1:12" ht="26.25" customHeight="1">
      <c r="A477" s="17">
        <f t="shared" si="0"/>
        <v>474</v>
      </c>
      <c r="B477" s="18" t="s">
        <v>27</v>
      </c>
      <c r="C477" s="19" t="s">
        <v>2525</v>
      </c>
      <c r="D477" s="20" t="s">
        <v>2526</v>
      </c>
      <c r="E477" s="32" t="s">
        <v>178</v>
      </c>
      <c r="F477" s="22" t="s">
        <v>42</v>
      </c>
      <c r="G477" s="23" t="s">
        <v>2527</v>
      </c>
      <c r="H477" s="24" t="s">
        <v>20</v>
      </c>
      <c r="J477" s="284" t="str">
        <f t="shared" si="46"/>
        <v>Journal of Wood Chemistry and Technology │  ISSN:  0277-3813 *</v>
      </c>
      <c r="L477" s="243" t="s">
        <v>5289</v>
      </c>
    </row>
    <row r="478" spans="1:12" ht="26.25" customHeight="1">
      <c r="A478" s="17">
        <f t="shared" si="0"/>
        <v>475</v>
      </c>
      <c r="B478" s="18" t="s">
        <v>248</v>
      </c>
      <c r="C478" s="19" t="s">
        <v>2528</v>
      </c>
      <c r="D478" s="20" t="s">
        <v>2529</v>
      </c>
      <c r="E478" s="32" t="s">
        <v>52</v>
      </c>
      <c r="F478" s="33" t="s">
        <v>42</v>
      </c>
      <c r="G478" s="23" t="s">
        <v>2530</v>
      </c>
      <c r="H478" s="24" t="s">
        <v>20</v>
      </c>
      <c r="J478" s="284" t="str">
        <f t="shared" si="46"/>
        <v>Journal of X-Ray science and Technology │  ISSN:  0895-3996 *</v>
      </c>
      <c r="L478" s="243" t="s">
        <v>5290</v>
      </c>
    </row>
    <row r="479" spans="1:12" ht="26.25" customHeight="1">
      <c r="A479" s="17">
        <f t="shared" si="0"/>
        <v>476</v>
      </c>
      <c r="B479" s="18" t="s">
        <v>48</v>
      </c>
      <c r="C479" s="19" t="s">
        <v>2531</v>
      </c>
      <c r="D479" s="20" t="s">
        <v>2532</v>
      </c>
      <c r="E479" s="32" t="s">
        <v>178</v>
      </c>
      <c r="F479" s="33" t="s">
        <v>42</v>
      </c>
      <c r="G479" s="23" t="s">
        <v>2533</v>
      </c>
      <c r="H479" s="24" t="s">
        <v>20</v>
      </c>
      <c r="J479" s="284" t="str">
        <f t="shared" si="46"/>
        <v>Journal- Society for Information Display │  ISSN:  1071-0922 *</v>
      </c>
      <c r="L479" s="243" t="s">
        <v>5291</v>
      </c>
    </row>
    <row r="480" spans="1:12" ht="26.25" customHeight="1">
      <c r="A480" s="17">
        <f t="shared" si="0"/>
        <v>477</v>
      </c>
      <c r="B480" s="18" t="s">
        <v>13</v>
      </c>
      <c r="C480" s="19" t="s">
        <v>2534</v>
      </c>
      <c r="D480" s="20" t="s">
        <v>1857</v>
      </c>
      <c r="E480" s="32" t="s">
        <v>178</v>
      </c>
      <c r="F480" s="22" t="s">
        <v>53</v>
      </c>
      <c r="G480" s="23" t="s">
        <v>2536</v>
      </c>
      <c r="H480" s="24" t="s">
        <v>20</v>
      </c>
      <c r="J480" s="284" t="str">
        <f t="shared" si="46"/>
        <v>JSSC │  ISSN:  0389-9020 *</v>
      </c>
      <c r="L480" s="243" t="s">
        <v>5292</v>
      </c>
    </row>
    <row r="481" spans="1:12" ht="26.25" hidden="1" customHeight="1">
      <c r="A481" s="17">
        <f t="shared" si="0"/>
        <v>478</v>
      </c>
      <c r="B481" s="18" t="s">
        <v>1375</v>
      </c>
      <c r="C481" s="31" t="s">
        <v>2537</v>
      </c>
      <c r="D481" s="20" t="s">
        <v>767</v>
      </c>
      <c r="E481" s="32" t="s">
        <v>1033</v>
      </c>
      <c r="F481" s="22" t="s">
        <v>53</v>
      </c>
      <c r="G481" s="23" t="s">
        <v>2539</v>
      </c>
      <c r="H481" s="24" t="s">
        <v>55</v>
      </c>
    </row>
    <row r="482" spans="1:12" ht="26.25" customHeight="1">
      <c r="A482" s="17">
        <f t="shared" si="0"/>
        <v>479</v>
      </c>
      <c r="B482" s="18" t="s">
        <v>27</v>
      </c>
      <c r="C482" s="19" t="s">
        <v>2540</v>
      </c>
      <c r="D482" s="20" t="s">
        <v>2541</v>
      </c>
      <c r="E482" s="32" t="s">
        <v>2705</v>
      </c>
      <c r="F482" s="22" t="s">
        <v>42</v>
      </c>
      <c r="G482" s="23" t="s">
        <v>2542</v>
      </c>
      <c r="H482" s="24" t="s">
        <v>20</v>
      </c>
      <c r="J482" s="284" t="str">
        <f>CONCATENATE(C482," │  ISSN:  ",D482," *")</f>
        <v>Korean Journal of Chemical Engineering │  ISSN:  0256-1115 *</v>
      </c>
      <c r="L482" s="243" t="s">
        <v>5293</v>
      </c>
    </row>
    <row r="483" spans="1:12" ht="26.25" hidden="1" customHeight="1">
      <c r="A483" s="17">
        <f t="shared" si="0"/>
        <v>480</v>
      </c>
      <c r="B483" s="18" t="s">
        <v>1197</v>
      </c>
      <c r="C483" s="31" t="s">
        <v>2543</v>
      </c>
      <c r="D483" s="20" t="s">
        <v>2545</v>
      </c>
      <c r="E483" s="32" t="s">
        <v>2546</v>
      </c>
      <c r="F483" s="33" t="s">
        <v>350</v>
      </c>
      <c r="G483" s="23" t="s">
        <v>2547</v>
      </c>
      <c r="H483" s="24" t="s">
        <v>55</v>
      </c>
    </row>
    <row r="484" spans="1:12" ht="26.25" hidden="1" customHeight="1">
      <c r="A484" s="17">
        <f t="shared" si="0"/>
        <v>481</v>
      </c>
      <c r="B484" s="18" t="s">
        <v>13</v>
      </c>
      <c r="C484" s="31" t="s">
        <v>2548</v>
      </c>
      <c r="D484" s="20" t="s">
        <v>2550</v>
      </c>
      <c r="E484" s="32" t="s">
        <v>2551</v>
      </c>
      <c r="F484" s="22" t="s">
        <v>2552</v>
      </c>
      <c r="G484" s="23" t="s">
        <v>2553</v>
      </c>
      <c r="H484" s="24" t="s">
        <v>55</v>
      </c>
    </row>
    <row r="485" spans="1:12" ht="26.25" customHeight="1">
      <c r="A485" s="17">
        <f t="shared" si="0"/>
        <v>482</v>
      </c>
      <c r="B485" s="18" t="s">
        <v>48</v>
      </c>
      <c r="C485" s="31" t="s">
        <v>1448</v>
      </c>
      <c r="D485" s="20" t="s">
        <v>1450</v>
      </c>
      <c r="E485" s="32" t="s">
        <v>52</v>
      </c>
      <c r="F485" s="33" t="s">
        <v>42</v>
      </c>
      <c r="G485" s="23" t="s">
        <v>2555</v>
      </c>
      <c r="H485" s="24" t="s">
        <v>20</v>
      </c>
      <c r="J485" s="284" t="str">
        <f>CONCATENATE(C485," │  ISSN:  ",D485," *")</f>
        <v>Lasers in Engineering │  ISSN:  0898-1507 *</v>
      </c>
      <c r="L485" s="243" t="s">
        <v>5294</v>
      </c>
    </row>
    <row r="486" spans="1:12" ht="26.25" hidden="1" customHeight="1">
      <c r="A486" s="17">
        <f t="shared" si="0"/>
        <v>483</v>
      </c>
      <c r="B486" s="18" t="s">
        <v>248</v>
      </c>
      <c r="C486" s="31" t="s">
        <v>1103</v>
      </c>
      <c r="D486" s="20" t="s">
        <v>1104</v>
      </c>
      <c r="E486" s="32" t="s">
        <v>2556</v>
      </c>
      <c r="F486" s="33" t="s">
        <v>31</v>
      </c>
      <c r="G486" s="23" t="s">
        <v>2557</v>
      </c>
      <c r="H486" s="24" t="s">
        <v>55</v>
      </c>
    </row>
    <row r="487" spans="1:12" ht="26.25" hidden="1" customHeight="1">
      <c r="A487" s="17">
        <f t="shared" si="0"/>
        <v>484</v>
      </c>
      <c r="B487" s="18" t="s">
        <v>105</v>
      </c>
      <c r="C487" s="31" t="s">
        <v>2558</v>
      </c>
      <c r="D487" s="20" t="s">
        <v>2559</v>
      </c>
      <c r="E487" s="32" t="s">
        <v>2560</v>
      </c>
      <c r="F487" s="33" t="s">
        <v>42</v>
      </c>
      <c r="G487" s="23" t="s">
        <v>2561</v>
      </c>
      <c r="H487" s="24" t="s">
        <v>55</v>
      </c>
    </row>
    <row r="488" spans="1:12" ht="26.25" hidden="1" customHeight="1">
      <c r="A488" s="17">
        <f t="shared" si="0"/>
        <v>485</v>
      </c>
      <c r="B488" s="18" t="s">
        <v>175</v>
      </c>
      <c r="C488" s="31" t="s">
        <v>2562</v>
      </c>
      <c r="D488" s="20" t="s">
        <v>2563</v>
      </c>
      <c r="E488" s="32" t="s">
        <v>2564</v>
      </c>
      <c r="F488" s="33" t="s">
        <v>42</v>
      </c>
      <c r="G488" s="23" t="s">
        <v>2565</v>
      </c>
      <c r="H488" s="24" t="s">
        <v>55</v>
      </c>
    </row>
    <row r="489" spans="1:12" ht="26.25" customHeight="1">
      <c r="A489" s="17">
        <f t="shared" si="0"/>
        <v>486</v>
      </c>
      <c r="B489" s="18" t="s">
        <v>132</v>
      </c>
      <c r="C489" s="19" t="s">
        <v>2566</v>
      </c>
      <c r="D489" s="20" t="s">
        <v>2567</v>
      </c>
      <c r="E489" s="32" t="s">
        <v>4984</v>
      </c>
      <c r="F489" s="22" t="s">
        <v>53</v>
      </c>
      <c r="G489" s="23" t="s">
        <v>2569</v>
      </c>
      <c r="H489" s="24" t="s">
        <v>20</v>
      </c>
      <c r="J489" s="284" t="str">
        <f>CONCATENATE(C489," │  ISSN:  ",D489," *")</f>
        <v>Machine Design │  ISSN:  0024-9114 *</v>
      </c>
      <c r="L489" s="243" t="s">
        <v>5295</v>
      </c>
    </row>
    <row r="490" spans="1:12" ht="26.25" hidden="1" customHeight="1">
      <c r="A490" s="17">
        <f t="shared" si="0"/>
        <v>487</v>
      </c>
      <c r="B490" s="18" t="s">
        <v>132</v>
      </c>
      <c r="C490" s="31" t="s">
        <v>1110</v>
      </c>
      <c r="D490" s="20" t="s">
        <v>1112</v>
      </c>
      <c r="E490" s="32" t="s">
        <v>170</v>
      </c>
      <c r="F490" s="22" t="s">
        <v>53</v>
      </c>
      <c r="G490" s="23" t="s">
        <v>2570</v>
      </c>
      <c r="H490" s="24" t="s">
        <v>55</v>
      </c>
    </row>
    <row r="491" spans="1:12" ht="26.25" customHeight="1">
      <c r="A491" s="17">
        <f t="shared" si="0"/>
        <v>488</v>
      </c>
      <c r="B491" s="18" t="s">
        <v>132</v>
      </c>
      <c r="C491" s="19" t="s">
        <v>2571</v>
      </c>
      <c r="D491" s="20" t="s">
        <v>2572</v>
      </c>
      <c r="E491" s="32" t="s">
        <v>52</v>
      </c>
      <c r="F491" s="22" t="s">
        <v>42</v>
      </c>
      <c r="G491" s="23" t="s">
        <v>2573</v>
      </c>
      <c r="H491" s="24" t="s">
        <v>20</v>
      </c>
      <c r="J491" s="284" t="str">
        <f t="shared" ref="J491:J492" si="47">CONCATENATE(C491," │  ISSN:  ",D491," *")</f>
        <v>Machining science and Technology │  ISSN:  1091-0344 *</v>
      </c>
      <c r="L491" s="243" t="s">
        <v>5296</v>
      </c>
    </row>
    <row r="492" spans="1:12" ht="26.25" customHeight="1">
      <c r="A492" s="17">
        <f t="shared" si="0"/>
        <v>489</v>
      </c>
      <c r="B492" s="18" t="s">
        <v>13</v>
      </c>
      <c r="C492" s="19" t="s">
        <v>2574</v>
      </c>
      <c r="D492" s="20" t="s">
        <v>2575</v>
      </c>
      <c r="E492" s="32" t="s">
        <v>52</v>
      </c>
      <c r="F492" s="22" t="s">
        <v>42</v>
      </c>
      <c r="G492" s="23" t="s">
        <v>2576</v>
      </c>
      <c r="H492" s="24" t="s">
        <v>20</v>
      </c>
      <c r="J492" s="284" t="str">
        <f t="shared" si="47"/>
        <v>Magazine of Concrete Research │  ISSN:  0024-9831 *</v>
      </c>
      <c r="L492" s="243" t="s">
        <v>5297</v>
      </c>
    </row>
    <row r="493" spans="1:12" ht="26.25" hidden="1" customHeight="1">
      <c r="A493" s="17">
        <f t="shared" si="0"/>
        <v>490</v>
      </c>
      <c r="B493" s="18" t="s">
        <v>81</v>
      </c>
      <c r="C493" s="31" t="s">
        <v>2577</v>
      </c>
      <c r="D493" s="20" t="s">
        <v>2579</v>
      </c>
      <c r="E493" s="32" t="s">
        <v>2580</v>
      </c>
      <c r="F493" s="33" t="s">
        <v>1893</v>
      </c>
      <c r="G493" s="23" t="s">
        <v>2581</v>
      </c>
      <c r="H493" s="24" t="s">
        <v>55</v>
      </c>
    </row>
    <row r="494" spans="1:12" ht="26.25" hidden="1" customHeight="1">
      <c r="A494" s="17">
        <f t="shared" si="0"/>
        <v>491</v>
      </c>
      <c r="B494" s="18" t="s">
        <v>248</v>
      </c>
      <c r="C494" s="31" t="s">
        <v>1117</v>
      </c>
      <c r="D494" s="20" t="s">
        <v>1119</v>
      </c>
      <c r="E494" s="32" t="s">
        <v>2582</v>
      </c>
      <c r="F494" s="33" t="s">
        <v>31</v>
      </c>
      <c r="G494" s="23" t="s">
        <v>2583</v>
      </c>
      <c r="H494" s="24" t="s">
        <v>55</v>
      </c>
    </row>
    <row r="495" spans="1:12" ht="26.25" hidden="1" customHeight="1">
      <c r="A495" s="17">
        <f t="shared" si="0"/>
        <v>492</v>
      </c>
      <c r="B495" s="18" t="s">
        <v>1375</v>
      </c>
      <c r="C495" s="31" t="s">
        <v>2584</v>
      </c>
      <c r="D495" s="20" t="s">
        <v>2586</v>
      </c>
      <c r="E495" s="32" t="s">
        <v>428</v>
      </c>
      <c r="F495" s="22" t="s">
        <v>53</v>
      </c>
      <c r="G495" s="23" t="s">
        <v>2587</v>
      </c>
      <c r="H495" s="24" t="s">
        <v>55</v>
      </c>
    </row>
    <row r="496" spans="1:12" ht="26.25" hidden="1" customHeight="1">
      <c r="A496" s="17">
        <f t="shared" si="0"/>
        <v>493</v>
      </c>
      <c r="B496" s="18" t="s">
        <v>1375</v>
      </c>
      <c r="C496" s="31" t="s">
        <v>2588</v>
      </c>
      <c r="D496" s="20" t="s">
        <v>264</v>
      </c>
      <c r="E496" s="32" t="s">
        <v>142</v>
      </c>
      <c r="F496" s="22" t="s">
        <v>63</v>
      </c>
      <c r="G496" s="23" t="s">
        <v>2590</v>
      </c>
      <c r="H496" s="24" t="s">
        <v>55</v>
      </c>
    </row>
    <row r="497" spans="1:12" ht="26.25" hidden="1" customHeight="1">
      <c r="A497" s="17">
        <f t="shared" si="0"/>
        <v>494</v>
      </c>
      <c r="B497" s="18" t="s">
        <v>1375</v>
      </c>
      <c r="C497" s="31" t="s">
        <v>2591</v>
      </c>
      <c r="D497" s="20" t="s">
        <v>2593</v>
      </c>
      <c r="E497" s="32">
        <v>2013</v>
      </c>
      <c r="F497" s="22" t="s">
        <v>53</v>
      </c>
      <c r="G497" s="23" t="s">
        <v>2594</v>
      </c>
      <c r="H497" s="24" t="s">
        <v>55</v>
      </c>
    </row>
    <row r="498" spans="1:12" ht="26.25" customHeight="1">
      <c r="A498" s="17">
        <f t="shared" si="0"/>
        <v>495</v>
      </c>
      <c r="B498" s="18" t="s">
        <v>1375</v>
      </c>
      <c r="C498" s="19" t="s">
        <v>2595</v>
      </c>
      <c r="D498" s="20" t="s">
        <v>2596</v>
      </c>
      <c r="E498" s="32" t="s">
        <v>52</v>
      </c>
      <c r="F498" s="22" t="s">
        <v>53</v>
      </c>
      <c r="G498" s="23" t="s">
        <v>2597</v>
      </c>
      <c r="H498" s="24" t="s">
        <v>20</v>
      </c>
      <c r="J498" s="284" t="str">
        <f>CONCATENATE(C498," │  ISSN:  ",D498," *")</f>
        <v>Marine Technology │  ISSN:  2153-4721 *</v>
      </c>
      <c r="L498" s="243" t="s">
        <v>5298</v>
      </c>
    </row>
    <row r="499" spans="1:12" ht="26.25" hidden="1" customHeight="1">
      <c r="A499" s="17">
        <f t="shared" si="0"/>
        <v>496</v>
      </c>
      <c r="B499" s="18" t="s">
        <v>1375</v>
      </c>
      <c r="C499" s="31" t="s">
        <v>1124</v>
      </c>
      <c r="D499" s="20" t="s">
        <v>1126</v>
      </c>
      <c r="E499" s="32" t="s">
        <v>170</v>
      </c>
      <c r="F499" s="22" t="s">
        <v>42</v>
      </c>
      <c r="G499" s="23" t="s">
        <v>2599</v>
      </c>
      <c r="H499" s="24" t="s">
        <v>55</v>
      </c>
    </row>
    <row r="500" spans="1:12" ht="26.25" hidden="1" customHeight="1">
      <c r="A500" s="17">
        <f t="shared" si="0"/>
        <v>497</v>
      </c>
      <c r="B500" s="18" t="s">
        <v>37</v>
      </c>
      <c r="C500" s="31" t="s">
        <v>319</v>
      </c>
      <c r="D500" s="20" t="s">
        <v>321</v>
      </c>
      <c r="E500" s="32" t="s">
        <v>163</v>
      </c>
      <c r="F500" s="22" t="s">
        <v>42</v>
      </c>
      <c r="G500" s="23" t="s">
        <v>2601</v>
      </c>
      <c r="H500" s="24" t="s">
        <v>55</v>
      </c>
    </row>
    <row r="501" spans="1:12" ht="26.25" customHeight="1">
      <c r="A501" s="17">
        <f t="shared" si="0"/>
        <v>498</v>
      </c>
      <c r="B501" s="18" t="s">
        <v>37</v>
      </c>
      <c r="C501" s="19" t="s">
        <v>2602</v>
      </c>
      <c r="D501" s="20" t="s">
        <v>2604</v>
      </c>
      <c r="E501" s="32" t="s">
        <v>186</v>
      </c>
      <c r="F501" s="22" t="s">
        <v>42</v>
      </c>
      <c r="G501" s="23" t="s">
        <v>2605</v>
      </c>
      <c r="H501" s="24" t="s">
        <v>20</v>
      </c>
      <c r="J501" s="284" t="str">
        <f t="shared" ref="J501:J502" si="48">CONCATENATE(C501," │  ISSN:  ",D501," *")</f>
        <v>Materialpruefung │  ISSN:  0025-5300 *</v>
      </c>
      <c r="L501" s="243" t="s">
        <v>5299</v>
      </c>
    </row>
    <row r="502" spans="1:12" ht="26.25" customHeight="1">
      <c r="A502" s="17">
        <f t="shared" si="0"/>
        <v>499</v>
      </c>
      <c r="B502" s="18" t="s">
        <v>37</v>
      </c>
      <c r="C502" s="19" t="s">
        <v>2606</v>
      </c>
      <c r="D502" s="20" t="s">
        <v>2607</v>
      </c>
      <c r="E502" s="32" t="s">
        <v>52</v>
      </c>
      <c r="F502" s="22" t="s">
        <v>42</v>
      </c>
      <c r="G502" s="23" t="s">
        <v>2608</v>
      </c>
      <c r="H502" s="24" t="s">
        <v>20</v>
      </c>
      <c r="J502" s="284" t="str">
        <f t="shared" si="48"/>
        <v>Materials and Manufacturing Processes │  ISSN:  1042-6914 *</v>
      </c>
      <c r="L502" s="243" t="s">
        <v>5300</v>
      </c>
    </row>
    <row r="503" spans="1:12" ht="26.25" hidden="1" customHeight="1">
      <c r="A503" s="17">
        <f t="shared" si="0"/>
        <v>500</v>
      </c>
      <c r="B503" s="18" t="s">
        <v>13</v>
      </c>
      <c r="C503" s="31" t="s">
        <v>2609</v>
      </c>
      <c r="D503" s="20" t="s">
        <v>2611</v>
      </c>
      <c r="E503" s="32" t="s">
        <v>222</v>
      </c>
      <c r="F503" s="22" t="s">
        <v>42</v>
      </c>
      <c r="G503" s="23" t="s">
        <v>2612</v>
      </c>
      <c r="H503" s="24" t="s">
        <v>55</v>
      </c>
    </row>
    <row r="504" spans="1:12" ht="26.25" customHeight="1">
      <c r="A504" s="17">
        <f t="shared" si="0"/>
        <v>501</v>
      </c>
      <c r="B504" s="18" t="s">
        <v>37</v>
      </c>
      <c r="C504" s="19" t="s">
        <v>2613</v>
      </c>
      <c r="D504" s="20" t="s">
        <v>2614</v>
      </c>
      <c r="E504" s="32" t="s">
        <v>52</v>
      </c>
      <c r="F504" s="22" t="s">
        <v>42</v>
      </c>
      <c r="G504" s="23" t="s">
        <v>2615</v>
      </c>
      <c r="H504" s="24" t="s">
        <v>20</v>
      </c>
      <c r="J504" s="284" t="str">
        <f t="shared" ref="J504:J505" si="49">CONCATENATE(C504," │  ISSN:  ",D504," *")</f>
        <v>Materials at High Temperatures │  ISSN:  0960-3409 *</v>
      </c>
      <c r="L504" s="243" t="s">
        <v>5301</v>
      </c>
    </row>
    <row r="505" spans="1:12" ht="26.25" customHeight="1">
      <c r="A505" s="17">
        <f t="shared" si="0"/>
        <v>502</v>
      </c>
      <c r="B505" s="18" t="s">
        <v>37</v>
      </c>
      <c r="C505" s="19" t="s">
        <v>2616</v>
      </c>
      <c r="D505" s="20" t="s">
        <v>2618</v>
      </c>
      <c r="E505" s="32" t="s">
        <v>2705</v>
      </c>
      <c r="F505" s="22" t="s">
        <v>31</v>
      </c>
      <c r="G505" s="23" t="s">
        <v>2619</v>
      </c>
      <c r="H505" s="24" t="s">
        <v>20</v>
      </c>
      <c r="J505" s="284" t="str">
        <f t="shared" si="49"/>
        <v>Materials Evaluation │  ISSN:  0025-5327 *</v>
      </c>
      <c r="L505" s="243" t="s">
        <v>5302</v>
      </c>
    </row>
    <row r="506" spans="1:12" ht="26.25" hidden="1" customHeight="1">
      <c r="A506" s="17">
        <f t="shared" si="0"/>
        <v>503</v>
      </c>
      <c r="B506" s="18" t="s">
        <v>37</v>
      </c>
      <c r="C506" s="31" t="s">
        <v>1132</v>
      </c>
      <c r="D506" s="20" t="s">
        <v>1134</v>
      </c>
      <c r="E506" s="32" t="s">
        <v>2582</v>
      </c>
      <c r="F506" s="22" t="s">
        <v>31</v>
      </c>
      <c r="G506" s="23" t="s">
        <v>2620</v>
      </c>
      <c r="H506" s="24" t="s">
        <v>55</v>
      </c>
    </row>
    <row r="507" spans="1:12" ht="26.25" customHeight="1">
      <c r="A507" s="17">
        <f t="shared" si="0"/>
        <v>504</v>
      </c>
      <c r="B507" s="18" t="s">
        <v>37</v>
      </c>
      <c r="C507" s="19" t="s">
        <v>2621</v>
      </c>
      <c r="D507" s="20" t="s">
        <v>2622</v>
      </c>
      <c r="E507" s="32" t="s">
        <v>178</v>
      </c>
      <c r="F507" s="22" t="s">
        <v>42</v>
      </c>
      <c r="G507" s="23" t="s">
        <v>2623</v>
      </c>
      <c r="H507" s="24" t="s">
        <v>20</v>
      </c>
      <c r="J507" s="284" t="str">
        <f t="shared" ref="J507:J510" si="50">CONCATENATE(C507," │  ISSN:  ",D507," *")</f>
        <v>Materials science and Technology │  ISSN:  0267-0836 *</v>
      </c>
      <c r="L507" s="243" t="s">
        <v>5303</v>
      </c>
    </row>
    <row r="508" spans="1:12" ht="26.25" customHeight="1">
      <c r="A508" s="17">
        <f t="shared" si="0"/>
        <v>505</v>
      </c>
      <c r="B508" s="18" t="s">
        <v>27</v>
      </c>
      <c r="C508" s="19" t="s">
        <v>2624</v>
      </c>
      <c r="D508" s="20" t="s">
        <v>2625</v>
      </c>
      <c r="E508" s="32" t="s">
        <v>52</v>
      </c>
      <c r="F508" s="22" t="s">
        <v>63</v>
      </c>
      <c r="G508" s="23" t="s">
        <v>2626</v>
      </c>
      <c r="H508" s="24" t="s">
        <v>20</v>
      </c>
      <c r="J508" s="284" t="str">
        <f t="shared" si="50"/>
        <v>Materials science Forum │  ISSN:  0255-5476 *</v>
      </c>
      <c r="L508" s="243" t="s">
        <v>5304</v>
      </c>
    </row>
    <row r="509" spans="1:12" ht="26.25" customHeight="1">
      <c r="A509" s="17">
        <f t="shared" si="0"/>
        <v>506</v>
      </c>
      <c r="B509" s="18" t="s">
        <v>37</v>
      </c>
      <c r="C509" s="19" t="s">
        <v>2627</v>
      </c>
      <c r="D509" s="20" t="s">
        <v>2628</v>
      </c>
      <c r="E509" s="32" t="s">
        <v>52</v>
      </c>
      <c r="F509" s="22" t="s">
        <v>42</v>
      </c>
      <c r="G509" s="23" t="s">
        <v>2629</v>
      </c>
      <c r="H509" s="24" t="s">
        <v>20</v>
      </c>
      <c r="J509" s="284" t="str">
        <f t="shared" si="50"/>
        <v>Materials Technology │  ISSN:  1066-7857 *</v>
      </c>
      <c r="L509" s="243" t="s">
        <v>5305</v>
      </c>
    </row>
    <row r="510" spans="1:12" ht="26.25" customHeight="1">
      <c r="A510" s="17">
        <f t="shared" si="0"/>
        <v>507</v>
      </c>
      <c r="B510" s="18" t="s">
        <v>37</v>
      </c>
      <c r="C510" s="19" t="s">
        <v>2630</v>
      </c>
      <c r="D510" s="20" t="s">
        <v>2632</v>
      </c>
      <c r="E510" s="32" t="s">
        <v>52</v>
      </c>
      <c r="F510" s="22" t="s">
        <v>42</v>
      </c>
      <c r="G510" s="23" t="s">
        <v>2633</v>
      </c>
      <c r="H510" s="24" t="s">
        <v>20</v>
      </c>
      <c r="J510" s="284" t="str">
        <f t="shared" si="50"/>
        <v>Materials Transactions │  ISSN:  1345-9678 *</v>
      </c>
      <c r="L510" s="243" t="s">
        <v>5306</v>
      </c>
    </row>
    <row r="511" spans="1:12" ht="26.25" hidden="1" customHeight="1">
      <c r="A511" s="17">
        <f t="shared" si="0"/>
        <v>508</v>
      </c>
      <c r="B511" s="18" t="s">
        <v>105</v>
      </c>
      <c r="C511" s="31" t="s">
        <v>683</v>
      </c>
      <c r="D511" s="20" t="s">
        <v>684</v>
      </c>
      <c r="E511" s="32" t="s">
        <v>603</v>
      </c>
      <c r="F511" s="33" t="s">
        <v>42</v>
      </c>
      <c r="G511" s="23" t="s">
        <v>2634</v>
      </c>
      <c r="H511" s="24" t="s">
        <v>55</v>
      </c>
    </row>
    <row r="512" spans="1:12" ht="26.25" customHeight="1">
      <c r="A512" s="17">
        <f t="shared" si="0"/>
        <v>509</v>
      </c>
      <c r="B512" s="18" t="s">
        <v>105</v>
      </c>
      <c r="C512" s="31" t="s">
        <v>2635</v>
      </c>
      <c r="D512" s="20" t="s">
        <v>2637</v>
      </c>
      <c r="E512" s="21" t="s">
        <v>5072</v>
      </c>
      <c r="F512" s="33" t="s">
        <v>63</v>
      </c>
      <c r="G512" s="23" t="s">
        <v>2639</v>
      </c>
      <c r="H512" s="34" t="s">
        <v>20</v>
      </c>
      <c r="J512" s="284" t="str">
        <f>CONCATENATE(C512," │  ISSN:  ",D512," *")</f>
        <v>Mathematics Magazine │  ISSN:  0025-570X *</v>
      </c>
      <c r="L512" s="243" t="s">
        <v>5307</v>
      </c>
    </row>
    <row r="513" spans="1:12" ht="26.25" hidden="1" customHeight="1">
      <c r="A513" s="17">
        <f t="shared" si="0"/>
        <v>510</v>
      </c>
      <c r="B513" s="18" t="s">
        <v>105</v>
      </c>
      <c r="C513" s="31" t="s">
        <v>732</v>
      </c>
      <c r="D513" s="20" t="s">
        <v>734</v>
      </c>
      <c r="E513" s="32" t="s">
        <v>2640</v>
      </c>
      <c r="F513" s="33" t="s">
        <v>53</v>
      </c>
      <c r="G513" s="23" t="s">
        <v>2641</v>
      </c>
      <c r="H513" s="24" t="s">
        <v>55</v>
      </c>
    </row>
    <row r="514" spans="1:12" ht="26.25" hidden="1" customHeight="1">
      <c r="A514" s="17">
        <f t="shared" si="0"/>
        <v>511</v>
      </c>
      <c r="B514" s="18" t="s">
        <v>105</v>
      </c>
      <c r="C514" s="31" t="s">
        <v>740</v>
      </c>
      <c r="D514" s="20" t="s">
        <v>741</v>
      </c>
      <c r="E514" s="32" t="s">
        <v>170</v>
      </c>
      <c r="F514" s="33" t="s">
        <v>53</v>
      </c>
      <c r="G514" s="23" t="s">
        <v>2643</v>
      </c>
      <c r="H514" s="24" t="s">
        <v>55</v>
      </c>
    </row>
    <row r="515" spans="1:12" ht="26.25" hidden="1" customHeight="1">
      <c r="A515" s="17">
        <f t="shared" si="0"/>
        <v>512</v>
      </c>
      <c r="B515" s="18" t="s">
        <v>105</v>
      </c>
      <c r="C515" s="31" t="s">
        <v>2644</v>
      </c>
      <c r="D515" s="20" t="s">
        <v>2645</v>
      </c>
      <c r="E515" s="32" t="s">
        <v>1101</v>
      </c>
      <c r="F515" s="33" t="s">
        <v>42</v>
      </c>
      <c r="G515" s="23" t="s">
        <v>2646</v>
      </c>
      <c r="H515" s="24" t="s">
        <v>55</v>
      </c>
    </row>
    <row r="516" spans="1:12" ht="26.25" hidden="1" customHeight="1">
      <c r="A516" s="17">
        <f t="shared" si="0"/>
        <v>513</v>
      </c>
      <c r="B516" s="18" t="s">
        <v>105</v>
      </c>
      <c r="C516" s="31" t="s">
        <v>2647</v>
      </c>
      <c r="D516" s="20" t="s">
        <v>2648</v>
      </c>
      <c r="E516" s="32" t="s">
        <v>519</v>
      </c>
      <c r="F516" s="33" t="s">
        <v>42</v>
      </c>
      <c r="G516" s="23" t="s">
        <v>2649</v>
      </c>
      <c r="H516" s="24" t="s">
        <v>55</v>
      </c>
    </row>
    <row r="517" spans="1:12" ht="26.25" customHeight="1">
      <c r="A517" s="17">
        <f t="shared" si="0"/>
        <v>514</v>
      </c>
      <c r="B517" s="18" t="s">
        <v>105</v>
      </c>
      <c r="C517" s="31" t="s">
        <v>1455</v>
      </c>
      <c r="D517" s="20" t="s">
        <v>1457</v>
      </c>
      <c r="E517" s="32" t="s">
        <v>52</v>
      </c>
      <c r="F517" s="33" t="s">
        <v>42</v>
      </c>
      <c r="G517" s="23" t="s">
        <v>2650</v>
      </c>
      <c r="H517" s="24" t="s">
        <v>20</v>
      </c>
      <c r="J517" s="284" t="str">
        <f>CONCATENATE(C517," │  ISSN:  ",D517," *")</f>
        <v>Measurement and Control │  ISSN:  0020-2940 *</v>
      </c>
      <c r="L517" s="243" t="s">
        <v>5308</v>
      </c>
    </row>
    <row r="518" spans="1:12" ht="26.25" hidden="1" customHeight="1">
      <c r="A518" s="17">
        <f t="shared" si="0"/>
        <v>515</v>
      </c>
      <c r="B518" s="18" t="s">
        <v>132</v>
      </c>
      <c r="C518" s="31" t="s">
        <v>2651</v>
      </c>
      <c r="D518" s="20" t="s">
        <v>2653</v>
      </c>
      <c r="E518" s="32" t="s">
        <v>2654</v>
      </c>
      <c r="F518" s="22" t="s">
        <v>31</v>
      </c>
      <c r="G518" s="23" t="s">
        <v>2655</v>
      </c>
      <c r="H518" s="24" t="s">
        <v>55</v>
      </c>
    </row>
    <row r="519" spans="1:12" ht="26.25" customHeight="1">
      <c r="A519" s="17">
        <f t="shared" si="0"/>
        <v>516</v>
      </c>
      <c r="B519" s="18" t="s">
        <v>132</v>
      </c>
      <c r="C519" s="19" t="s">
        <v>1728</v>
      </c>
      <c r="D519" s="20" t="s">
        <v>1729</v>
      </c>
      <c r="E519" s="32" t="s">
        <v>2656</v>
      </c>
      <c r="F519" s="22" t="s">
        <v>42</v>
      </c>
      <c r="G519" s="23" t="s">
        <v>2657</v>
      </c>
      <c r="H519" s="24" t="s">
        <v>20</v>
      </c>
      <c r="J519" s="284" t="str">
        <f t="shared" ref="J519:J520" si="51">CONCATENATE(C519," │  ISSN:  ",D519," *")</f>
        <v>Mechanics Based Design of Structures and Machines │  ISSN:  1539-7734 *</v>
      </c>
      <c r="L519" s="243" t="s">
        <v>5309</v>
      </c>
    </row>
    <row r="520" spans="1:12" ht="26.25" customHeight="1">
      <c r="A520" s="17">
        <f t="shared" si="0"/>
        <v>517</v>
      </c>
      <c r="B520" s="18" t="s">
        <v>132</v>
      </c>
      <c r="C520" s="19" t="s">
        <v>2658</v>
      </c>
      <c r="D520" s="20" t="s">
        <v>2659</v>
      </c>
      <c r="E520" s="32" t="s">
        <v>52</v>
      </c>
      <c r="F520" s="22" t="s">
        <v>31</v>
      </c>
      <c r="G520" s="23" t="s">
        <v>2660</v>
      </c>
      <c r="H520" s="24" t="s">
        <v>20</v>
      </c>
      <c r="J520" s="284" t="str">
        <f t="shared" si="51"/>
        <v>Mechanics of Advanced Materials and Structures │  ISSN:  1537-6494 *</v>
      </c>
      <c r="L520" s="243" t="s">
        <v>5310</v>
      </c>
    </row>
    <row r="521" spans="1:12" ht="26.25" hidden="1" customHeight="1">
      <c r="A521" s="17">
        <f t="shared" si="0"/>
        <v>518</v>
      </c>
      <c r="B521" s="18" t="s">
        <v>132</v>
      </c>
      <c r="C521" s="31" t="s">
        <v>872</v>
      </c>
      <c r="D521" s="20" t="s">
        <v>873</v>
      </c>
      <c r="E521" s="32" t="s">
        <v>2662</v>
      </c>
      <c r="F521" s="22" t="s">
        <v>31</v>
      </c>
      <c r="G521" s="23" t="s">
        <v>2663</v>
      </c>
      <c r="H521" s="24" t="s">
        <v>55</v>
      </c>
    </row>
    <row r="522" spans="1:12" ht="26.25" hidden="1" customHeight="1">
      <c r="A522" s="17">
        <f t="shared" si="0"/>
        <v>519</v>
      </c>
      <c r="B522" s="18" t="s">
        <v>37</v>
      </c>
      <c r="C522" s="70" t="s">
        <v>1139</v>
      </c>
      <c r="D522" s="20" t="s">
        <v>1141</v>
      </c>
      <c r="E522" s="44">
        <v>2019</v>
      </c>
      <c r="F522" s="22" t="s">
        <v>53</v>
      </c>
      <c r="G522" s="41" t="s">
        <v>2665</v>
      </c>
      <c r="H522" s="24" t="s">
        <v>55</v>
      </c>
    </row>
    <row r="523" spans="1:12" ht="26.25" customHeight="1">
      <c r="A523" s="17">
        <f t="shared" si="0"/>
        <v>520</v>
      </c>
      <c r="B523" s="18" t="s">
        <v>37</v>
      </c>
      <c r="C523" s="19" t="s">
        <v>2666</v>
      </c>
      <c r="D523" s="20" t="s">
        <v>2668</v>
      </c>
      <c r="E523" s="32" t="s">
        <v>5013</v>
      </c>
      <c r="F523" s="22" t="s">
        <v>53</v>
      </c>
      <c r="G523" s="23" t="s">
        <v>2670</v>
      </c>
      <c r="H523" s="24" t="s">
        <v>20</v>
      </c>
      <c r="J523" s="284" t="str">
        <f t="shared" ref="J523:J524" si="52">CONCATENATE(C523," │  ISSN:  ",D523," *")</f>
        <v>Melliand International │  ISSN:  0947-9163 *</v>
      </c>
      <c r="L523" s="243" t="s">
        <v>5311</v>
      </c>
    </row>
    <row r="524" spans="1:12" ht="26.25" customHeight="1">
      <c r="A524" s="17">
        <f t="shared" si="0"/>
        <v>521</v>
      </c>
      <c r="B524" s="18" t="s">
        <v>37</v>
      </c>
      <c r="C524" s="19" t="s">
        <v>2671</v>
      </c>
      <c r="D524" s="20" t="s">
        <v>2672</v>
      </c>
      <c r="E524" s="32" t="s">
        <v>5014</v>
      </c>
      <c r="F524" s="22" t="s">
        <v>53</v>
      </c>
      <c r="G524" s="23" t="s">
        <v>2674</v>
      </c>
      <c r="H524" s="24" t="s">
        <v>20</v>
      </c>
      <c r="J524" s="284" t="str">
        <f t="shared" si="52"/>
        <v>Melliand Textilberichte │  ISSN:  0341-0781 *</v>
      </c>
      <c r="L524" s="243" t="s">
        <v>5312</v>
      </c>
    </row>
    <row r="525" spans="1:12" ht="26.25" hidden="1" customHeight="1">
      <c r="A525" s="17">
        <f t="shared" si="0"/>
        <v>522</v>
      </c>
      <c r="B525" s="18" t="s">
        <v>37</v>
      </c>
      <c r="C525" s="31" t="s">
        <v>2675</v>
      </c>
      <c r="D525" s="20" t="s">
        <v>1148</v>
      </c>
      <c r="E525" s="32" t="s">
        <v>170</v>
      </c>
      <c r="F525" s="22" t="s">
        <v>63</v>
      </c>
      <c r="G525" s="23" t="s">
        <v>2677</v>
      </c>
      <c r="H525" s="24" t="s">
        <v>55</v>
      </c>
    </row>
    <row r="526" spans="1:12" ht="26.25" hidden="1" customHeight="1">
      <c r="A526" s="17">
        <f t="shared" si="0"/>
        <v>523</v>
      </c>
      <c r="B526" s="18" t="s">
        <v>37</v>
      </c>
      <c r="C526" s="31" t="s">
        <v>2678</v>
      </c>
      <c r="D526" s="20" t="s">
        <v>2679</v>
      </c>
      <c r="E526" s="32" t="s">
        <v>2257</v>
      </c>
      <c r="F526" s="22" t="s">
        <v>42</v>
      </c>
      <c r="G526" s="23" t="s">
        <v>2680</v>
      </c>
      <c r="H526" s="24" t="s">
        <v>55</v>
      </c>
    </row>
    <row r="527" spans="1:12" ht="26.25" customHeight="1">
      <c r="A527" s="17">
        <f t="shared" si="0"/>
        <v>524</v>
      </c>
      <c r="B527" s="18" t="s">
        <v>37</v>
      </c>
      <c r="C527" s="19" t="s">
        <v>2681</v>
      </c>
      <c r="D527" s="20" t="s">
        <v>2682</v>
      </c>
      <c r="E527" s="32" t="s">
        <v>5015</v>
      </c>
      <c r="F527" s="22" t="s">
        <v>42</v>
      </c>
      <c r="G527" s="23" t="s">
        <v>2684</v>
      </c>
      <c r="H527" s="24" t="s">
        <v>20</v>
      </c>
      <c r="J527" s="284" t="str">
        <f>CONCATENATE(C527," │  ISSN:  ",D527," *")</f>
        <v>Metallurgical and Materials Transactions. B, Process Metallurgy and Materials Processing science │  ISSN:  1073-5615 *</v>
      </c>
      <c r="L527" s="243" t="s">
        <v>5313</v>
      </c>
    </row>
    <row r="528" spans="1:12" ht="26.25" hidden="1" customHeight="1">
      <c r="A528" s="17">
        <f t="shared" si="0"/>
        <v>525</v>
      </c>
      <c r="B528" s="18" t="s">
        <v>27</v>
      </c>
      <c r="C528" s="31" t="s">
        <v>2685</v>
      </c>
      <c r="D528" s="20" t="s">
        <v>2686</v>
      </c>
      <c r="E528" s="32" t="s">
        <v>1947</v>
      </c>
      <c r="F528" s="22" t="s">
        <v>53</v>
      </c>
      <c r="G528" s="23" t="s">
        <v>2687</v>
      </c>
      <c r="H528" s="24" t="s">
        <v>55</v>
      </c>
    </row>
    <row r="529" spans="1:12" ht="26.25" hidden="1" customHeight="1">
      <c r="A529" s="17">
        <f t="shared" si="0"/>
        <v>526</v>
      </c>
      <c r="B529" s="18" t="s">
        <v>175</v>
      </c>
      <c r="C529" s="31" t="s">
        <v>2688</v>
      </c>
      <c r="D529" s="20" t="s">
        <v>2689</v>
      </c>
      <c r="E529" s="32" t="s">
        <v>252</v>
      </c>
      <c r="F529" s="33" t="s">
        <v>42</v>
      </c>
      <c r="G529" s="23" t="s">
        <v>2690</v>
      </c>
      <c r="H529" s="24" t="s">
        <v>55</v>
      </c>
    </row>
    <row r="530" spans="1:12" ht="26.25" customHeight="1">
      <c r="A530" s="17">
        <f t="shared" si="0"/>
        <v>527</v>
      </c>
      <c r="B530" s="18" t="s">
        <v>175</v>
      </c>
      <c r="C530" s="19" t="s">
        <v>2691</v>
      </c>
      <c r="D530" s="20" t="s">
        <v>2692</v>
      </c>
      <c r="E530" s="32" t="s">
        <v>178</v>
      </c>
      <c r="F530" s="33" t="s">
        <v>42</v>
      </c>
      <c r="G530" s="23" t="s">
        <v>2693</v>
      </c>
      <c r="H530" s="24" t="s">
        <v>20</v>
      </c>
      <c r="J530" s="284" t="str">
        <f>CONCATENATE(C530," │  ISSN:  ",D530," *")</f>
        <v>Microscopy and Microanalysis │  ISSN:  1431-9276 *</v>
      </c>
      <c r="L530" s="243" t="s">
        <v>5314</v>
      </c>
    </row>
    <row r="531" spans="1:12" ht="26.25" hidden="1" customHeight="1">
      <c r="A531" s="17">
        <f t="shared" si="0"/>
        <v>528</v>
      </c>
      <c r="B531" s="18" t="s">
        <v>48</v>
      </c>
      <c r="C531" s="31" t="s">
        <v>2694</v>
      </c>
      <c r="D531" s="20" t="s">
        <v>2695</v>
      </c>
      <c r="E531" s="32" t="s">
        <v>2696</v>
      </c>
      <c r="F531" s="33" t="s">
        <v>53</v>
      </c>
      <c r="G531" s="23" t="s">
        <v>2697</v>
      </c>
      <c r="H531" s="24" t="s">
        <v>55</v>
      </c>
    </row>
    <row r="532" spans="1:12" ht="26.25" customHeight="1">
      <c r="A532" s="17">
        <f t="shared" si="0"/>
        <v>529</v>
      </c>
      <c r="B532" s="18" t="s">
        <v>105</v>
      </c>
      <c r="C532" s="19" t="s">
        <v>2698</v>
      </c>
      <c r="D532" s="20" t="s">
        <v>2699</v>
      </c>
      <c r="E532" s="32" t="s">
        <v>178</v>
      </c>
      <c r="F532" s="33" t="s">
        <v>42</v>
      </c>
      <c r="G532" s="23" t="s">
        <v>2700</v>
      </c>
      <c r="H532" s="24" t="s">
        <v>20</v>
      </c>
      <c r="J532" s="284" t="str">
        <f t="shared" ref="J532:J535" si="53">CONCATENATE(C532," │  ISSN:  ",D532," *")</f>
        <v>Mineral Processing and Extractive Metallurgy Review │  ISSN:  0882-7508 *</v>
      </c>
      <c r="L532" s="243" t="s">
        <v>5315</v>
      </c>
    </row>
    <row r="533" spans="1:12" ht="26.25" customHeight="1">
      <c r="A533" s="17">
        <f t="shared" si="0"/>
        <v>530</v>
      </c>
      <c r="B533" s="18" t="s">
        <v>105</v>
      </c>
      <c r="C533" s="19" t="s">
        <v>2701</v>
      </c>
      <c r="D533" s="100" t="s">
        <v>2702</v>
      </c>
      <c r="E533" s="32" t="s">
        <v>178</v>
      </c>
      <c r="F533" s="33" t="s">
        <v>42</v>
      </c>
      <c r="G533" s="23" t="s">
        <v>2703</v>
      </c>
      <c r="H533" s="24" t="s">
        <v>20</v>
      </c>
      <c r="J533" s="284" t="str">
        <f t="shared" si="53"/>
        <v>Minerals and Metallurgical Processing
(Mining, Metallurgy &amp; Exploration) │  ISSN:  2524-3462
(0747-9182) *</v>
      </c>
      <c r="L533" s="243" t="s">
        <v>5316</v>
      </c>
    </row>
    <row r="534" spans="1:12" ht="26.25" customHeight="1">
      <c r="A534" s="17">
        <f t="shared" si="0"/>
        <v>531</v>
      </c>
      <c r="B534" s="18" t="s">
        <v>1368</v>
      </c>
      <c r="C534" s="31" t="s">
        <v>1568</v>
      </c>
      <c r="D534" s="43"/>
      <c r="E534" s="21" t="s">
        <v>2705</v>
      </c>
      <c r="F534" s="33" t="s">
        <v>53</v>
      </c>
      <c r="G534" s="59" t="s">
        <v>2706</v>
      </c>
      <c r="H534" s="34" t="s">
        <v>20</v>
      </c>
      <c r="J534" s="284" t="str">
        <f t="shared" si="53"/>
        <v>Mode et Mode │  ISSN:   *</v>
      </c>
      <c r="L534" s="243" t="s">
        <v>5317</v>
      </c>
    </row>
    <row r="535" spans="1:12" ht="26.25" customHeight="1">
      <c r="A535" s="17">
        <f t="shared" si="0"/>
        <v>532</v>
      </c>
      <c r="B535" s="18" t="s">
        <v>37</v>
      </c>
      <c r="C535" s="19" t="s">
        <v>2707</v>
      </c>
      <c r="D535" s="20" t="s">
        <v>2708</v>
      </c>
      <c r="E535" s="32" t="s">
        <v>5016</v>
      </c>
      <c r="F535" s="22" t="s">
        <v>53</v>
      </c>
      <c r="G535" s="23" t="s">
        <v>2710</v>
      </c>
      <c r="H535" s="24" t="s">
        <v>20</v>
      </c>
      <c r="J535" s="284" t="str">
        <f t="shared" si="53"/>
        <v>Modern Casting │  ISSN:  0026-7562 *</v>
      </c>
      <c r="L535" s="243" t="s">
        <v>5318</v>
      </c>
    </row>
    <row r="536" spans="1:12" ht="26.25" hidden="1" customHeight="1">
      <c r="A536" s="17">
        <f t="shared" si="0"/>
        <v>533</v>
      </c>
      <c r="B536" s="18" t="s">
        <v>175</v>
      </c>
      <c r="C536" s="31" t="s">
        <v>2711</v>
      </c>
      <c r="D536" s="20" t="s">
        <v>2712</v>
      </c>
      <c r="E536" s="32" t="s">
        <v>2713</v>
      </c>
      <c r="F536" s="33" t="s">
        <v>42</v>
      </c>
      <c r="G536" s="23" t="s">
        <v>2714</v>
      </c>
      <c r="H536" s="24" t="s">
        <v>55</v>
      </c>
    </row>
    <row r="537" spans="1:12" ht="26.25" hidden="1" customHeight="1">
      <c r="A537" s="17">
        <f t="shared" si="0"/>
        <v>534</v>
      </c>
      <c r="B537" s="18" t="s">
        <v>175</v>
      </c>
      <c r="C537" s="31" t="s">
        <v>2715</v>
      </c>
      <c r="D537" s="20" t="s">
        <v>2717</v>
      </c>
      <c r="E537" s="32" t="s">
        <v>2718</v>
      </c>
      <c r="F537" s="33" t="s">
        <v>42</v>
      </c>
      <c r="G537" s="23" t="s">
        <v>2719</v>
      </c>
      <c r="H537" s="24" t="s">
        <v>55</v>
      </c>
    </row>
    <row r="538" spans="1:12" ht="26.25" hidden="1" customHeight="1">
      <c r="A538" s="17">
        <f t="shared" si="0"/>
        <v>535</v>
      </c>
      <c r="B538" s="18" t="s">
        <v>132</v>
      </c>
      <c r="C538" s="31" t="s">
        <v>1157</v>
      </c>
      <c r="D538" s="20" t="s">
        <v>1158</v>
      </c>
      <c r="E538" s="32" t="s">
        <v>170</v>
      </c>
      <c r="F538" s="22" t="s">
        <v>53</v>
      </c>
      <c r="G538" s="23" t="s">
        <v>2721</v>
      </c>
      <c r="H538" s="24" t="s">
        <v>55</v>
      </c>
    </row>
    <row r="539" spans="1:12" ht="26.25" customHeight="1">
      <c r="A539" s="17">
        <f t="shared" si="0"/>
        <v>536</v>
      </c>
      <c r="B539" s="18" t="s">
        <v>37</v>
      </c>
      <c r="C539" s="19" t="s">
        <v>2722</v>
      </c>
      <c r="D539" s="20" t="s">
        <v>2723</v>
      </c>
      <c r="E539" s="32" t="s">
        <v>2705</v>
      </c>
      <c r="F539" s="22" t="s">
        <v>42</v>
      </c>
      <c r="G539" s="23" t="s">
        <v>2724</v>
      </c>
      <c r="H539" s="24" t="s">
        <v>20</v>
      </c>
      <c r="J539" s="284" t="str">
        <f>CONCATENATE(C539," │  ISSN:  ",D539," *")</f>
        <v>MRS Bulletin- Materials Research Society │  ISSN:  0883-7694 *</v>
      </c>
      <c r="L539" s="243" t="s">
        <v>5319</v>
      </c>
    </row>
    <row r="540" spans="1:12" ht="26.25" hidden="1" customHeight="1">
      <c r="A540" s="17">
        <f t="shared" si="0"/>
        <v>537</v>
      </c>
      <c r="B540" s="18" t="s">
        <v>175</v>
      </c>
      <c r="C540" s="31" t="s">
        <v>2725</v>
      </c>
      <c r="D540" s="20" t="s">
        <v>2726</v>
      </c>
      <c r="E540" s="32" t="s">
        <v>2727</v>
      </c>
      <c r="F540" s="33" t="s">
        <v>42</v>
      </c>
      <c r="G540" s="23" t="s">
        <v>2728</v>
      </c>
      <c r="H540" s="24" t="s">
        <v>55</v>
      </c>
    </row>
    <row r="541" spans="1:12" ht="26.25" hidden="1" customHeight="1">
      <c r="A541" s="17">
        <f t="shared" si="0"/>
        <v>538</v>
      </c>
      <c r="B541" s="18" t="s">
        <v>175</v>
      </c>
      <c r="C541" s="31" t="s">
        <v>2729</v>
      </c>
      <c r="D541" s="20" t="s">
        <v>2730</v>
      </c>
      <c r="E541" s="32" t="s">
        <v>2731</v>
      </c>
      <c r="F541" s="33" t="s">
        <v>42</v>
      </c>
      <c r="G541" s="23" t="s">
        <v>2732</v>
      </c>
      <c r="H541" s="24" t="s">
        <v>55</v>
      </c>
    </row>
    <row r="542" spans="1:12" ht="26.25" hidden="1" customHeight="1">
      <c r="A542" s="17">
        <f t="shared" si="0"/>
        <v>539</v>
      </c>
      <c r="B542" s="18" t="s">
        <v>37</v>
      </c>
      <c r="C542" s="31" t="s">
        <v>2733</v>
      </c>
      <c r="D542" s="20" t="s">
        <v>2734</v>
      </c>
      <c r="E542" s="32" t="s">
        <v>209</v>
      </c>
      <c r="F542" s="22" t="s">
        <v>42</v>
      </c>
      <c r="G542" s="23" t="s">
        <v>2735</v>
      </c>
      <c r="H542" s="24" t="s">
        <v>55</v>
      </c>
    </row>
    <row r="543" spans="1:12" ht="26.25" hidden="1" customHeight="1">
      <c r="A543" s="17">
        <f t="shared" si="0"/>
        <v>540</v>
      </c>
      <c r="B543" s="18" t="s">
        <v>37</v>
      </c>
      <c r="C543" s="31" t="s">
        <v>2736</v>
      </c>
      <c r="D543" s="20" t="s">
        <v>2737</v>
      </c>
      <c r="E543" s="32" t="s">
        <v>209</v>
      </c>
      <c r="F543" s="22" t="s">
        <v>42</v>
      </c>
      <c r="G543" s="23" t="s">
        <v>2738</v>
      </c>
      <c r="H543" s="24" t="s">
        <v>55</v>
      </c>
    </row>
    <row r="544" spans="1:12" ht="26.25" customHeight="1">
      <c r="A544" s="17">
        <f t="shared" si="0"/>
        <v>541</v>
      </c>
      <c r="B544" s="18" t="s">
        <v>248</v>
      </c>
      <c r="C544" s="101" t="s">
        <v>5320</v>
      </c>
      <c r="D544" s="84" t="s">
        <v>1735</v>
      </c>
      <c r="E544" s="44" t="s">
        <v>5321</v>
      </c>
      <c r="F544" s="22" t="s">
        <v>31</v>
      </c>
      <c r="G544" s="102" t="s">
        <v>2741</v>
      </c>
      <c r="H544" s="24" t="s">
        <v>20</v>
      </c>
      <c r="J544" s="284" t="str">
        <f>CONCATENATE(C544," │  ISSN:  ",D544," *")</f>
        <v>Nanoscience and Nanotechnology Letters │  ISSN:  1941-4900 *</v>
      </c>
      <c r="L544" s="243" t="s">
        <v>5322</v>
      </c>
    </row>
    <row r="545" spans="1:12" ht="26.25" hidden="1" customHeight="1">
      <c r="A545" s="17">
        <f t="shared" si="0"/>
        <v>542</v>
      </c>
      <c r="B545" s="18" t="s">
        <v>37</v>
      </c>
      <c r="C545" s="31" t="s">
        <v>878</v>
      </c>
      <c r="D545" s="20" t="s">
        <v>879</v>
      </c>
      <c r="E545" s="32" t="s">
        <v>2100</v>
      </c>
      <c r="F545" s="22" t="s">
        <v>1846</v>
      </c>
      <c r="G545" s="23" t="s">
        <v>2743</v>
      </c>
      <c r="H545" s="24" t="s">
        <v>55</v>
      </c>
    </row>
    <row r="546" spans="1:12" ht="26.25" hidden="1" customHeight="1">
      <c r="A546" s="17">
        <f t="shared" si="0"/>
        <v>543</v>
      </c>
      <c r="B546" s="18" t="s">
        <v>27</v>
      </c>
      <c r="C546" s="31" t="s">
        <v>2744</v>
      </c>
      <c r="D546" s="20" t="s">
        <v>2745</v>
      </c>
      <c r="E546" s="32" t="s">
        <v>2746</v>
      </c>
      <c r="F546" s="22" t="s">
        <v>42</v>
      </c>
      <c r="G546" s="23" t="s">
        <v>2747</v>
      </c>
      <c r="H546" s="24" t="s">
        <v>55</v>
      </c>
    </row>
    <row r="547" spans="1:12" ht="26.25" hidden="1" customHeight="1">
      <c r="A547" s="17">
        <f t="shared" si="0"/>
        <v>544</v>
      </c>
      <c r="B547" s="18" t="s">
        <v>105</v>
      </c>
      <c r="C547" s="31" t="s">
        <v>2748</v>
      </c>
      <c r="D547" s="20" t="s">
        <v>2749</v>
      </c>
      <c r="E547" s="32" t="s">
        <v>2750</v>
      </c>
      <c r="F547" s="33" t="s">
        <v>42</v>
      </c>
      <c r="G547" s="23" t="s">
        <v>2751</v>
      </c>
      <c r="H547" s="24" t="s">
        <v>55</v>
      </c>
    </row>
    <row r="548" spans="1:12" ht="26.25" hidden="1" customHeight="1">
      <c r="A548" s="17">
        <f t="shared" si="0"/>
        <v>545</v>
      </c>
      <c r="B548" s="18" t="s">
        <v>175</v>
      </c>
      <c r="C548" s="31" t="s">
        <v>2752</v>
      </c>
      <c r="D548" s="20" t="s">
        <v>2753</v>
      </c>
      <c r="E548" s="32" t="s">
        <v>2754</v>
      </c>
      <c r="F548" s="33" t="s">
        <v>42</v>
      </c>
      <c r="G548" s="23" t="s">
        <v>2755</v>
      </c>
      <c r="H548" s="24" t="s">
        <v>55</v>
      </c>
    </row>
    <row r="549" spans="1:12" ht="26.25" customHeight="1">
      <c r="A549" s="17">
        <f t="shared" si="0"/>
        <v>546</v>
      </c>
      <c r="B549" s="18" t="s">
        <v>1375</v>
      </c>
      <c r="C549" s="19" t="s">
        <v>2756</v>
      </c>
      <c r="D549" s="20" t="s">
        <v>2758</v>
      </c>
      <c r="E549" s="32" t="s">
        <v>52</v>
      </c>
      <c r="F549" s="22" t="s">
        <v>53</v>
      </c>
      <c r="G549" s="23" t="s">
        <v>2759</v>
      </c>
      <c r="H549" s="24" t="s">
        <v>20</v>
      </c>
      <c r="J549" s="284" t="str">
        <f>CONCATENATE(C549," │  ISSN:  ",D549," *")</f>
        <v>Navigation │  ISSN:  0919-9985 *</v>
      </c>
      <c r="L549" s="243" t="s">
        <v>5323</v>
      </c>
    </row>
    <row r="550" spans="1:12" ht="26.25" hidden="1" customHeight="1">
      <c r="A550" s="17">
        <f t="shared" si="0"/>
        <v>547</v>
      </c>
      <c r="B550" s="18" t="s">
        <v>1368</v>
      </c>
      <c r="C550" s="31" t="s">
        <v>661</v>
      </c>
      <c r="D550" s="20" t="s">
        <v>663</v>
      </c>
      <c r="E550" s="32" t="s">
        <v>496</v>
      </c>
      <c r="F550" s="33" t="s">
        <v>53</v>
      </c>
      <c r="G550" s="23" t="s">
        <v>2760</v>
      </c>
      <c r="H550" s="24" t="s">
        <v>55</v>
      </c>
    </row>
    <row r="551" spans="1:12" ht="26.25" hidden="1" customHeight="1">
      <c r="A551" s="17">
        <f t="shared" si="0"/>
        <v>548</v>
      </c>
      <c r="B551" s="18" t="s">
        <v>105</v>
      </c>
      <c r="C551" s="31" t="s">
        <v>2761</v>
      </c>
      <c r="D551" s="20" t="s">
        <v>2762</v>
      </c>
      <c r="E551" s="32" t="s">
        <v>2763</v>
      </c>
      <c r="F551" s="33" t="s">
        <v>53</v>
      </c>
      <c r="G551" s="23" t="s">
        <v>2764</v>
      </c>
      <c r="H551" s="24" t="s">
        <v>55</v>
      </c>
    </row>
    <row r="552" spans="1:12" ht="26.25" customHeight="1">
      <c r="A552" s="17">
        <f t="shared" si="0"/>
        <v>549</v>
      </c>
      <c r="B552" s="18" t="s">
        <v>37</v>
      </c>
      <c r="C552" s="19" t="s">
        <v>2765</v>
      </c>
      <c r="D552" s="20" t="s">
        <v>2767</v>
      </c>
      <c r="E552" s="32" t="s">
        <v>5017</v>
      </c>
      <c r="F552" s="22" t="s">
        <v>42</v>
      </c>
      <c r="G552" s="23" t="s">
        <v>2769</v>
      </c>
      <c r="H552" s="24" t="s">
        <v>20</v>
      </c>
      <c r="J552" s="284" t="str">
        <f>CONCATENATE(C552," │  ISSN:  ",D552," *")</f>
        <v>Nippon Kinzoku Gakkaishi │  ISSN:  0021-4876 *</v>
      </c>
      <c r="L552" s="243" t="s">
        <v>5324</v>
      </c>
    </row>
    <row r="553" spans="1:12" ht="26.25" hidden="1" customHeight="1">
      <c r="A553" s="17">
        <f t="shared" si="0"/>
        <v>550</v>
      </c>
      <c r="B553" s="18" t="s">
        <v>105</v>
      </c>
      <c r="C553" s="31" t="s">
        <v>2770</v>
      </c>
      <c r="D553" s="20" t="s">
        <v>1167</v>
      </c>
      <c r="E553" s="32" t="s">
        <v>170</v>
      </c>
      <c r="F553" s="33" t="s">
        <v>63</v>
      </c>
      <c r="G553" s="23" t="s">
        <v>2772</v>
      </c>
      <c r="H553" s="24" t="s">
        <v>55</v>
      </c>
    </row>
    <row r="554" spans="1:12" ht="26.25" customHeight="1">
      <c r="A554" s="17">
        <f t="shared" si="0"/>
        <v>551</v>
      </c>
      <c r="B554" s="18" t="s">
        <v>132</v>
      </c>
      <c r="C554" s="19" t="s">
        <v>1697</v>
      </c>
      <c r="D554" s="20" t="s">
        <v>1698</v>
      </c>
      <c r="E554" s="32" t="s">
        <v>52</v>
      </c>
      <c r="F554" s="22" t="s">
        <v>42</v>
      </c>
      <c r="G554" s="23" t="s">
        <v>2773</v>
      </c>
      <c r="H554" s="24" t="s">
        <v>20</v>
      </c>
      <c r="J554" s="284" t="str">
        <f>CONCATENATE(C554," │  ISSN:  ",D554," *")</f>
        <v>Nondestructive Testing and Evaluation │  ISSN:  1058-9759 *</v>
      </c>
      <c r="L554" s="243" t="s">
        <v>5325</v>
      </c>
    </row>
    <row r="555" spans="1:12" ht="26.25" hidden="1" customHeight="1">
      <c r="A555" s="17">
        <f t="shared" si="0"/>
        <v>552</v>
      </c>
      <c r="B555" s="18" t="s">
        <v>105</v>
      </c>
      <c r="C555" s="31" t="s">
        <v>2774</v>
      </c>
      <c r="D555" s="20" t="s">
        <v>130</v>
      </c>
      <c r="E555" s="32" t="s">
        <v>962</v>
      </c>
      <c r="F555" s="33" t="s">
        <v>42</v>
      </c>
      <c r="G555" s="23" t="s">
        <v>2775</v>
      </c>
      <c r="H555" s="24" t="s">
        <v>55</v>
      </c>
    </row>
    <row r="556" spans="1:12" ht="26.25" hidden="1" customHeight="1">
      <c r="A556" s="17">
        <f t="shared" si="0"/>
        <v>553</v>
      </c>
      <c r="B556" s="18" t="s">
        <v>175</v>
      </c>
      <c r="C556" s="31" t="s">
        <v>2776</v>
      </c>
      <c r="D556" s="20" t="s">
        <v>2777</v>
      </c>
      <c r="E556" s="32" t="s">
        <v>2778</v>
      </c>
      <c r="F556" s="33" t="s">
        <v>42</v>
      </c>
      <c r="G556" s="23" t="s">
        <v>2779</v>
      </c>
      <c r="H556" s="24" t="s">
        <v>55</v>
      </c>
    </row>
    <row r="557" spans="1:12" ht="26.25" customHeight="1">
      <c r="A557" s="17">
        <f t="shared" si="0"/>
        <v>554</v>
      </c>
      <c r="B557" s="18" t="s">
        <v>132</v>
      </c>
      <c r="C557" s="19" t="s">
        <v>2780</v>
      </c>
      <c r="D557" s="20" t="s">
        <v>2781</v>
      </c>
      <c r="E557" s="32" t="s">
        <v>4957</v>
      </c>
      <c r="F557" s="22" t="s">
        <v>42</v>
      </c>
      <c r="G557" s="23" t="s">
        <v>2782</v>
      </c>
      <c r="H557" s="24" t="s">
        <v>20</v>
      </c>
      <c r="J557" s="284" t="str">
        <f t="shared" ref="J557:J558" si="54">CONCATENATE(C557," │  ISSN:  ",D557," *")</f>
        <v>Numerical Heat Transfer Part A │  ISSN:  1040-7782 *</v>
      </c>
      <c r="L557" s="243" t="s">
        <v>5326</v>
      </c>
    </row>
    <row r="558" spans="1:12" ht="26.25" customHeight="1">
      <c r="A558" s="17">
        <f t="shared" si="0"/>
        <v>555</v>
      </c>
      <c r="B558" s="18" t="s">
        <v>132</v>
      </c>
      <c r="C558" s="19" t="s">
        <v>2783</v>
      </c>
      <c r="D558" s="20" t="s">
        <v>2784</v>
      </c>
      <c r="E558" s="32" t="s">
        <v>4957</v>
      </c>
      <c r="F558" s="22" t="s">
        <v>42</v>
      </c>
      <c r="G558" s="23" t="s">
        <v>2785</v>
      </c>
      <c r="H558" s="24" t="s">
        <v>20</v>
      </c>
      <c r="J558" s="284" t="str">
        <f t="shared" si="54"/>
        <v>Numerical Heat Transfer Part B │  ISSN:  1040-7790 *</v>
      </c>
      <c r="L558" s="243" t="s">
        <v>5327</v>
      </c>
    </row>
    <row r="559" spans="1:12" ht="26.25" hidden="1" customHeight="1">
      <c r="A559" s="17">
        <f t="shared" si="0"/>
        <v>556</v>
      </c>
      <c r="B559" s="18" t="s">
        <v>105</v>
      </c>
      <c r="C559" s="31" t="s">
        <v>1173</v>
      </c>
      <c r="D559" s="20" t="s">
        <v>1175</v>
      </c>
      <c r="E559" s="32" t="s">
        <v>170</v>
      </c>
      <c r="F559" s="33" t="s">
        <v>53</v>
      </c>
      <c r="G559" s="23" t="s">
        <v>2787</v>
      </c>
      <c r="H559" s="24" t="s">
        <v>55</v>
      </c>
    </row>
    <row r="560" spans="1:12" ht="26.25" hidden="1" customHeight="1">
      <c r="A560" s="17">
        <f t="shared" si="0"/>
        <v>557</v>
      </c>
      <c r="B560" s="18" t="s">
        <v>146</v>
      </c>
      <c r="C560" s="31" t="s">
        <v>621</v>
      </c>
      <c r="D560" s="20" t="s">
        <v>623</v>
      </c>
      <c r="E560" s="32" t="s">
        <v>1033</v>
      </c>
      <c r="F560" s="33" t="s">
        <v>63</v>
      </c>
      <c r="G560" s="23" t="s">
        <v>2789</v>
      </c>
      <c r="H560" s="24" t="s">
        <v>55</v>
      </c>
    </row>
    <row r="561" spans="1:12" ht="26.25" hidden="1" customHeight="1">
      <c r="A561" s="17">
        <f t="shared" si="0"/>
        <v>558</v>
      </c>
      <c r="B561" s="18" t="s">
        <v>27</v>
      </c>
      <c r="C561" s="31" t="s">
        <v>1188</v>
      </c>
      <c r="D561" s="20" t="s">
        <v>1190</v>
      </c>
      <c r="E561" s="32" t="s">
        <v>170</v>
      </c>
      <c r="F561" s="22" t="s">
        <v>31</v>
      </c>
      <c r="G561" s="23" t="s">
        <v>2791</v>
      </c>
      <c r="H561" s="24" t="s">
        <v>55</v>
      </c>
    </row>
    <row r="562" spans="1:12" ht="26.25" hidden="1" customHeight="1">
      <c r="A562" s="17">
        <f t="shared" si="0"/>
        <v>559</v>
      </c>
      <c r="B562" s="18" t="s">
        <v>13</v>
      </c>
      <c r="C562" s="31" t="s">
        <v>2792</v>
      </c>
      <c r="D562" s="20" t="s">
        <v>1196</v>
      </c>
      <c r="E562" s="32" t="s">
        <v>170</v>
      </c>
      <c r="F562" s="22" t="s">
        <v>53</v>
      </c>
      <c r="G562" s="23" t="s">
        <v>2794</v>
      </c>
      <c r="H562" s="24" t="s">
        <v>55</v>
      </c>
    </row>
    <row r="563" spans="1:12" ht="26.25" hidden="1" customHeight="1">
      <c r="A563" s="17">
        <f t="shared" si="0"/>
        <v>560</v>
      </c>
      <c r="B563" s="18" t="s">
        <v>81</v>
      </c>
      <c r="C563" s="31" t="s">
        <v>2795</v>
      </c>
      <c r="D563" s="20" t="s">
        <v>2796</v>
      </c>
      <c r="E563" s="32" t="s">
        <v>222</v>
      </c>
      <c r="F563" s="33" t="s">
        <v>42</v>
      </c>
      <c r="G563" s="23" t="s">
        <v>2797</v>
      </c>
      <c r="H563" s="24" t="s">
        <v>55</v>
      </c>
    </row>
    <row r="564" spans="1:12" ht="26.25" hidden="1" customHeight="1">
      <c r="A564" s="17">
        <f t="shared" si="0"/>
        <v>561</v>
      </c>
      <c r="B564" s="18" t="s">
        <v>81</v>
      </c>
      <c r="C564" s="31" t="s">
        <v>2798</v>
      </c>
      <c r="D564" s="20" t="s">
        <v>2800</v>
      </c>
      <c r="E564" s="32" t="s">
        <v>2801</v>
      </c>
      <c r="F564" s="33" t="s">
        <v>53</v>
      </c>
      <c r="G564" s="23" t="s">
        <v>2802</v>
      </c>
      <c r="H564" s="24" t="s">
        <v>55</v>
      </c>
    </row>
    <row r="565" spans="1:12" ht="26.25" hidden="1" customHeight="1">
      <c r="A565" s="17">
        <f t="shared" si="0"/>
        <v>562</v>
      </c>
      <c r="B565" s="18" t="s">
        <v>81</v>
      </c>
      <c r="C565" s="31" t="s">
        <v>2803</v>
      </c>
      <c r="D565" s="20" t="s">
        <v>2804</v>
      </c>
      <c r="E565" s="32" t="s">
        <v>2805</v>
      </c>
      <c r="F565" s="33" t="s">
        <v>1290</v>
      </c>
      <c r="G565" s="23" t="s">
        <v>2806</v>
      </c>
      <c r="H565" s="24" t="s">
        <v>55</v>
      </c>
    </row>
    <row r="566" spans="1:12" ht="26.25" hidden="1" customHeight="1">
      <c r="A566" s="17">
        <f t="shared" si="0"/>
        <v>563</v>
      </c>
      <c r="B566" s="18" t="s">
        <v>105</v>
      </c>
      <c r="C566" s="31" t="s">
        <v>824</v>
      </c>
      <c r="D566" s="20" t="s">
        <v>826</v>
      </c>
      <c r="E566" s="32" t="s">
        <v>2807</v>
      </c>
      <c r="F566" s="33" t="s">
        <v>42</v>
      </c>
      <c r="G566" s="23" t="s">
        <v>2808</v>
      </c>
      <c r="H566" s="24" t="s">
        <v>55</v>
      </c>
    </row>
    <row r="567" spans="1:12" ht="26.25" hidden="1" customHeight="1">
      <c r="A567" s="17">
        <f t="shared" si="0"/>
        <v>564</v>
      </c>
      <c r="B567" s="18" t="s">
        <v>105</v>
      </c>
      <c r="C567" s="31" t="s">
        <v>2809</v>
      </c>
      <c r="D567" s="20" t="s">
        <v>2810</v>
      </c>
      <c r="E567" s="32" t="s">
        <v>2811</v>
      </c>
      <c r="F567" s="33" t="s">
        <v>42</v>
      </c>
      <c r="G567" s="23" t="s">
        <v>2812</v>
      </c>
      <c r="H567" s="24" t="s">
        <v>55</v>
      </c>
    </row>
    <row r="568" spans="1:12" ht="26.25" customHeight="1">
      <c r="A568" s="17">
        <f t="shared" si="0"/>
        <v>565</v>
      </c>
      <c r="B568" s="18" t="s">
        <v>27</v>
      </c>
      <c r="C568" s="31" t="s">
        <v>2813</v>
      </c>
      <c r="D568" s="20" t="s">
        <v>2814</v>
      </c>
      <c r="E568" s="21" t="s">
        <v>5073</v>
      </c>
      <c r="F568" s="22" t="s">
        <v>42</v>
      </c>
      <c r="G568" s="23" t="s">
        <v>2816</v>
      </c>
      <c r="H568" s="34" t="s">
        <v>20</v>
      </c>
      <c r="J568" s="284" t="str">
        <f>CONCATENATE(C568," │  ISSN:  ",D568," *")</f>
        <v>Organic Preparations and Procedures International │  ISSN:  0030-4948 *</v>
      </c>
      <c r="L568" s="243" t="s">
        <v>5328</v>
      </c>
    </row>
    <row r="569" spans="1:12" ht="26.25" hidden="1" customHeight="1">
      <c r="A569" s="17">
        <f t="shared" si="0"/>
        <v>566</v>
      </c>
      <c r="B569" s="18" t="s">
        <v>13</v>
      </c>
      <c r="C569" s="31" t="s">
        <v>2817</v>
      </c>
      <c r="D569" s="20" t="s">
        <v>2819</v>
      </c>
      <c r="E569" s="32" t="s">
        <v>2820</v>
      </c>
      <c r="F569" s="22" t="s">
        <v>31</v>
      </c>
      <c r="G569" s="23" t="s">
        <v>2821</v>
      </c>
      <c r="H569" s="24" t="s">
        <v>55</v>
      </c>
    </row>
    <row r="570" spans="1:12" ht="26.25" hidden="1" customHeight="1">
      <c r="A570" s="17">
        <f t="shared" si="0"/>
        <v>567</v>
      </c>
      <c r="B570" s="18" t="s">
        <v>105</v>
      </c>
      <c r="C570" s="31" t="s">
        <v>2822</v>
      </c>
      <c r="D570" s="20" t="s">
        <v>2823</v>
      </c>
      <c r="E570" s="32" t="s">
        <v>222</v>
      </c>
      <c r="F570" s="33" t="s">
        <v>42</v>
      </c>
      <c r="G570" s="23" t="s">
        <v>2824</v>
      </c>
      <c r="H570" s="24" t="s">
        <v>55</v>
      </c>
    </row>
    <row r="571" spans="1:12" ht="26.25" hidden="1" customHeight="1">
      <c r="A571" s="17">
        <f t="shared" si="0"/>
        <v>568</v>
      </c>
      <c r="B571" s="18" t="s">
        <v>27</v>
      </c>
      <c r="C571" s="31" t="s">
        <v>2825</v>
      </c>
      <c r="D571" s="20" t="s">
        <v>2826</v>
      </c>
      <c r="E571" s="32">
        <v>2010</v>
      </c>
      <c r="F571" s="33" t="s">
        <v>42</v>
      </c>
      <c r="G571" s="23" t="s">
        <v>2827</v>
      </c>
      <c r="H571" s="24" t="s">
        <v>55</v>
      </c>
    </row>
    <row r="572" spans="1:12" ht="26.25" hidden="1" customHeight="1">
      <c r="A572" s="17">
        <f t="shared" si="0"/>
        <v>569</v>
      </c>
      <c r="B572" s="18" t="s">
        <v>105</v>
      </c>
      <c r="C572" s="31" t="s">
        <v>1203</v>
      </c>
      <c r="D572" s="20" t="s">
        <v>1205</v>
      </c>
      <c r="E572" s="32" t="s">
        <v>170</v>
      </c>
      <c r="F572" s="33" t="s">
        <v>42</v>
      </c>
      <c r="G572" s="23" t="s">
        <v>2828</v>
      </c>
      <c r="H572" s="24" t="s">
        <v>55</v>
      </c>
    </row>
    <row r="573" spans="1:12" ht="26.25" hidden="1" customHeight="1">
      <c r="A573" s="17">
        <f t="shared" si="0"/>
        <v>570</v>
      </c>
      <c r="B573" s="18" t="s">
        <v>175</v>
      </c>
      <c r="C573" s="31" t="s">
        <v>2829</v>
      </c>
      <c r="D573" s="20" t="s">
        <v>2831</v>
      </c>
      <c r="E573" s="32" t="s">
        <v>2832</v>
      </c>
      <c r="F573" s="33" t="s">
        <v>42</v>
      </c>
      <c r="G573" s="23" t="s">
        <v>2833</v>
      </c>
      <c r="H573" s="24" t="s">
        <v>55</v>
      </c>
    </row>
    <row r="574" spans="1:12" ht="26.25" customHeight="1">
      <c r="A574" s="17">
        <f t="shared" si="0"/>
        <v>571</v>
      </c>
      <c r="B574" s="18" t="s">
        <v>105</v>
      </c>
      <c r="C574" s="31" t="s">
        <v>1525</v>
      </c>
      <c r="D574" s="20" t="s">
        <v>1526</v>
      </c>
      <c r="E574" s="21" t="s">
        <v>2834</v>
      </c>
      <c r="F574" s="33" t="s">
        <v>42</v>
      </c>
      <c r="G574" s="23" t="s">
        <v>2835</v>
      </c>
      <c r="H574" s="34" t="s">
        <v>20</v>
      </c>
      <c r="J574" s="284" t="str">
        <f>CONCATENATE(C574," │  ISSN:  ",D574," *")</f>
        <v>Phase Transitions │  ISSN:  0141-1594 *</v>
      </c>
      <c r="L574" s="243" t="s">
        <v>5329</v>
      </c>
    </row>
    <row r="575" spans="1:12" ht="26.25" hidden="1" customHeight="1">
      <c r="A575" s="17">
        <f t="shared" si="0"/>
        <v>572</v>
      </c>
      <c r="B575" s="18" t="s">
        <v>27</v>
      </c>
      <c r="C575" s="31" t="s">
        <v>2836</v>
      </c>
      <c r="D575" s="20" t="s">
        <v>2837</v>
      </c>
      <c r="E575" s="32" t="s">
        <v>2838</v>
      </c>
      <c r="F575" s="33" t="s">
        <v>42</v>
      </c>
      <c r="G575" s="23" t="s">
        <v>2839</v>
      </c>
      <c r="H575" s="24" t="s">
        <v>55</v>
      </c>
    </row>
    <row r="576" spans="1:12" ht="26.25" hidden="1" customHeight="1">
      <c r="A576" s="17">
        <f t="shared" si="0"/>
        <v>573</v>
      </c>
      <c r="B576" s="18" t="s">
        <v>27</v>
      </c>
      <c r="C576" s="31" t="s">
        <v>2840</v>
      </c>
      <c r="D576" s="20" t="s">
        <v>2841</v>
      </c>
      <c r="E576" s="32" t="s">
        <v>2842</v>
      </c>
      <c r="F576" s="33" t="s">
        <v>42</v>
      </c>
      <c r="G576" s="23" t="s">
        <v>2843</v>
      </c>
      <c r="H576" s="24" t="s">
        <v>55</v>
      </c>
    </row>
    <row r="577" spans="1:12" ht="26.25" customHeight="1">
      <c r="A577" s="17">
        <f t="shared" si="0"/>
        <v>574</v>
      </c>
      <c r="B577" s="18" t="s">
        <v>105</v>
      </c>
      <c r="C577" s="19" t="s">
        <v>2844</v>
      </c>
      <c r="D577" s="20" t="s">
        <v>2845</v>
      </c>
      <c r="E577" s="32" t="s">
        <v>4975</v>
      </c>
      <c r="F577" s="33" t="s">
        <v>42</v>
      </c>
      <c r="G577" s="23" t="s">
        <v>2846</v>
      </c>
      <c r="H577" s="24" t="s">
        <v>20</v>
      </c>
      <c r="J577" s="284" t="str">
        <f>CONCATENATE(C577," │  ISSN:  ",D577," *")</f>
        <v>Physical Geography │  ISSN:  0272-3646 *</v>
      </c>
      <c r="L577" s="243" t="s">
        <v>5330</v>
      </c>
    </row>
    <row r="578" spans="1:12" ht="26.25" hidden="1" customHeight="1">
      <c r="A578" s="17">
        <f t="shared" si="0"/>
        <v>575</v>
      </c>
      <c r="B578" s="18" t="s">
        <v>27</v>
      </c>
      <c r="C578" s="31" t="s">
        <v>2847</v>
      </c>
      <c r="D578" s="20" t="s">
        <v>2848</v>
      </c>
      <c r="E578" s="32" t="s">
        <v>2849</v>
      </c>
      <c r="F578" s="22" t="s">
        <v>53</v>
      </c>
      <c r="G578" s="23" t="s">
        <v>2850</v>
      </c>
      <c r="H578" s="24" t="s">
        <v>55</v>
      </c>
    </row>
    <row r="579" spans="1:12" ht="26.25" hidden="1" customHeight="1">
      <c r="A579" s="17">
        <f t="shared" si="0"/>
        <v>576</v>
      </c>
      <c r="B579" s="18" t="s">
        <v>175</v>
      </c>
      <c r="C579" s="31" t="s">
        <v>2851</v>
      </c>
      <c r="D579" s="20" t="s">
        <v>297</v>
      </c>
      <c r="E579" s="32" t="s">
        <v>2852</v>
      </c>
      <c r="F579" s="33" t="s">
        <v>42</v>
      </c>
      <c r="G579" s="23" t="s">
        <v>2853</v>
      </c>
      <c r="H579" s="24" t="s">
        <v>55</v>
      </c>
    </row>
    <row r="580" spans="1:12" ht="26.25" hidden="1" customHeight="1">
      <c r="A580" s="17">
        <f t="shared" si="0"/>
        <v>577</v>
      </c>
      <c r="B580" s="18" t="s">
        <v>175</v>
      </c>
      <c r="C580" s="31" t="s">
        <v>2854</v>
      </c>
      <c r="D580" s="20" t="s">
        <v>2855</v>
      </c>
      <c r="E580" s="32" t="s">
        <v>252</v>
      </c>
      <c r="F580" s="33" t="s">
        <v>42</v>
      </c>
      <c r="G580" s="23" t="s">
        <v>2856</v>
      </c>
      <c r="H580" s="24" t="s">
        <v>55</v>
      </c>
    </row>
    <row r="581" spans="1:12" ht="26.25" hidden="1" customHeight="1">
      <c r="A581" s="17">
        <f t="shared" si="0"/>
        <v>578</v>
      </c>
      <c r="B581" s="18" t="s">
        <v>175</v>
      </c>
      <c r="C581" s="31" t="s">
        <v>2857</v>
      </c>
      <c r="D581" s="20" t="s">
        <v>2859</v>
      </c>
      <c r="E581" s="32" t="s">
        <v>2860</v>
      </c>
      <c r="F581" s="33" t="s">
        <v>42</v>
      </c>
      <c r="G581" s="23" t="s">
        <v>2861</v>
      </c>
      <c r="H581" s="24" t="s">
        <v>55</v>
      </c>
    </row>
    <row r="582" spans="1:12" ht="26.25" hidden="1" customHeight="1">
      <c r="A582" s="17">
        <f t="shared" si="0"/>
        <v>579</v>
      </c>
      <c r="B582" s="18" t="s">
        <v>175</v>
      </c>
      <c r="C582" s="31" t="s">
        <v>2862</v>
      </c>
      <c r="D582" s="20" t="s">
        <v>2864</v>
      </c>
      <c r="E582" s="32" t="s">
        <v>252</v>
      </c>
      <c r="F582" s="33" t="s">
        <v>53</v>
      </c>
      <c r="G582" s="23" t="s">
        <v>2865</v>
      </c>
      <c r="H582" s="24" t="s">
        <v>55</v>
      </c>
    </row>
    <row r="583" spans="1:12" ht="26.25" hidden="1" customHeight="1">
      <c r="A583" s="17">
        <f t="shared" si="0"/>
        <v>580</v>
      </c>
      <c r="B583" s="18" t="s">
        <v>175</v>
      </c>
      <c r="C583" s="31" t="s">
        <v>2866</v>
      </c>
      <c r="D583" s="20" t="s">
        <v>2867</v>
      </c>
      <c r="E583" s="32" t="s">
        <v>2868</v>
      </c>
      <c r="F583" s="33" t="s">
        <v>42</v>
      </c>
      <c r="G583" s="23" t="s">
        <v>2869</v>
      </c>
      <c r="H583" s="24" t="s">
        <v>55</v>
      </c>
    </row>
    <row r="584" spans="1:12" ht="26.25" hidden="1" customHeight="1">
      <c r="A584" s="17">
        <f t="shared" si="0"/>
        <v>581</v>
      </c>
      <c r="B584" s="18" t="s">
        <v>105</v>
      </c>
      <c r="C584" s="31" t="s">
        <v>2870</v>
      </c>
      <c r="D584" s="20" t="s">
        <v>2871</v>
      </c>
      <c r="E584" s="32" t="s">
        <v>738</v>
      </c>
      <c r="F584" s="33" t="s">
        <v>42</v>
      </c>
      <c r="G584" s="23" t="s">
        <v>2872</v>
      </c>
      <c r="H584" s="24" t="s">
        <v>55</v>
      </c>
    </row>
    <row r="585" spans="1:12" ht="26.25" customHeight="1">
      <c r="A585" s="17">
        <f t="shared" si="0"/>
        <v>582</v>
      </c>
      <c r="B585" s="18" t="s">
        <v>37</v>
      </c>
      <c r="C585" s="19" t="s">
        <v>2873</v>
      </c>
      <c r="D585" s="20" t="s">
        <v>2874</v>
      </c>
      <c r="E585" s="32" t="s">
        <v>52</v>
      </c>
      <c r="F585" s="22" t="s">
        <v>42</v>
      </c>
      <c r="G585" s="23" t="s">
        <v>2875</v>
      </c>
      <c r="H585" s="24" t="s">
        <v>20</v>
      </c>
      <c r="J585" s="284" t="str">
        <f t="shared" ref="J585:J586" si="55">CONCATENATE(C585," │  ISSN:  ",D585," *")</f>
        <v>Plastics, Rubber and Composites │  ISSN:  1465-8011 *</v>
      </c>
      <c r="L585" s="243" t="s">
        <v>5331</v>
      </c>
    </row>
    <row r="586" spans="1:12" ht="26.25" customHeight="1">
      <c r="A586" s="17">
        <f t="shared" si="0"/>
        <v>583</v>
      </c>
      <c r="B586" s="18" t="s">
        <v>27</v>
      </c>
      <c r="C586" s="19" t="s">
        <v>2876</v>
      </c>
      <c r="D586" s="20" t="s">
        <v>2877</v>
      </c>
      <c r="E586" s="32" t="s">
        <v>4977</v>
      </c>
      <c r="F586" s="22" t="s">
        <v>42</v>
      </c>
      <c r="G586" s="23" t="s">
        <v>2878</v>
      </c>
      <c r="H586" s="24" t="s">
        <v>20</v>
      </c>
      <c r="J586" s="284" t="str">
        <f t="shared" si="55"/>
        <v>Polymer bulletin │  ISSN:  0170-0839 *</v>
      </c>
      <c r="L586" s="243" t="s">
        <v>5332</v>
      </c>
    </row>
    <row r="587" spans="1:12" ht="26.25" hidden="1" customHeight="1">
      <c r="A587" s="17">
        <f t="shared" si="0"/>
        <v>584</v>
      </c>
      <c r="B587" s="18" t="s">
        <v>27</v>
      </c>
      <c r="C587" s="31" t="s">
        <v>2879</v>
      </c>
      <c r="D587" s="20" t="s">
        <v>2880</v>
      </c>
      <c r="E587" s="32" t="s">
        <v>209</v>
      </c>
      <c r="F587" s="22" t="s">
        <v>42</v>
      </c>
      <c r="G587" s="23" t="s">
        <v>2881</v>
      </c>
      <c r="H587" s="24" t="s">
        <v>55</v>
      </c>
    </row>
    <row r="588" spans="1:12" ht="26.25" hidden="1" customHeight="1">
      <c r="A588" s="17">
        <f t="shared" si="0"/>
        <v>585</v>
      </c>
      <c r="B588" s="18" t="s">
        <v>27</v>
      </c>
      <c r="C588" s="31" t="s">
        <v>2882</v>
      </c>
      <c r="D588" s="20" t="s">
        <v>2884</v>
      </c>
      <c r="E588" s="32" t="s">
        <v>2885</v>
      </c>
      <c r="F588" s="22" t="s">
        <v>42</v>
      </c>
      <c r="G588" s="23" t="s">
        <v>2886</v>
      </c>
      <c r="H588" s="24" t="s">
        <v>55</v>
      </c>
    </row>
    <row r="589" spans="1:12" ht="26.25" hidden="1" customHeight="1">
      <c r="A589" s="17">
        <f t="shared" si="0"/>
        <v>586</v>
      </c>
      <c r="B589" s="18" t="s">
        <v>27</v>
      </c>
      <c r="C589" s="31" t="s">
        <v>2887</v>
      </c>
      <c r="D589" s="100" t="s">
        <v>5047</v>
      </c>
      <c r="E589" s="32" t="s">
        <v>1033</v>
      </c>
      <c r="F589" s="22" t="s">
        <v>42</v>
      </c>
      <c r="G589" s="23" t="s">
        <v>2889</v>
      </c>
      <c r="H589" s="24" t="s">
        <v>55</v>
      </c>
    </row>
    <row r="590" spans="1:12" ht="26.25" customHeight="1">
      <c r="A590" s="17">
        <f t="shared" si="0"/>
        <v>587</v>
      </c>
      <c r="B590" s="18" t="s">
        <v>27</v>
      </c>
      <c r="C590" s="31" t="s">
        <v>1463</v>
      </c>
      <c r="D590" s="20" t="s">
        <v>1464</v>
      </c>
      <c r="E590" s="21" t="s">
        <v>2890</v>
      </c>
      <c r="F590" s="22" t="s">
        <v>42</v>
      </c>
      <c r="G590" s="23" t="s">
        <v>2891</v>
      </c>
      <c r="H590" s="34" t="s">
        <v>20</v>
      </c>
      <c r="J590" s="284" t="str">
        <f t="shared" ref="J590:J591" si="56">CONCATENATE(C590," │  ISSN:  ",D590," *")</f>
        <v>Polymer Reviews │  ISSN:  1558-3724 *</v>
      </c>
      <c r="L590" s="243" t="s">
        <v>5333</v>
      </c>
    </row>
    <row r="591" spans="1:12" ht="26.25" customHeight="1">
      <c r="A591" s="17">
        <f t="shared" si="0"/>
        <v>588</v>
      </c>
      <c r="B591" s="18" t="s">
        <v>27</v>
      </c>
      <c r="C591" s="19" t="s">
        <v>2892</v>
      </c>
      <c r="D591" s="20" t="s">
        <v>2893</v>
      </c>
      <c r="E591" s="32" t="s">
        <v>52</v>
      </c>
      <c r="F591" s="22" t="s">
        <v>42</v>
      </c>
      <c r="G591" s="23" t="s">
        <v>2894</v>
      </c>
      <c r="H591" s="24" t="s">
        <v>20</v>
      </c>
      <c r="J591" s="284" t="str">
        <f t="shared" si="56"/>
        <v>Polymers and Polymer Composites │  ISSN:  0967-3911 *</v>
      </c>
      <c r="L591" s="243" t="s">
        <v>5334</v>
      </c>
    </row>
    <row r="592" spans="1:12" ht="26.25" hidden="1" customHeight="1">
      <c r="A592" s="17">
        <f t="shared" si="0"/>
        <v>589</v>
      </c>
      <c r="B592" s="18" t="s">
        <v>132</v>
      </c>
      <c r="C592" s="31" t="s">
        <v>2895</v>
      </c>
      <c r="D592" s="20" t="s">
        <v>2896</v>
      </c>
      <c r="E592" s="32" t="s">
        <v>2897</v>
      </c>
      <c r="F592" s="22" t="s">
        <v>53</v>
      </c>
      <c r="G592" s="23" t="s">
        <v>2898</v>
      </c>
      <c r="H592" s="24" t="s">
        <v>55</v>
      </c>
    </row>
    <row r="593" spans="1:12" ht="26.25" hidden="1" customHeight="1">
      <c r="A593" s="17">
        <f t="shared" si="0"/>
        <v>590</v>
      </c>
      <c r="B593" s="18" t="s">
        <v>248</v>
      </c>
      <c r="C593" s="31" t="s">
        <v>1210</v>
      </c>
      <c r="D593" s="20" t="s">
        <v>1211</v>
      </c>
      <c r="E593" s="32" t="s">
        <v>170</v>
      </c>
      <c r="F593" s="33" t="s">
        <v>42</v>
      </c>
      <c r="G593" s="23" t="s">
        <v>2900</v>
      </c>
      <c r="H593" s="24" t="s">
        <v>55</v>
      </c>
    </row>
    <row r="594" spans="1:12" ht="26.25" customHeight="1">
      <c r="A594" s="17">
        <f t="shared" si="0"/>
        <v>591</v>
      </c>
      <c r="B594" s="18" t="s">
        <v>37</v>
      </c>
      <c r="C594" s="31" t="s">
        <v>1530</v>
      </c>
      <c r="D594" s="20" t="s">
        <v>1532</v>
      </c>
      <c r="E594" s="32" t="s">
        <v>2902</v>
      </c>
      <c r="F594" s="22" t="s">
        <v>53</v>
      </c>
      <c r="G594" s="23" t="s">
        <v>2903</v>
      </c>
      <c r="H594" s="24" t="s">
        <v>20</v>
      </c>
      <c r="J594" s="284" t="str">
        <f>CONCATENATE(C594," │  ISSN:  ",D594," *")</f>
        <v>Powder Injection Moulding International │  ISSN:  1753-1497 *</v>
      </c>
      <c r="L594" s="243" t="s">
        <v>5335</v>
      </c>
    </row>
    <row r="595" spans="1:12" ht="26.25" hidden="1" customHeight="1">
      <c r="A595" s="17">
        <f t="shared" si="0"/>
        <v>592</v>
      </c>
      <c r="B595" s="18" t="s">
        <v>13</v>
      </c>
      <c r="C595" s="70" t="s">
        <v>1217</v>
      </c>
      <c r="D595" s="20" t="s">
        <v>1218</v>
      </c>
      <c r="E595" s="44">
        <v>2019</v>
      </c>
      <c r="F595" s="22" t="s">
        <v>1086</v>
      </c>
      <c r="G595" s="41" t="s">
        <v>2904</v>
      </c>
      <c r="H595" s="24" t="s">
        <v>55</v>
      </c>
    </row>
    <row r="596" spans="1:12" ht="26.25" hidden="1" customHeight="1">
      <c r="A596" s="17">
        <f t="shared" si="0"/>
        <v>593</v>
      </c>
      <c r="B596" s="18" t="s">
        <v>248</v>
      </c>
      <c r="C596" s="31" t="s">
        <v>2905</v>
      </c>
      <c r="D596" s="20" t="s">
        <v>145</v>
      </c>
      <c r="E596" s="32" t="s">
        <v>142</v>
      </c>
      <c r="F596" s="33" t="s">
        <v>42</v>
      </c>
      <c r="G596" s="23" t="s">
        <v>2906</v>
      </c>
      <c r="H596" s="24" t="s">
        <v>55</v>
      </c>
    </row>
    <row r="597" spans="1:12" ht="26.25" hidden="1" customHeight="1">
      <c r="A597" s="17">
        <f t="shared" si="0"/>
        <v>594</v>
      </c>
      <c r="B597" s="18" t="s">
        <v>13</v>
      </c>
      <c r="C597" s="31" t="s">
        <v>609</v>
      </c>
      <c r="D597" s="20" t="s">
        <v>610</v>
      </c>
      <c r="E597" s="32" t="s">
        <v>496</v>
      </c>
      <c r="F597" s="22" t="s">
        <v>42</v>
      </c>
      <c r="G597" s="23" t="s">
        <v>2907</v>
      </c>
      <c r="H597" s="24" t="s">
        <v>55</v>
      </c>
    </row>
    <row r="598" spans="1:12" ht="26.25" customHeight="1">
      <c r="A598" s="17">
        <f t="shared" si="0"/>
        <v>595</v>
      </c>
      <c r="B598" s="18" t="s">
        <v>13</v>
      </c>
      <c r="C598" s="19" t="s">
        <v>1638</v>
      </c>
      <c r="D598" s="20" t="s">
        <v>1639</v>
      </c>
      <c r="E598" s="32" t="s">
        <v>52</v>
      </c>
      <c r="F598" s="22" t="s">
        <v>42</v>
      </c>
      <c r="G598" s="23" t="s">
        <v>2908</v>
      </c>
      <c r="H598" s="24" t="s">
        <v>20</v>
      </c>
      <c r="J598" s="284" t="str">
        <f t="shared" ref="J598:J602" si="57">CONCATENATE(C598," │  ISSN:  ",D598," *")</f>
        <v>Proceedings of the Institution of Civil Engineers - Municipal Engineer │  ISSN:  0965-0903 *</v>
      </c>
      <c r="L598" s="243" t="s">
        <v>5336</v>
      </c>
    </row>
    <row r="599" spans="1:12" ht="26.25" customHeight="1">
      <c r="A599" s="17">
        <f t="shared" si="0"/>
        <v>596</v>
      </c>
      <c r="B599" s="18" t="s">
        <v>13</v>
      </c>
      <c r="C599" s="19" t="s">
        <v>1655</v>
      </c>
      <c r="D599" s="20" t="s">
        <v>1656</v>
      </c>
      <c r="E599" s="32" t="s">
        <v>52</v>
      </c>
      <c r="F599" s="22" t="s">
        <v>42</v>
      </c>
      <c r="G599" s="23" t="s">
        <v>2909</v>
      </c>
      <c r="H599" s="24" t="s">
        <v>20</v>
      </c>
      <c r="J599" s="284" t="str">
        <f t="shared" si="57"/>
        <v>Proceedings of the Institution of Civil Engineers - Water Management │  ISSN:  1741-7589 *</v>
      </c>
      <c r="L599" s="243" t="s">
        <v>5337</v>
      </c>
    </row>
    <row r="600" spans="1:12" ht="26.25" customHeight="1">
      <c r="A600" s="17">
        <f t="shared" si="0"/>
        <v>597</v>
      </c>
      <c r="B600" s="18" t="s">
        <v>13</v>
      </c>
      <c r="C600" s="19" t="s">
        <v>2910</v>
      </c>
      <c r="D600" s="20" t="s">
        <v>1634</v>
      </c>
      <c r="E600" s="32" t="s">
        <v>52</v>
      </c>
      <c r="F600" s="22" t="s">
        <v>31</v>
      </c>
      <c r="G600" s="23" t="s">
        <v>2911</v>
      </c>
      <c r="H600" s="24" t="s">
        <v>20</v>
      </c>
      <c r="J600" s="284" t="str">
        <f t="shared" si="57"/>
        <v>Proceedings of the Institution of Civil Engineers Civil Engineering │  ISSN:  0965-089X *</v>
      </c>
      <c r="L600" s="243" t="s">
        <v>5338</v>
      </c>
    </row>
    <row r="601" spans="1:12" ht="26.25" customHeight="1">
      <c r="A601" s="17">
        <f t="shared" si="0"/>
        <v>598</v>
      </c>
      <c r="B601" s="18" t="s">
        <v>13</v>
      </c>
      <c r="C601" s="19" t="s">
        <v>2912</v>
      </c>
      <c r="D601" s="20" t="s">
        <v>1645</v>
      </c>
      <c r="E601" s="32" t="s">
        <v>52</v>
      </c>
      <c r="F601" s="22" t="s">
        <v>42</v>
      </c>
      <c r="G601" s="23" t="s">
        <v>2913</v>
      </c>
      <c r="H601" s="24" t="s">
        <v>20</v>
      </c>
      <c r="J601" s="284" t="str">
        <f t="shared" si="57"/>
        <v>Proceedings of the Institution of Civil Engineers Structures and Buildings │  ISSN:  0965-0911 *</v>
      </c>
      <c r="L601" s="243" t="s">
        <v>5339</v>
      </c>
    </row>
    <row r="602" spans="1:12" ht="26.25" customHeight="1">
      <c r="A602" s="17">
        <f t="shared" si="0"/>
        <v>599</v>
      </c>
      <c r="B602" s="18" t="s">
        <v>13</v>
      </c>
      <c r="C602" s="19" t="s">
        <v>2914</v>
      </c>
      <c r="D602" s="20" t="s">
        <v>1651</v>
      </c>
      <c r="E602" s="32" t="s">
        <v>52</v>
      </c>
      <c r="F602" s="22" t="s">
        <v>42</v>
      </c>
      <c r="G602" s="23" t="s">
        <v>2915</v>
      </c>
      <c r="H602" s="24" t="s">
        <v>20</v>
      </c>
      <c r="J602" s="284" t="str">
        <f t="shared" si="57"/>
        <v>Proceedings of the Institution of Civil Engineers Transport │  ISSN:  0965-092X *</v>
      </c>
      <c r="L602" s="243" t="s">
        <v>5340</v>
      </c>
    </row>
    <row r="603" spans="1:12" ht="26.25" hidden="1" customHeight="1">
      <c r="A603" s="17">
        <f t="shared" si="0"/>
        <v>600</v>
      </c>
      <c r="B603" s="18" t="s">
        <v>132</v>
      </c>
      <c r="C603" s="31" t="s">
        <v>2916</v>
      </c>
      <c r="D603" s="20" t="s">
        <v>2917</v>
      </c>
      <c r="E603" s="32" t="s">
        <v>2918</v>
      </c>
      <c r="F603" s="22" t="s">
        <v>42</v>
      </c>
      <c r="G603" s="23" t="s">
        <v>2919</v>
      </c>
      <c r="H603" s="24" t="s">
        <v>55</v>
      </c>
    </row>
    <row r="604" spans="1:12" ht="26.25" customHeight="1">
      <c r="A604" s="17">
        <f t="shared" si="0"/>
        <v>601</v>
      </c>
      <c r="B604" s="18" t="s">
        <v>132</v>
      </c>
      <c r="C604" s="19" t="s">
        <v>2920</v>
      </c>
      <c r="D604" s="20" t="s">
        <v>2921</v>
      </c>
      <c r="E604" s="32" t="s">
        <v>4985</v>
      </c>
      <c r="F604" s="22" t="s">
        <v>42</v>
      </c>
      <c r="G604" s="23" t="s">
        <v>2923</v>
      </c>
      <c r="H604" s="24" t="s">
        <v>20</v>
      </c>
      <c r="J604" s="284" t="str">
        <f t="shared" ref="J604:J606" si="58">CONCATENATE(C604," │  ISSN:  ",D604," *")</f>
        <v>Proceedings of the Institution of Mechanical Engineers Part B │  ISSN:  0954-4054 *</v>
      </c>
      <c r="L604" s="243" t="s">
        <v>5341</v>
      </c>
    </row>
    <row r="605" spans="1:12" ht="26.25" customHeight="1">
      <c r="A605" s="17">
        <f t="shared" si="0"/>
        <v>602</v>
      </c>
      <c r="B605" s="18" t="s">
        <v>132</v>
      </c>
      <c r="C605" s="19" t="s">
        <v>2924</v>
      </c>
      <c r="D605" s="20" t="s">
        <v>2925</v>
      </c>
      <c r="E605" s="32" t="s">
        <v>4986</v>
      </c>
      <c r="F605" s="22" t="s">
        <v>42</v>
      </c>
      <c r="G605" s="23" t="s">
        <v>2927</v>
      </c>
      <c r="H605" s="24" t="s">
        <v>20</v>
      </c>
      <c r="J605" s="284" t="str">
        <f t="shared" si="58"/>
        <v>Proceedings of the Institution of Mechanical Engineers Part C │  ISSN:  0954-4062 *</v>
      </c>
      <c r="L605" s="243" t="s">
        <v>5342</v>
      </c>
    </row>
    <row r="606" spans="1:12" ht="26.25" customHeight="1">
      <c r="A606" s="17">
        <f t="shared" si="0"/>
        <v>603</v>
      </c>
      <c r="B606" s="18" t="s">
        <v>132</v>
      </c>
      <c r="C606" s="19" t="s">
        <v>2928</v>
      </c>
      <c r="D606" s="20" t="s">
        <v>2929</v>
      </c>
      <c r="E606" s="32" t="s">
        <v>4987</v>
      </c>
      <c r="F606" s="22" t="s">
        <v>42</v>
      </c>
      <c r="G606" s="23" t="s">
        <v>2931</v>
      </c>
      <c r="H606" s="24" t="s">
        <v>20</v>
      </c>
      <c r="J606" s="284" t="str">
        <f t="shared" si="58"/>
        <v>Proceedings of the Institution of Mechanical Engineers Part D │  ISSN:  0954-4070 *</v>
      </c>
      <c r="L606" s="243" t="s">
        <v>5343</v>
      </c>
    </row>
    <row r="607" spans="1:12" ht="26.25" hidden="1" customHeight="1">
      <c r="A607" s="17">
        <f t="shared" si="0"/>
        <v>604</v>
      </c>
      <c r="B607" s="18" t="s">
        <v>132</v>
      </c>
      <c r="C607" s="31" t="s">
        <v>2932</v>
      </c>
      <c r="D607" s="20" t="s">
        <v>2933</v>
      </c>
      <c r="E607" s="32" t="s">
        <v>2934</v>
      </c>
      <c r="F607" s="22" t="s">
        <v>42</v>
      </c>
      <c r="G607" s="23" t="s">
        <v>2935</v>
      </c>
      <c r="H607" s="24" t="s">
        <v>55</v>
      </c>
    </row>
    <row r="608" spans="1:12" ht="26.25" customHeight="1">
      <c r="A608" s="17">
        <f t="shared" si="0"/>
        <v>605</v>
      </c>
      <c r="B608" s="18" t="s">
        <v>132</v>
      </c>
      <c r="C608" s="19" t="s">
        <v>2936</v>
      </c>
      <c r="D608" s="20" t="s">
        <v>2937</v>
      </c>
      <c r="E608" s="32" t="s">
        <v>4988</v>
      </c>
      <c r="F608" s="22" t="s">
        <v>42</v>
      </c>
      <c r="G608" s="23" t="s">
        <v>2939</v>
      </c>
      <c r="H608" s="24" t="s">
        <v>20</v>
      </c>
      <c r="J608" s="284" t="str">
        <f t="shared" ref="J608:J611" si="59">CONCATENATE(C608," │  ISSN:  ",D608," *")</f>
        <v>Proceedings of the Institution of Mechanical Engineers Part F │  ISSN:  0954-4097 *</v>
      </c>
      <c r="L608" s="243" t="s">
        <v>5344</v>
      </c>
    </row>
    <row r="609" spans="1:12" ht="26.25" customHeight="1">
      <c r="A609" s="17">
        <f t="shared" si="0"/>
        <v>606</v>
      </c>
      <c r="B609" s="18" t="s">
        <v>233</v>
      </c>
      <c r="C609" s="19" t="s">
        <v>2940</v>
      </c>
      <c r="D609" s="20" t="s">
        <v>2941</v>
      </c>
      <c r="E609" s="32" t="s">
        <v>4985</v>
      </c>
      <c r="F609" s="22" t="s">
        <v>42</v>
      </c>
      <c r="G609" s="23" t="s">
        <v>2942</v>
      </c>
      <c r="H609" s="24" t="s">
        <v>20</v>
      </c>
      <c r="J609" s="284" t="str">
        <f t="shared" si="59"/>
        <v>Proceedings of the Institution of Mechanical Engineers Part G │  ISSN:  0954-4100 *</v>
      </c>
      <c r="L609" s="243" t="s">
        <v>5345</v>
      </c>
    </row>
    <row r="610" spans="1:12" ht="26.25" customHeight="1">
      <c r="A610" s="17">
        <f t="shared" si="0"/>
        <v>607</v>
      </c>
      <c r="B610" s="18" t="s">
        <v>132</v>
      </c>
      <c r="C610" s="19" t="s">
        <v>2943</v>
      </c>
      <c r="D610" s="20" t="s">
        <v>2944</v>
      </c>
      <c r="E610" s="32" t="s">
        <v>4985</v>
      </c>
      <c r="F610" s="22" t="s">
        <v>42</v>
      </c>
      <c r="G610" s="23" t="s">
        <v>2945</v>
      </c>
      <c r="H610" s="24" t="s">
        <v>20</v>
      </c>
      <c r="J610" s="284" t="str">
        <f t="shared" si="59"/>
        <v>Proceedings of the Institution of Mechanical Engineers Part H │  ISSN:  0954-4119 *</v>
      </c>
      <c r="L610" s="243" t="s">
        <v>5346</v>
      </c>
    </row>
    <row r="611" spans="1:12" ht="26.25" customHeight="1">
      <c r="A611" s="17">
        <f t="shared" si="0"/>
        <v>608</v>
      </c>
      <c r="B611" s="18" t="s">
        <v>132</v>
      </c>
      <c r="C611" s="19" t="s">
        <v>2946</v>
      </c>
      <c r="D611" s="20" t="s">
        <v>2947</v>
      </c>
      <c r="E611" s="32" t="s">
        <v>4985</v>
      </c>
      <c r="F611" s="22" t="s">
        <v>42</v>
      </c>
      <c r="G611" s="23" t="s">
        <v>2948</v>
      </c>
      <c r="H611" s="24" t="s">
        <v>20</v>
      </c>
      <c r="J611" s="284" t="str">
        <f t="shared" si="59"/>
        <v>Proceedings of the Institution of Mechanical Engineers Part I │  ISSN:  0959-6518 *</v>
      </c>
      <c r="L611" s="243" t="s">
        <v>5347</v>
      </c>
    </row>
    <row r="612" spans="1:12" ht="26.25" hidden="1" customHeight="1">
      <c r="A612" s="17">
        <f t="shared" si="0"/>
        <v>609</v>
      </c>
      <c r="B612" s="18" t="s">
        <v>132</v>
      </c>
      <c r="C612" s="31" t="s">
        <v>2949</v>
      </c>
      <c r="D612" s="20" t="s">
        <v>2950</v>
      </c>
      <c r="E612" s="32" t="s">
        <v>2951</v>
      </c>
      <c r="F612" s="22" t="s">
        <v>42</v>
      </c>
      <c r="G612" s="23" t="s">
        <v>2952</v>
      </c>
      <c r="H612" s="24" t="s">
        <v>55</v>
      </c>
    </row>
    <row r="613" spans="1:12" ht="26.25" customHeight="1">
      <c r="A613" s="17">
        <f t="shared" si="0"/>
        <v>610</v>
      </c>
      <c r="B613" s="18" t="s">
        <v>132</v>
      </c>
      <c r="C613" s="19" t="s">
        <v>2953</v>
      </c>
      <c r="D613" s="20" t="s">
        <v>2954</v>
      </c>
      <c r="E613" s="32" t="s">
        <v>4989</v>
      </c>
      <c r="F613" s="22" t="s">
        <v>42</v>
      </c>
      <c r="G613" s="23" t="s">
        <v>2956</v>
      </c>
      <c r="H613" s="24" t="s">
        <v>20</v>
      </c>
      <c r="J613" s="284" t="str">
        <f>CONCATENATE(C613," │  ISSN:  ",D613," *")</f>
        <v>Proceedings of the Institution of Mechanical Engineers Part K. Journal of Multi-Body Dynamics │  ISSN:  1464-4193 *</v>
      </c>
      <c r="L613" s="243" t="s">
        <v>5348</v>
      </c>
    </row>
    <row r="614" spans="1:12" ht="26.25" hidden="1" customHeight="1">
      <c r="A614" s="17">
        <f t="shared" si="0"/>
        <v>611</v>
      </c>
      <c r="B614" s="18" t="s">
        <v>132</v>
      </c>
      <c r="C614" s="31" t="s">
        <v>2957</v>
      </c>
      <c r="D614" s="20" t="s">
        <v>2958</v>
      </c>
      <c r="E614" s="32" t="s">
        <v>2959</v>
      </c>
      <c r="F614" s="22" t="s">
        <v>42</v>
      </c>
      <c r="G614" s="23" t="s">
        <v>2960</v>
      </c>
      <c r="H614" s="24" t="s">
        <v>55</v>
      </c>
    </row>
    <row r="615" spans="1:12" ht="26.25" customHeight="1">
      <c r="A615" s="17">
        <f t="shared" si="0"/>
        <v>612</v>
      </c>
      <c r="B615" s="18" t="s">
        <v>1375</v>
      </c>
      <c r="C615" s="19" t="s">
        <v>2961</v>
      </c>
      <c r="D615" s="20" t="s">
        <v>2962</v>
      </c>
      <c r="E615" s="32" t="s">
        <v>5030</v>
      </c>
      <c r="F615" s="22" t="s">
        <v>42</v>
      </c>
      <c r="G615" s="23" t="s">
        <v>2964</v>
      </c>
      <c r="H615" s="24" t="s">
        <v>20</v>
      </c>
      <c r="J615" s="284" t="str">
        <f t="shared" ref="J615:J616" si="60">CONCATENATE(C615," │  ISSN:  ",D615," *")</f>
        <v>Proceedings of the Institution of Mechanical Engineers, Part M: Journal of Engineering for the Maritime Environment │  ISSN:  1475-0902 *</v>
      </c>
      <c r="L615" s="243" t="s">
        <v>5349</v>
      </c>
    </row>
    <row r="616" spans="1:12" ht="26.25" customHeight="1">
      <c r="A616" s="17">
        <f t="shared" si="0"/>
        <v>613</v>
      </c>
      <c r="B616" s="18" t="s">
        <v>248</v>
      </c>
      <c r="C616" s="19" t="s">
        <v>2965</v>
      </c>
      <c r="D616" s="20" t="s">
        <v>2966</v>
      </c>
      <c r="E616" s="32" t="s">
        <v>186</v>
      </c>
      <c r="F616" s="33" t="s">
        <v>42</v>
      </c>
      <c r="G616" s="23" t="s">
        <v>2967</v>
      </c>
      <c r="H616" s="24" t="s">
        <v>20</v>
      </c>
      <c r="J616" s="284" t="str">
        <f t="shared" si="60"/>
        <v>Proceedings of the Institution of Mechanical Engineers, Part P: Journal of Sports Engineering and Technology │  ISSN:  1754-3371 *</v>
      </c>
      <c r="L616" s="243" t="s">
        <v>5350</v>
      </c>
    </row>
    <row r="617" spans="1:12" ht="26.25" hidden="1" customHeight="1">
      <c r="A617" s="17">
        <f t="shared" si="0"/>
        <v>614</v>
      </c>
      <c r="B617" s="18" t="s">
        <v>1375</v>
      </c>
      <c r="C617" s="31" t="s">
        <v>2968</v>
      </c>
      <c r="D617" s="20" t="s">
        <v>2970</v>
      </c>
      <c r="E617" s="32" t="s">
        <v>1913</v>
      </c>
      <c r="F617" s="22" t="s">
        <v>53</v>
      </c>
      <c r="G617" s="23" t="s">
        <v>2971</v>
      </c>
      <c r="H617" s="24" t="s">
        <v>55</v>
      </c>
    </row>
    <row r="618" spans="1:12" ht="26.25" hidden="1" customHeight="1">
      <c r="A618" s="17">
        <f t="shared" si="0"/>
        <v>615</v>
      </c>
      <c r="B618" s="18" t="s">
        <v>1375</v>
      </c>
      <c r="C618" s="31" t="s">
        <v>2972</v>
      </c>
      <c r="D618" s="20" t="s">
        <v>2973</v>
      </c>
      <c r="E618" s="32" t="s">
        <v>2974</v>
      </c>
      <c r="F618" s="22" t="s">
        <v>53</v>
      </c>
      <c r="G618" s="23" t="s">
        <v>2975</v>
      </c>
      <c r="H618" s="24" t="s">
        <v>55</v>
      </c>
    </row>
    <row r="619" spans="1:12" ht="26.25" hidden="1" customHeight="1">
      <c r="A619" s="17">
        <f t="shared" si="0"/>
        <v>616</v>
      </c>
      <c r="B619" s="18" t="s">
        <v>105</v>
      </c>
      <c r="C619" s="31" t="s">
        <v>2976</v>
      </c>
      <c r="D619" s="20" t="s">
        <v>2978</v>
      </c>
      <c r="E619" s="32" t="s">
        <v>2979</v>
      </c>
      <c r="F619" s="33" t="s">
        <v>42</v>
      </c>
      <c r="G619" s="23" t="s">
        <v>2980</v>
      </c>
      <c r="H619" s="24" t="s">
        <v>55</v>
      </c>
    </row>
    <row r="620" spans="1:12" ht="26.25" customHeight="1">
      <c r="A620" s="17">
        <f t="shared" si="0"/>
        <v>617</v>
      </c>
      <c r="B620" s="18" t="s">
        <v>81</v>
      </c>
      <c r="C620" s="19" t="s">
        <v>2981</v>
      </c>
      <c r="D620" s="20" t="s">
        <v>2982</v>
      </c>
      <c r="E620" s="32" t="s">
        <v>52</v>
      </c>
      <c r="F620" s="33" t="s">
        <v>42</v>
      </c>
      <c r="G620" s="23" t="s">
        <v>2983</v>
      </c>
      <c r="H620" s="24" t="s">
        <v>20</v>
      </c>
      <c r="J620" s="284" t="str">
        <f>CONCATENATE(C620," │  ISSN:  ",D620," *")</f>
        <v>Production Planning &amp; /control │  ISSN:  0953-7287 *</v>
      </c>
      <c r="L620" s="243" t="s">
        <v>5351</v>
      </c>
    </row>
    <row r="621" spans="1:12" ht="26.25" hidden="1" customHeight="1">
      <c r="A621" s="17">
        <f t="shared" si="0"/>
        <v>618</v>
      </c>
      <c r="B621" s="18" t="s">
        <v>27</v>
      </c>
      <c r="C621" s="31" t="s">
        <v>2984</v>
      </c>
      <c r="D621" s="20" t="s">
        <v>151</v>
      </c>
      <c r="E621" s="32" t="s">
        <v>2985</v>
      </c>
      <c r="F621" s="22" t="s">
        <v>53</v>
      </c>
      <c r="G621" s="23" t="s">
        <v>2986</v>
      </c>
      <c r="H621" s="24" t="s">
        <v>55</v>
      </c>
    </row>
    <row r="622" spans="1:12" ht="26.25" customHeight="1">
      <c r="A622" s="17">
        <f t="shared" si="0"/>
        <v>619</v>
      </c>
      <c r="B622" s="18" t="s">
        <v>81</v>
      </c>
      <c r="C622" s="19" t="s">
        <v>2987</v>
      </c>
      <c r="D622" s="20" t="s">
        <v>2988</v>
      </c>
      <c r="E622" s="32" t="s">
        <v>52</v>
      </c>
      <c r="F622" s="33" t="s">
        <v>31</v>
      </c>
      <c r="G622" s="23" t="s">
        <v>2989</v>
      </c>
      <c r="H622" s="24" t="s">
        <v>20</v>
      </c>
      <c r="J622" s="284" t="str">
        <f t="shared" ref="J622:J623" si="61">CONCATENATE(C622," │  ISSN:  ",D622," *")</f>
        <v>Progress in Computational Fluid Dynamics, An International Journal │  ISSN:  1468-4349 *</v>
      </c>
      <c r="L622" s="243" t="s">
        <v>5352</v>
      </c>
    </row>
    <row r="623" spans="1:12" ht="26.25" customHeight="1">
      <c r="A623" s="17">
        <f t="shared" si="0"/>
        <v>620</v>
      </c>
      <c r="B623" s="18" t="s">
        <v>37</v>
      </c>
      <c r="C623" s="19" t="s">
        <v>1704</v>
      </c>
      <c r="D623" s="20" t="s">
        <v>1706</v>
      </c>
      <c r="E623" s="32" t="s">
        <v>186</v>
      </c>
      <c r="F623" s="22" t="s">
        <v>42</v>
      </c>
      <c r="G623" s="23" t="s">
        <v>2990</v>
      </c>
      <c r="H623" s="24" t="s">
        <v>20</v>
      </c>
      <c r="J623" s="284" t="str">
        <f t="shared" si="61"/>
        <v>Progress in Rubber, Plastics and Recycling Technology │  ISSN:  1477-7606 *</v>
      </c>
      <c r="L623" s="243" t="s">
        <v>5353</v>
      </c>
    </row>
    <row r="624" spans="1:12" ht="26.25" hidden="1" customHeight="1">
      <c r="A624" s="17">
        <f t="shared" si="0"/>
        <v>621</v>
      </c>
      <c r="B624" s="18" t="s">
        <v>105</v>
      </c>
      <c r="C624" s="31" t="s">
        <v>2991</v>
      </c>
      <c r="D624" s="20" t="s">
        <v>2992</v>
      </c>
      <c r="E624" s="32" t="s">
        <v>2993</v>
      </c>
      <c r="F624" s="33" t="s">
        <v>53</v>
      </c>
      <c r="G624" s="23" t="s">
        <v>2994</v>
      </c>
      <c r="H624" s="24" t="s">
        <v>55</v>
      </c>
    </row>
    <row r="625" spans="1:12" ht="26.25" hidden="1" customHeight="1">
      <c r="A625" s="17">
        <f t="shared" si="0"/>
        <v>622</v>
      </c>
      <c r="B625" s="18" t="s">
        <v>13</v>
      </c>
      <c r="C625" s="31" t="s">
        <v>2995</v>
      </c>
      <c r="D625" s="20" t="s">
        <v>2997</v>
      </c>
      <c r="E625" s="32" t="s">
        <v>2998</v>
      </c>
      <c r="F625" s="22" t="s">
        <v>53</v>
      </c>
      <c r="G625" s="23" t="s">
        <v>2999</v>
      </c>
      <c r="H625" s="24" t="s">
        <v>55</v>
      </c>
    </row>
    <row r="626" spans="1:12" ht="26.25" hidden="1" customHeight="1">
      <c r="A626" s="17">
        <f t="shared" si="0"/>
        <v>623</v>
      </c>
      <c r="B626" s="18" t="s">
        <v>105</v>
      </c>
      <c r="C626" s="31" t="s">
        <v>3000</v>
      </c>
      <c r="D626" s="20" t="s">
        <v>3002</v>
      </c>
      <c r="E626" s="32" t="s">
        <v>404</v>
      </c>
      <c r="F626" s="33" t="s">
        <v>42</v>
      </c>
      <c r="G626" s="23" t="s">
        <v>3003</v>
      </c>
      <c r="H626" s="24" t="s">
        <v>55</v>
      </c>
    </row>
    <row r="627" spans="1:12" ht="26.25" hidden="1" customHeight="1">
      <c r="A627" s="17">
        <f t="shared" si="0"/>
        <v>624</v>
      </c>
      <c r="B627" s="18" t="s">
        <v>27</v>
      </c>
      <c r="C627" s="31" t="s">
        <v>3004</v>
      </c>
      <c r="D627" s="20" t="s">
        <v>3006</v>
      </c>
      <c r="E627" s="32" t="s">
        <v>3007</v>
      </c>
      <c r="F627" s="22" t="s">
        <v>42</v>
      </c>
      <c r="G627" s="23" t="s">
        <v>3008</v>
      </c>
      <c r="H627" s="24" t="s">
        <v>55</v>
      </c>
    </row>
    <row r="628" spans="1:12" ht="26.25" hidden="1" customHeight="1">
      <c r="A628" s="17">
        <f t="shared" si="0"/>
        <v>625</v>
      </c>
      <c r="B628" s="18" t="s">
        <v>105</v>
      </c>
      <c r="C628" s="31" t="s">
        <v>1222</v>
      </c>
      <c r="D628" s="20" t="s">
        <v>1223</v>
      </c>
      <c r="E628" s="32" t="s">
        <v>3010</v>
      </c>
      <c r="F628" s="33" t="s">
        <v>42</v>
      </c>
      <c r="G628" s="23" t="s">
        <v>3011</v>
      </c>
      <c r="H628" s="24" t="s">
        <v>55</v>
      </c>
    </row>
    <row r="629" spans="1:12" ht="26.25" customHeight="1">
      <c r="A629" s="17">
        <f t="shared" si="0"/>
        <v>626</v>
      </c>
      <c r="B629" s="18" t="s">
        <v>13</v>
      </c>
      <c r="C629" s="19" t="s">
        <v>3012</v>
      </c>
      <c r="D629" s="20" t="s">
        <v>3013</v>
      </c>
      <c r="E629" s="32" t="s">
        <v>52</v>
      </c>
      <c r="F629" s="22" t="s">
        <v>42</v>
      </c>
      <c r="G629" s="23" t="s">
        <v>3014</v>
      </c>
      <c r="H629" s="24" t="s">
        <v>20</v>
      </c>
      <c r="J629" s="284" t="str">
        <f t="shared" ref="J629:J630" si="62">CONCATENATE(C629," │  ISSN:  ",D629," *")</f>
        <v>Quarterly Journal of Engineering Geology and Hydrogeology │  ISSN:  1470-9236 *</v>
      </c>
      <c r="L629" s="243" t="s">
        <v>5354</v>
      </c>
    </row>
    <row r="630" spans="1:12" ht="26.25" customHeight="1">
      <c r="A630" s="17">
        <f t="shared" si="0"/>
        <v>627</v>
      </c>
      <c r="B630" s="18" t="s">
        <v>132</v>
      </c>
      <c r="C630" s="31" t="s">
        <v>1534</v>
      </c>
      <c r="D630" s="20" t="s">
        <v>1536</v>
      </c>
      <c r="E630" s="32" t="s">
        <v>52</v>
      </c>
      <c r="F630" s="22" t="s">
        <v>53</v>
      </c>
      <c r="G630" s="23" t="s">
        <v>3016</v>
      </c>
      <c r="H630" s="24" t="s">
        <v>20</v>
      </c>
      <c r="J630" s="284" t="str">
        <f t="shared" si="62"/>
        <v>Racecar Engineering │  ISSN:  0961-1096 *</v>
      </c>
      <c r="L630" s="243" t="s">
        <v>5355</v>
      </c>
    </row>
    <row r="631" spans="1:12" ht="26.25" hidden="1" customHeight="1">
      <c r="A631" s="17">
        <f t="shared" si="0"/>
        <v>628</v>
      </c>
      <c r="B631" s="18" t="s">
        <v>27</v>
      </c>
      <c r="C631" s="31" t="s">
        <v>3017</v>
      </c>
      <c r="D631" s="20" t="s">
        <v>269</v>
      </c>
      <c r="E631" s="32" t="s">
        <v>142</v>
      </c>
      <c r="F631" s="22" t="s">
        <v>53</v>
      </c>
      <c r="G631" s="23" t="s">
        <v>3018</v>
      </c>
      <c r="H631" s="24" t="s">
        <v>55</v>
      </c>
    </row>
    <row r="632" spans="1:12" ht="26.25" hidden="1" customHeight="1">
      <c r="A632" s="17">
        <f t="shared" si="0"/>
        <v>629</v>
      </c>
      <c r="B632" s="18" t="s">
        <v>132</v>
      </c>
      <c r="C632" s="31" t="s">
        <v>3019</v>
      </c>
      <c r="D632" s="20" t="s">
        <v>3020</v>
      </c>
      <c r="E632" s="32" t="s">
        <v>222</v>
      </c>
      <c r="F632" s="22" t="s">
        <v>42</v>
      </c>
      <c r="G632" s="23" t="s">
        <v>3021</v>
      </c>
      <c r="H632" s="24" t="s">
        <v>55</v>
      </c>
    </row>
    <row r="633" spans="1:12" ht="26.25" customHeight="1">
      <c r="A633" s="17">
        <f t="shared" si="0"/>
        <v>630</v>
      </c>
      <c r="B633" s="18" t="s">
        <v>48</v>
      </c>
      <c r="C633" s="19" t="s">
        <v>3022</v>
      </c>
      <c r="D633" s="20" t="s">
        <v>3024</v>
      </c>
      <c r="E633" s="32" t="s">
        <v>186</v>
      </c>
      <c r="F633" s="33" t="s">
        <v>42</v>
      </c>
      <c r="G633" s="23" t="s">
        <v>3025</v>
      </c>
      <c r="H633" s="24" t="s">
        <v>20</v>
      </c>
      <c r="J633" s="284" t="str">
        <f t="shared" ref="J633:J636" si="63">CONCATENATE(C633," │  ISSN:  ",D633," *")</f>
        <v>Recent Patents on Nanotechnology │  ISSN:  1872-2105 *</v>
      </c>
      <c r="L633" s="243" t="s">
        <v>5356</v>
      </c>
    </row>
    <row r="634" spans="1:12" ht="26.25" customHeight="1">
      <c r="A634" s="17">
        <f t="shared" si="0"/>
        <v>631</v>
      </c>
      <c r="B634" s="18" t="s">
        <v>1368</v>
      </c>
      <c r="C634" s="19" t="s">
        <v>3026</v>
      </c>
      <c r="D634" s="20" t="s">
        <v>3028</v>
      </c>
      <c r="E634" s="32" t="s">
        <v>52</v>
      </c>
      <c r="F634" s="33" t="s">
        <v>53</v>
      </c>
      <c r="G634" s="23" t="s">
        <v>3029</v>
      </c>
      <c r="H634" s="24" t="s">
        <v>20</v>
      </c>
      <c r="J634" s="284" t="str">
        <f t="shared" si="63"/>
        <v>Research Disclosure │  ISSN:  0374-4353 *</v>
      </c>
      <c r="L634" s="243" t="s">
        <v>5357</v>
      </c>
    </row>
    <row r="635" spans="1:12" ht="26.25" customHeight="1">
      <c r="A635" s="17">
        <f t="shared" si="0"/>
        <v>632</v>
      </c>
      <c r="B635" s="18" t="s">
        <v>132</v>
      </c>
      <c r="C635" s="19" t="s">
        <v>3030</v>
      </c>
      <c r="D635" s="20" t="s">
        <v>3031</v>
      </c>
      <c r="E635" s="32" t="s">
        <v>52</v>
      </c>
      <c r="F635" s="22" t="s">
        <v>42</v>
      </c>
      <c r="G635" s="23" t="s">
        <v>3032</v>
      </c>
      <c r="H635" s="24" t="s">
        <v>20</v>
      </c>
      <c r="J635" s="284" t="str">
        <f t="shared" si="63"/>
        <v>Research in Nondestructive Evaluation │  ISSN:  0934-9847 *</v>
      </c>
      <c r="L635" s="243" t="s">
        <v>5358</v>
      </c>
    </row>
    <row r="636" spans="1:12" ht="26.25" customHeight="1">
      <c r="A636" s="17">
        <f t="shared" si="0"/>
        <v>633</v>
      </c>
      <c r="B636" s="18" t="s">
        <v>105</v>
      </c>
      <c r="C636" s="31" t="s">
        <v>3033</v>
      </c>
      <c r="D636" s="20" t="s">
        <v>1613</v>
      </c>
      <c r="E636" s="21" t="s">
        <v>3035</v>
      </c>
      <c r="F636" s="33" t="s">
        <v>53</v>
      </c>
      <c r="G636" s="23" t="s">
        <v>3036</v>
      </c>
      <c r="H636" s="34" t="s">
        <v>20</v>
      </c>
      <c r="J636" s="284" t="str">
        <f t="shared" si="63"/>
        <v>Resource Geology │  ISSN:  0918-2454 *</v>
      </c>
      <c r="L636" s="243" t="s">
        <v>5359</v>
      </c>
    </row>
    <row r="637" spans="1:12" ht="26.25" hidden="1" customHeight="1">
      <c r="A637" s="17">
        <f t="shared" si="0"/>
        <v>634</v>
      </c>
      <c r="B637" s="18" t="s">
        <v>105</v>
      </c>
      <c r="C637" s="31" t="s">
        <v>3037</v>
      </c>
      <c r="D637" s="20" t="s">
        <v>3038</v>
      </c>
      <c r="E637" s="32" t="s">
        <v>3039</v>
      </c>
      <c r="F637" s="33" t="s">
        <v>42</v>
      </c>
      <c r="G637" s="23" t="s">
        <v>3040</v>
      </c>
      <c r="H637" s="24" t="s">
        <v>55</v>
      </c>
    </row>
    <row r="638" spans="1:12" ht="26.25" hidden="1" customHeight="1">
      <c r="A638" s="17">
        <f t="shared" si="0"/>
        <v>635</v>
      </c>
      <c r="B638" s="18" t="s">
        <v>248</v>
      </c>
      <c r="C638" s="31" t="s">
        <v>3041</v>
      </c>
      <c r="D638" s="20" t="s">
        <v>3043</v>
      </c>
      <c r="E638" s="32">
        <v>2010</v>
      </c>
      <c r="F638" s="33" t="s">
        <v>53</v>
      </c>
      <c r="G638" s="23" t="s">
        <v>3044</v>
      </c>
      <c r="H638" s="24" t="s">
        <v>55</v>
      </c>
    </row>
    <row r="639" spans="1:12" ht="26.25" customHeight="1">
      <c r="A639" s="17">
        <f t="shared" si="0"/>
        <v>636</v>
      </c>
      <c r="B639" s="18" t="s">
        <v>105</v>
      </c>
      <c r="C639" s="31" t="s">
        <v>3045</v>
      </c>
      <c r="D639" s="20" t="s">
        <v>3047</v>
      </c>
      <c r="E639" s="21" t="s">
        <v>5095</v>
      </c>
      <c r="F639" s="33" t="s">
        <v>31</v>
      </c>
      <c r="G639" s="23" t="s">
        <v>3049</v>
      </c>
      <c r="H639" s="34" t="s">
        <v>20</v>
      </c>
      <c r="J639" s="284" t="str">
        <f t="shared" ref="J639:J641" si="64">CONCATENATE(C639," │  ISSN:  ",D639," *")</f>
        <v>Reviews in Mineralogy and Geochemistry │  ISSN:  1529-6466 *</v>
      </c>
      <c r="L639" s="243" t="s">
        <v>5360</v>
      </c>
    </row>
    <row r="640" spans="1:12" ht="26.25" customHeight="1">
      <c r="A640" s="17">
        <f t="shared" si="0"/>
        <v>637</v>
      </c>
      <c r="B640" s="18" t="s">
        <v>105</v>
      </c>
      <c r="C640" s="19" t="s">
        <v>3050</v>
      </c>
      <c r="D640" s="20" t="s">
        <v>3051</v>
      </c>
      <c r="E640" s="32" t="s">
        <v>4957</v>
      </c>
      <c r="F640" s="33" t="s">
        <v>42</v>
      </c>
      <c r="G640" s="23" t="s">
        <v>3052</v>
      </c>
      <c r="H640" s="24" t="s">
        <v>20</v>
      </c>
      <c r="J640" s="284" t="str">
        <f t="shared" si="64"/>
        <v>Rheologica Acta: An International Journal of Rheology │  ISSN:  0035-4511 *</v>
      </c>
      <c r="L640" s="243" t="s">
        <v>5361</v>
      </c>
    </row>
    <row r="641" spans="1:12" ht="26.25" customHeight="1">
      <c r="A641" s="17">
        <f t="shared" si="0"/>
        <v>638</v>
      </c>
      <c r="B641" s="18" t="s">
        <v>13</v>
      </c>
      <c r="C641" s="19" t="s">
        <v>3053</v>
      </c>
      <c r="D641" s="20" t="s">
        <v>3054</v>
      </c>
      <c r="E641" s="32" t="s">
        <v>52</v>
      </c>
      <c r="F641" s="22" t="s">
        <v>42</v>
      </c>
      <c r="G641" s="23" t="s">
        <v>3055</v>
      </c>
      <c r="H641" s="24" t="s">
        <v>20</v>
      </c>
      <c r="J641" s="284" t="str">
        <f t="shared" si="64"/>
        <v>Road Materials and Pavement Design │  ISSN:  1468-0629 *</v>
      </c>
      <c r="L641" s="243" t="s">
        <v>5362</v>
      </c>
    </row>
    <row r="642" spans="1:12" ht="26.25" hidden="1" customHeight="1">
      <c r="A642" s="17">
        <f t="shared" si="0"/>
        <v>639</v>
      </c>
      <c r="B642" s="18" t="s">
        <v>81</v>
      </c>
      <c r="C642" s="31" t="s">
        <v>158</v>
      </c>
      <c r="D642" s="20" t="s">
        <v>159</v>
      </c>
      <c r="E642" s="32" t="s">
        <v>142</v>
      </c>
      <c r="F642" s="33" t="s">
        <v>42</v>
      </c>
      <c r="G642" s="23" t="s">
        <v>3057</v>
      </c>
      <c r="H642" s="24" t="s">
        <v>55</v>
      </c>
    </row>
    <row r="643" spans="1:12" ht="26.25" customHeight="1">
      <c r="A643" s="17">
        <f t="shared" si="0"/>
        <v>640</v>
      </c>
      <c r="B643" s="18" t="s">
        <v>233</v>
      </c>
      <c r="C643" s="19" t="s">
        <v>1667</v>
      </c>
      <c r="D643" s="20" t="s">
        <v>1669</v>
      </c>
      <c r="E643" s="32" t="s">
        <v>52</v>
      </c>
      <c r="F643" s="22" t="s">
        <v>53</v>
      </c>
      <c r="G643" s="23" t="s">
        <v>3059</v>
      </c>
      <c r="H643" s="24" t="s">
        <v>20</v>
      </c>
      <c r="J643" s="284" t="str">
        <f>CONCATENATE(C643," │  ISSN:  ",D643," *")</f>
        <v>Rotor &amp; Wing │  ISSN:  1066-8098 *</v>
      </c>
      <c r="L643" s="243" t="s">
        <v>5363</v>
      </c>
    </row>
    <row r="644" spans="1:12" ht="26.25" hidden="1" customHeight="1">
      <c r="A644" s="17">
        <f t="shared" si="0"/>
        <v>641</v>
      </c>
      <c r="B644" s="18" t="s">
        <v>37</v>
      </c>
      <c r="C644" s="31" t="s">
        <v>3060</v>
      </c>
      <c r="D644" s="20" t="s">
        <v>3062</v>
      </c>
      <c r="E644" s="32" t="s">
        <v>3063</v>
      </c>
      <c r="F644" s="22" t="s">
        <v>42</v>
      </c>
      <c r="G644" s="23" t="s">
        <v>3064</v>
      </c>
      <c r="H644" s="24" t="s">
        <v>55</v>
      </c>
    </row>
    <row r="645" spans="1:12" ht="26.25" hidden="1" customHeight="1">
      <c r="A645" s="17">
        <f t="shared" si="0"/>
        <v>642</v>
      </c>
      <c r="B645" s="18" t="s">
        <v>105</v>
      </c>
      <c r="C645" s="31" t="s">
        <v>3065</v>
      </c>
      <c r="D645" s="20" t="s">
        <v>3066</v>
      </c>
      <c r="E645" s="32" t="s">
        <v>2564</v>
      </c>
      <c r="F645" s="33" t="s">
        <v>42</v>
      </c>
      <c r="G645" s="23" t="s">
        <v>3067</v>
      </c>
      <c r="H645" s="24" t="s">
        <v>55</v>
      </c>
    </row>
    <row r="646" spans="1:12" ht="26.25" hidden="1" customHeight="1">
      <c r="A646" s="17">
        <f t="shared" si="0"/>
        <v>643</v>
      </c>
      <c r="B646" s="18" t="s">
        <v>48</v>
      </c>
      <c r="C646" s="31" t="s">
        <v>3068</v>
      </c>
      <c r="D646" s="20" t="s">
        <v>3070</v>
      </c>
      <c r="E646" s="32" t="s">
        <v>3071</v>
      </c>
      <c r="F646" s="33" t="s">
        <v>63</v>
      </c>
      <c r="G646" s="23" t="s">
        <v>3072</v>
      </c>
      <c r="H646" s="24" t="s">
        <v>55</v>
      </c>
    </row>
    <row r="647" spans="1:12" ht="26.25" hidden="1" customHeight="1">
      <c r="A647" s="17">
        <f t="shared" si="0"/>
        <v>644</v>
      </c>
      <c r="B647" s="18" t="s">
        <v>105</v>
      </c>
      <c r="C647" s="31" t="s">
        <v>165</v>
      </c>
      <c r="D647" s="20" t="s">
        <v>166</v>
      </c>
      <c r="E647" s="32" t="s">
        <v>962</v>
      </c>
      <c r="F647" s="33" t="s">
        <v>42</v>
      </c>
      <c r="G647" s="23" t="s">
        <v>3073</v>
      </c>
      <c r="H647" s="24" t="s">
        <v>55</v>
      </c>
    </row>
    <row r="648" spans="1:12" ht="26.25" hidden="1" customHeight="1">
      <c r="A648" s="17">
        <f t="shared" si="0"/>
        <v>645</v>
      </c>
      <c r="B648" s="18" t="s">
        <v>233</v>
      </c>
      <c r="C648" s="31" t="s">
        <v>3074</v>
      </c>
      <c r="D648" s="20" t="s">
        <v>3076</v>
      </c>
      <c r="E648" s="32">
        <v>1962</v>
      </c>
      <c r="F648" s="22" t="s">
        <v>53</v>
      </c>
      <c r="G648" s="23" t="s">
        <v>3077</v>
      </c>
      <c r="H648" s="24" t="s">
        <v>55</v>
      </c>
    </row>
    <row r="649" spans="1:12" ht="26.25" hidden="1" customHeight="1">
      <c r="A649" s="17">
        <f t="shared" si="0"/>
        <v>646</v>
      </c>
      <c r="B649" s="18" t="s">
        <v>37</v>
      </c>
      <c r="C649" s="31" t="s">
        <v>3078</v>
      </c>
      <c r="D649" s="20" t="s">
        <v>3079</v>
      </c>
      <c r="E649" s="32" t="s">
        <v>3080</v>
      </c>
      <c r="F649" s="22" t="s">
        <v>31</v>
      </c>
      <c r="G649" s="23" t="s">
        <v>3081</v>
      </c>
      <c r="H649" s="24" t="s">
        <v>55</v>
      </c>
    </row>
    <row r="650" spans="1:12" ht="26.25" hidden="1" customHeight="1">
      <c r="A650" s="17">
        <f t="shared" si="0"/>
        <v>647</v>
      </c>
      <c r="B650" s="18" t="s">
        <v>105</v>
      </c>
      <c r="C650" s="31" t="s">
        <v>3082</v>
      </c>
      <c r="D650" s="20" t="s">
        <v>3084</v>
      </c>
      <c r="E650" s="32" t="s">
        <v>3085</v>
      </c>
      <c r="F650" s="33" t="s">
        <v>53</v>
      </c>
      <c r="G650" s="23" t="s">
        <v>3086</v>
      </c>
      <c r="H650" s="24" t="s">
        <v>55</v>
      </c>
    </row>
    <row r="651" spans="1:12" ht="26.25" hidden="1" customHeight="1">
      <c r="A651" s="17">
        <f t="shared" si="0"/>
        <v>648</v>
      </c>
      <c r="B651" s="18" t="s">
        <v>132</v>
      </c>
      <c r="C651" s="31" t="s">
        <v>3087</v>
      </c>
      <c r="D651" s="20" t="s">
        <v>3089</v>
      </c>
      <c r="E651" s="32" t="s">
        <v>2820</v>
      </c>
      <c r="F651" s="22" t="s">
        <v>53</v>
      </c>
      <c r="G651" s="23" t="s">
        <v>3090</v>
      </c>
      <c r="H651" s="24" t="s">
        <v>55</v>
      </c>
    </row>
    <row r="652" spans="1:12" ht="26.25" hidden="1" customHeight="1">
      <c r="A652" s="17">
        <f t="shared" si="0"/>
        <v>649</v>
      </c>
      <c r="B652" s="18" t="s">
        <v>105</v>
      </c>
      <c r="C652" s="31" t="s">
        <v>3091</v>
      </c>
      <c r="D652" s="20" t="s">
        <v>3093</v>
      </c>
      <c r="E652" s="32" t="s">
        <v>3094</v>
      </c>
      <c r="F652" s="33" t="s">
        <v>42</v>
      </c>
      <c r="G652" s="23" t="s">
        <v>3095</v>
      </c>
      <c r="H652" s="24" t="s">
        <v>55</v>
      </c>
    </row>
    <row r="653" spans="1:12" ht="26.25" hidden="1" customHeight="1">
      <c r="A653" s="17">
        <f t="shared" si="0"/>
        <v>650</v>
      </c>
      <c r="B653" s="18" t="s">
        <v>27</v>
      </c>
      <c r="C653" s="31" t="s">
        <v>3096</v>
      </c>
      <c r="D653" s="20" t="s">
        <v>3097</v>
      </c>
      <c r="E653" s="32" t="s">
        <v>416</v>
      </c>
      <c r="F653" s="22" t="s">
        <v>31</v>
      </c>
      <c r="G653" s="23" t="s">
        <v>3098</v>
      </c>
      <c r="H653" s="24" t="s">
        <v>55</v>
      </c>
    </row>
    <row r="654" spans="1:12" ht="26.25" customHeight="1">
      <c r="A654" s="17">
        <f t="shared" si="0"/>
        <v>651</v>
      </c>
      <c r="B654" s="18" t="s">
        <v>27</v>
      </c>
      <c r="C654" s="39" t="s">
        <v>1867</v>
      </c>
      <c r="D654" s="20" t="s">
        <v>1869</v>
      </c>
      <c r="E654" s="44" t="s">
        <v>5364</v>
      </c>
      <c r="F654" s="22" t="s">
        <v>31</v>
      </c>
      <c r="G654" s="41" t="s">
        <v>3100</v>
      </c>
      <c r="H654" s="24" t="s">
        <v>20</v>
      </c>
      <c r="J654" s="284" t="str">
        <f>CONCATENATE(C654," │  ISSN:  ",D654," *")</f>
        <v>Science and Technology of Energetic Materials (+ Explosion) (Fer:火藥學會誌) │  ISSN:  1347-9466 *</v>
      </c>
      <c r="L654" s="243" t="s">
        <v>5365</v>
      </c>
    </row>
    <row r="655" spans="1:12" ht="26.25" hidden="1" customHeight="1">
      <c r="A655" s="17">
        <f t="shared" si="0"/>
        <v>652</v>
      </c>
      <c r="B655" s="18" t="s">
        <v>248</v>
      </c>
      <c r="C655" s="31" t="s">
        <v>3101</v>
      </c>
      <c r="D655" s="20" t="s">
        <v>3103</v>
      </c>
      <c r="E655" s="32" t="s">
        <v>209</v>
      </c>
      <c r="F655" s="33" t="s">
        <v>42</v>
      </c>
      <c r="G655" s="23" t="s">
        <v>3104</v>
      </c>
      <c r="H655" s="24" t="s">
        <v>55</v>
      </c>
    </row>
    <row r="656" spans="1:12" ht="26.25" customHeight="1">
      <c r="A656" s="17">
        <f t="shared" si="0"/>
        <v>653</v>
      </c>
      <c r="B656" s="18" t="s">
        <v>37</v>
      </c>
      <c r="C656" s="19" t="s">
        <v>3105</v>
      </c>
      <c r="D656" s="20" t="s">
        <v>3106</v>
      </c>
      <c r="E656" s="32" t="s">
        <v>5018</v>
      </c>
      <c r="F656" s="22" t="s">
        <v>31</v>
      </c>
      <c r="G656" s="23" t="s">
        <v>3108</v>
      </c>
      <c r="H656" s="24" t="s">
        <v>20</v>
      </c>
      <c r="J656" s="284" t="str">
        <f t="shared" ref="J656:J662" si="65">CONCATENATE(C656," │  ISSN:  ",D656," *")</f>
        <v>science Of Advanced Materials │  ISSN:  1947-2935 *</v>
      </c>
      <c r="L656" s="243" t="s">
        <v>5366</v>
      </c>
    </row>
    <row r="657" spans="1:12" ht="26.25" customHeight="1">
      <c r="A657" s="17">
        <f t="shared" si="0"/>
        <v>654</v>
      </c>
      <c r="B657" s="18" t="s">
        <v>105</v>
      </c>
      <c r="C657" s="31" t="s">
        <v>3109</v>
      </c>
      <c r="D657" s="20" t="s">
        <v>3110</v>
      </c>
      <c r="E657" s="21" t="s">
        <v>5076</v>
      </c>
      <c r="F657" s="33" t="s">
        <v>31</v>
      </c>
      <c r="G657" s="23" t="s">
        <v>3112</v>
      </c>
      <c r="H657" s="34" t="s">
        <v>20</v>
      </c>
      <c r="J657" s="284" t="str">
        <f t="shared" si="65"/>
        <v>scientific American │  ISSN:  0036-8733 *</v>
      </c>
      <c r="L657" s="243" t="s">
        <v>5367</v>
      </c>
    </row>
    <row r="658" spans="1:12" ht="26.25" customHeight="1">
      <c r="A658" s="17">
        <f t="shared" si="0"/>
        <v>655</v>
      </c>
      <c r="B658" s="18" t="s">
        <v>105</v>
      </c>
      <c r="C658" s="19" t="s">
        <v>1660</v>
      </c>
      <c r="D658" s="20" t="s">
        <v>1662</v>
      </c>
      <c r="E658" s="32" t="s">
        <v>52</v>
      </c>
      <c r="F658" s="33" t="s">
        <v>31</v>
      </c>
      <c r="G658" s="23" t="s">
        <v>3114</v>
      </c>
      <c r="H658" s="24" t="s">
        <v>20</v>
      </c>
      <c r="J658" s="284" t="str">
        <f t="shared" si="65"/>
        <v>Sea Technology │  ISSN:  0093-3651 *</v>
      </c>
      <c r="L658" s="243" t="s">
        <v>5368</v>
      </c>
    </row>
    <row r="659" spans="1:12" ht="26.25" customHeight="1">
      <c r="A659" s="17">
        <f t="shared" si="0"/>
        <v>656</v>
      </c>
      <c r="B659" s="18" t="s">
        <v>1375</v>
      </c>
      <c r="C659" s="31" t="s">
        <v>1538</v>
      </c>
      <c r="D659" s="20" t="s">
        <v>1540</v>
      </c>
      <c r="E659" s="32" t="s">
        <v>178</v>
      </c>
      <c r="F659" s="22" t="s">
        <v>53</v>
      </c>
      <c r="G659" s="23" t="s">
        <v>3116</v>
      </c>
      <c r="H659" s="24" t="s">
        <v>20</v>
      </c>
      <c r="J659" s="284" t="str">
        <f t="shared" si="65"/>
        <v>Seaways │  ISSN:  0144-1019 *</v>
      </c>
      <c r="L659" s="243" t="s">
        <v>5369</v>
      </c>
    </row>
    <row r="660" spans="1:12" ht="26.25" customHeight="1">
      <c r="A660" s="17">
        <f t="shared" si="0"/>
        <v>657</v>
      </c>
      <c r="B660" s="18" t="s">
        <v>48</v>
      </c>
      <c r="C660" s="19" t="s">
        <v>3117</v>
      </c>
      <c r="D660" s="20" t="s">
        <v>3118</v>
      </c>
      <c r="E660" s="32" t="s">
        <v>52</v>
      </c>
      <c r="F660" s="33" t="s">
        <v>53</v>
      </c>
      <c r="G660" s="23" t="s">
        <v>3119</v>
      </c>
      <c r="H660" s="24" t="s">
        <v>20</v>
      </c>
      <c r="J660" s="284" t="str">
        <f t="shared" si="65"/>
        <v>Sensor Letters │  ISSN:  1546-198X *</v>
      </c>
      <c r="L660" s="243" t="s">
        <v>5370</v>
      </c>
    </row>
    <row r="661" spans="1:12" ht="26.25" customHeight="1">
      <c r="A661" s="17">
        <f t="shared" si="0"/>
        <v>658</v>
      </c>
      <c r="B661" s="18" t="s">
        <v>105</v>
      </c>
      <c r="C661" s="19" t="s">
        <v>3120</v>
      </c>
      <c r="D661" s="20" t="s">
        <v>3122</v>
      </c>
      <c r="E661" s="32" t="s">
        <v>52</v>
      </c>
      <c r="F661" s="33" t="s">
        <v>42</v>
      </c>
      <c r="G661" s="23" t="s">
        <v>3123</v>
      </c>
      <c r="H661" s="24" t="s">
        <v>20</v>
      </c>
      <c r="J661" s="284" t="str">
        <f t="shared" si="65"/>
        <v>Sensors and Materials │  ISSN:  0914-4935 *</v>
      </c>
      <c r="L661" s="243" t="s">
        <v>5371</v>
      </c>
    </row>
    <row r="662" spans="1:12" ht="26.25" customHeight="1">
      <c r="A662" s="17">
        <f t="shared" si="0"/>
        <v>659</v>
      </c>
      <c r="B662" s="18" t="s">
        <v>27</v>
      </c>
      <c r="C662" s="19" t="s">
        <v>3124</v>
      </c>
      <c r="D662" s="20" t="s">
        <v>3125</v>
      </c>
      <c r="E662" s="32" t="s">
        <v>5049</v>
      </c>
      <c r="F662" s="22" t="s">
        <v>42</v>
      </c>
      <c r="G662" s="23" t="s">
        <v>3126</v>
      </c>
      <c r="H662" s="24" t="s">
        <v>20</v>
      </c>
      <c r="J662" s="284" t="str">
        <f t="shared" si="65"/>
        <v>Separation science and Technology │  ISSN:  0149-6395 *</v>
      </c>
      <c r="L662" s="243" t="s">
        <v>5372</v>
      </c>
    </row>
    <row r="663" spans="1:12" ht="26.25" hidden="1" customHeight="1">
      <c r="A663" s="17">
        <f t="shared" si="0"/>
        <v>660</v>
      </c>
      <c r="B663" s="18" t="s">
        <v>1375</v>
      </c>
      <c r="C663" s="31" t="s">
        <v>3127</v>
      </c>
      <c r="D663" s="20" t="s">
        <v>3128</v>
      </c>
      <c r="E663" s="32" t="s">
        <v>1913</v>
      </c>
      <c r="F663" s="22" t="s">
        <v>1086</v>
      </c>
      <c r="G663" s="23" t="s">
        <v>3129</v>
      </c>
      <c r="H663" s="24" t="s">
        <v>55</v>
      </c>
    </row>
    <row r="664" spans="1:12" ht="26.25" hidden="1" customHeight="1">
      <c r="A664" s="17">
        <f t="shared" si="0"/>
        <v>661</v>
      </c>
      <c r="B664" s="18" t="s">
        <v>1375</v>
      </c>
      <c r="C664" s="31" t="s">
        <v>3130</v>
      </c>
      <c r="D664" s="20" t="s">
        <v>1152</v>
      </c>
      <c r="E664" s="32" t="s">
        <v>170</v>
      </c>
      <c r="F664" s="22" t="s">
        <v>63</v>
      </c>
      <c r="G664" s="23" t="s">
        <v>3132</v>
      </c>
      <c r="H664" s="24" t="s">
        <v>55</v>
      </c>
    </row>
    <row r="665" spans="1:12" ht="26.25" customHeight="1">
      <c r="A665" s="17">
        <f t="shared" si="0"/>
        <v>662</v>
      </c>
      <c r="B665" s="18" t="s">
        <v>1375</v>
      </c>
      <c r="C665" s="19" t="s">
        <v>3133</v>
      </c>
      <c r="D665" s="20" t="s">
        <v>3134</v>
      </c>
      <c r="E665" s="32" t="s">
        <v>2890</v>
      </c>
      <c r="F665" s="22" t="s">
        <v>42</v>
      </c>
      <c r="G665" s="23" t="s">
        <v>3135</v>
      </c>
      <c r="H665" s="24" t="s">
        <v>20</v>
      </c>
      <c r="J665" s="284" t="str">
        <f>CONCATENATE(C665," │  ISSN:  ",D665," *")</f>
        <v>Ships and Offshore Structures │  ISSN:  1744-5302 *</v>
      </c>
      <c r="L665" s="243" t="s">
        <v>5373</v>
      </c>
    </row>
    <row r="666" spans="1:12" ht="26.25" hidden="1" customHeight="1">
      <c r="A666" s="17">
        <f t="shared" si="0"/>
        <v>663</v>
      </c>
      <c r="B666" s="18" t="s">
        <v>248</v>
      </c>
      <c r="C666" s="31" t="s">
        <v>3136</v>
      </c>
      <c r="D666" s="20" t="s">
        <v>3137</v>
      </c>
      <c r="E666" s="32" t="s">
        <v>222</v>
      </c>
      <c r="F666" s="33" t="s">
        <v>42</v>
      </c>
      <c r="G666" s="23" t="s">
        <v>3138</v>
      </c>
      <c r="H666" s="24" t="s">
        <v>55</v>
      </c>
    </row>
    <row r="667" spans="1:12" ht="26.25" hidden="1" customHeight="1">
      <c r="A667" s="17">
        <f t="shared" si="0"/>
        <v>664</v>
      </c>
      <c r="B667" s="18" t="s">
        <v>81</v>
      </c>
      <c r="C667" s="31" t="s">
        <v>3139</v>
      </c>
      <c r="D667" s="20" t="s">
        <v>3140</v>
      </c>
      <c r="E667" s="32" t="s">
        <v>3141</v>
      </c>
      <c r="F667" s="33" t="s">
        <v>42</v>
      </c>
      <c r="G667" s="23" t="s">
        <v>3142</v>
      </c>
      <c r="H667" s="24" t="s">
        <v>55</v>
      </c>
    </row>
    <row r="668" spans="1:12" ht="26.25" hidden="1" customHeight="1">
      <c r="A668" s="17">
        <f t="shared" si="0"/>
        <v>665</v>
      </c>
      <c r="B668" s="18" t="s">
        <v>105</v>
      </c>
      <c r="C668" s="31" t="s">
        <v>3143</v>
      </c>
      <c r="D668" s="20" t="s">
        <v>568</v>
      </c>
      <c r="E668" s="32" t="s">
        <v>3144</v>
      </c>
      <c r="F668" s="33" t="s">
        <v>42</v>
      </c>
      <c r="G668" s="23" t="s">
        <v>3145</v>
      </c>
      <c r="H668" s="24" t="s">
        <v>55</v>
      </c>
    </row>
    <row r="669" spans="1:12" ht="26.25" hidden="1" customHeight="1">
      <c r="A669" s="17">
        <f t="shared" si="0"/>
        <v>666</v>
      </c>
      <c r="B669" s="18" t="s">
        <v>105</v>
      </c>
      <c r="C669" s="31" t="s">
        <v>3146</v>
      </c>
      <c r="D669" s="20" t="s">
        <v>3147</v>
      </c>
      <c r="E669" s="32" t="s">
        <v>3148</v>
      </c>
      <c r="F669" s="33" t="s">
        <v>42</v>
      </c>
      <c r="G669" s="23" t="s">
        <v>3149</v>
      </c>
      <c r="H669" s="24" t="s">
        <v>55</v>
      </c>
    </row>
    <row r="670" spans="1:12" ht="26.25" customHeight="1">
      <c r="A670" s="17">
        <f t="shared" si="0"/>
        <v>667</v>
      </c>
      <c r="B670" s="18" t="s">
        <v>81</v>
      </c>
      <c r="C670" s="19" t="s">
        <v>3150</v>
      </c>
      <c r="D670" s="20" t="s">
        <v>3151</v>
      </c>
      <c r="E670" s="32" t="s">
        <v>178</v>
      </c>
      <c r="F670" s="33" t="s">
        <v>53</v>
      </c>
      <c r="G670" s="23" t="s">
        <v>3152</v>
      </c>
      <c r="H670" s="24" t="s">
        <v>20</v>
      </c>
      <c r="J670" s="284" t="str">
        <f>CONCATENATE(C670," │  ISSN:  ",D670," *")</f>
        <v>SID International Symposium. Digest of Technical Papers │  ISSN:  0097-966X *</v>
      </c>
      <c r="L670" s="243" t="s">
        <v>5374</v>
      </c>
    </row>
    <row r="671" spans="1:12" ht="26.25" hidden="1" customHeight="1">
      <c r="A671" s="17">
        <f t="shared" si="0"/>
        <v>668</v>
      </c>
      <c r="B671" s="18" t="s">
        <v>105</v>
      </c>
      <c r="C671" s="31" t="s">
        <v>3153</v>
      </c>
      <c r="D671" s="20" t="s">
        <v>3154</v>
      </c>
      <c r="E671" s="32" t="s">
        <v>3155</v>
      </c>
      <c r="F671" s="33" t="s">
        <v>63</v>
      </c>
      <c r="G671" s="23" t="s">
        <v>3156</v>
      </c>
      <c r="H671" s="24" t="s">
        <v>55</v>
      </c>
    </row>
    <row r="672" spans="1:12" ht="26.25" customHeight="1">
      <c r="A672" s="17">
        <f t="shared" si="0"/>
        <v>669</v>
      </c>
      <c r="B672" s="18" t="s">
        <v>13</v>
      </c>
      <c r="C672" s="19" t="s">
        <v>3157</v>
      </c>
      <c r="D672" s="20" t="s">
        <v>3158</v>
      </c>
      <c r="E672" s="32" t="s">
        <v>52</v>
      </c>
      <c r="F672" s="22" t="s">
        <v>42</v>
      </c>
      <c r="G672" s="23" t="s">
        <v>3159</v>
      </c>
      <c r="H672" s="24" t="s">
        <v>20</v>
      </c>
      <c r="J672" s="284" t="str">
        <f t="shared" ref="J672:J676" si="66">CONCATENATE(C672," │  ISSN:  ",D672," *")</f>
        <v>Smart Structures and Systems : an international journal of Mechatronics, Sensors, Monitoring, Control, Diagnosis, &amp; Life Cycle Eng │  ISSN:  1738-1584 *</v>
      </c>
      <c r="L672" s="243" t="s">
        <v>5375</v>
      </c>
    </row>
    <row r="673" spans="1:12" ht="26.25" customHeight="1">
      <c r="A673" s="17">
        <f t="shared" si="0"/>
        <v>670</v>
      </c>
      <c r="B673" s="18" t="s">
        <v>105</v>
      </c>
      <c r="C673" s="19" t="s">
        <v>3160</v>
      </c>
      <c r="D673" s="20" t="s">
        <v>3161</v>
      </c>
      <c r="E673" s="32" t="s">
        <v>52</v>
      </c>
      <c r="F673" s="33" t="s">
        <v>42</v>
      </c>
      <c r="G673" s="23" t="s">
        <v>3162</v>
      </c>
      <c r="H673" s="24" t="s">
        <v>20</v>
      </c>
      <c r="J673" s="284" t="str">
        <f t="shared" si="66"/>
        <v>Soft Materials │  ISSN:  1539-445X *</v>
      </c>
      <c r="L673" s="243" t="s">
        <v>5376</v>
      </c>
    </row>
    <row r="674" spans="1:12" ht="26.25" customHeight="1">
      <c r="A674" s="17">
        <f t="shared" si="0"/>
        <v>671</v>
      </c>
      <c r="B674" s="18" t="s">
        <v>1197</v>
      </c>
      <c r="C674" s="19" t="s">
        <v>3163</v>
      </c>
      <c r="D674" s="20" t="s">
        <v>3164</v>
      </c>
      <c r="E674" s="32" t="s">
        <v>52</v>
      </c>
      <c r="F674" s="33" t="s">
        <v>42</v>
      </c>
      <c r="G674" s="23" t="s">
        <v>3165</v>
      </c>
      <c r="H674" s="24" t="s">
        <v>20</v>
      </c>
      <c r="J674" s="284" t="str">
        <f t="shared" si="66"/>
        <v>Soil &amp; Sediment Contamination │  ISSN:  1532-0383 *</v>
      </c>
      <c r="L674" s="243" t="s">
        <v>5377</v>
      </c>
    </row>
    <row r="675" spans="1:12" ht="26.25" customHeight="1">
      <c r="A675" s="17">
        <f t="shared" si="0"/>
        <v>672</v>
      </c>
      <c r="B675" s="18" t="s">
        <v>13</v>
      </c>
      <c r="C675" s="19" t="s">
        <v>1763</v>
      </c>
      <c r="D675" s="20" t="s">
        <v>1764</v>
      </c>
      <c r="E675" s="32" t="s">
        <v>3167</v>
      </c>
      <c r="F675" s="22" t="s">
        <v>42</v>
      </c>
      <c r="G675" s="23" t="s">
        <v>3168</v>
      </c>
      <c r="H675" s="24" t="s">
        <v>20</v>
      </c>
      <c r="J675" s="284" t="str">
        <f t="shared" si="66"/>
        <v>Soils and Foundations │  ISSN:  0038-0806 *</v>
      </c>
      <c r="L675" s="243" t="s">
        <v>5378</v>
      </c>
    </row>
    <row r="676" spans="1:12" ht="26.25" customHeight="1">
      <c r="A676" s="17">
        <f t="shared" si="0"/>
        <v>673</v>
      </c>
      <c r="B676" s="18" t="s">
        <v>37</v>
      </c>
      <c r="C676" s="19" t="s">
        <v>3169</v>
      </c>
      <c r="D676" s="20" t="s">
        <v>3171</v>
      </c>
      <c r="E676" s="32" t="s">
        <v>52</v>
      </c>
      <c r="F676" s="22" t="s">
        <v>53</v>
      </c>
      <c r="G676" s="23" t="s">
        <v>3172</v>
      </c>
      <c r="H676" s="24" t="s">
        <v>20</v>
      </c>
      <c r="J676" s="284" t="str">
        <f t="shared" si="66"/>
        <v>SOKEIZAI │  ISSN:  0910-1985 *</v>
      </c>
      <c r="L676" s="243" t="s">
        <v>5379</v>
      </c>
    </row>
    <row r="677" spans="1:12" ht="26.25" hidden="1" customHeight="1">
      <c r="A677" s="17">
        <f t="shared" si="0"/>
        <v>674</v>
      </c>
      <c r="B677" s="18" t="s">
        <v>132</v>
      </c>
      <c r="C677" s="31" t="s">
        <v>3173</v>
      </c>
      <c r="D677" s="20" t="s">
        <v>3174</v>
      </c>
      <c r="E677" s="32" t="s">
        <v>222</v>
      </c>
      <c r="F677" s="22" t="s">
        <v>42</v>
      </c>
      <c r="G677" s="23" t="s">
        <v>3175</v>
      </c>
      <c r="H677" s="24" t="s">
        <v>55</v>
      </c>
    </row>
    <row r="678" spans="1:12" ht="26.25" hidden="1" customHeight="1">
      <c r="A678" s="17">
        <f t="shared" si="0"/>
        <v>675</v>
      </c>
      <c r="B678" s="18" t="s">
        <v>132</v>
      </c>
      <c r="C678" s="31" t="s">
        <v>344</v>
      </c>
      <c r="D678" s="20" t="s">
        <v>346</v>
      </c>
      <c r="E678" s="32" t="s">
        <v>163</v>
      </c>
      <c r="F678" s="22" t="s">
        <v>1846</v>
      </c>
      <c r="G678" s="23" t="s">
        <v>3176</v>
      </c>
      <c r="H678" s="24" t="s">
        <v>55</v>
      </c>
    </row>
    <row r="679" spans="1:12" ht="26.25" hidden="1" customHeight="1">
      <c r="A679" s="17">
        <f t="shared" si="0"/>
        <v>676</v>
      </c>
      <c r="B679" s="18" t="s">
        <v>233</v>
      </c>
      <c r="C679" s="31" t="s">
        <v>3177</v>
      </c>
      <c r="D679" s="20" t="s">
        <v>3178</v>
      </c>
      <c r="E679" s="32" t="s">
        <v>3179</v>
      </c>
      <c r="F679" s="22" t="s">
        <v>53</v>
      </c>
      <c r="G679" s="23" t="s">
        <v>3180</v>
      </c>
      <c r="H679" s="24" t="s">
        <v>55</v>
      </c>
    </row>
    <row r="680" spans="1:12" ht="26.25" hidden="1" customHeight="1">
      <c r="A680" s="17">
        <f t="shared" si="0"/>
        <v>677</v>
      </c>
      <c r="B680" s="18" t="s">
        <v>146</v>
      </c>
      <c r="C680" s="31" t="s">
        <v>3181</v>
      </c>
      <c r="D680" s="20" t="s">
        <v>3183</v>
      </c>
      <c r="E680" s="32" t="s">
        <v>222</v>
      </c>
      <c r="F680" s="33" t="s">
        <v>42</v>
      </c>
      <c r="G680" s="23" t="s">
        <v>3184</v>
      </c>
      <c r="H680" s="24" t="s">
        <v>55</v>
      </c>
    </row>
    <row r="681" spans="1:12" ht="26.25" hidden="1" customHeight="1">
      <c r="A681" s="17">
        <f t="shared" si="0"/>
        <v>678</v>
      </c>
      <c r="B681" s="18" t="s">
        <v>146</v>
      </c>
      <c r="C681" s="31" t="s">
        <v>3185</v>
      </c>
      <c r="D681" s="20" t="s">
        <v>3186</v>
      </c>
      <c r="E681" s="32" t="s">
        <v>222</v>
      </c>
      <c r="F681" s="33" t="s">
        <v>42</v>
      </c>
      <c r="G681" s="23" t="s">
        <v>3187</v>
      </c>
      <c r="H681" s="24" t="s">
        <v>55</v>
      </c>
    </row>
    <row r="682" spans="1:12" ht="26.25" hidden="1" customHeight="1">
      <c r="A682" s="17">
        <f t="shared" si="0"/>
        <v>679</v>
      </c>
      <c r="B682" s="18" t="s">
        <v>146</v>
      </c>
      <c r="C682" s="31" t="s">
        <v>3188</v>
      </c>
      <c r="D682" s="20" t="s">
        <v>3189</v>
      </c>
      <c r="E682" s="32" t="s">
        <v>222</v>
      </c>
      <c r="F682" s="33" t="s">
        <v>42</v>
      </c>
      <c r="G682" s="23" t="s">
        <v>3190</v>
      </c>
      <c r="H682" s="24" t="s">
        <v>55</v>
      </c>
    </row>
    <row r="683" spans="1:12" ht="26.25" hidden="1" customHeight="1">
      <c r="A683" s="17">
        <f t="shared" si="0"/>
        <v>680</v>
      </c>
      <c r="B683" s="18" t="s">
        <v>146</v>
      </c>
      <c r="C683" s="31" t="s">
        <v>3191</v>
      </c>
      <c r="D683" s="20" t="s">
        <v>3192</v>
      </c>
      <c r="E683" s="32" t="s">
        <v>222</v>
      </c>
      <c r="F683" s="33" t="s">
        <v>42</v>
      </c>
      <c r="G683" s="23" t="s">
        <v>3193</v>
      </c>
      <c r="H683" s="24" t="s">
        <v>55</v>
      </c>
    </row>
    <row r="684" spans="1:12" ht="26.25" hidden="1" customHeight="1">
      <c r="A684" s="17">
        <f t="shared" si="0"/>
        <v>681</v>
      </c>
      <c r="B684" s="18" t="s">
        <v>3194</v>
      </c>
      <c r="C684" s="31" t="s">
        <v>3195</v>
      </c>
      <c r="D684" s="20" t="s">
        <v>3197</v>
      </c>
      <c r="E684" s="32" t="s">
        <v>3198</v>
      </c>
      <c r="F684" s="33" t="s">
        <v>18</v>
      </c>
      <c r="G684" s="23" t="s">
        <v>3199</v>
      </c>
      <c r="H684" s="24" t="s">
        <v>55</v>
      </c>
    </row>
    <row r="685" spans="1:12" ht="26.25" hidden="1" customHeight="1">
      <c r="A685" s="17">
        <f t="shared" si="0"/>
        <v>682</v>
      </c>
      <c r="B685" s="18" t="s">
        <v>37</v>
      </c>
      <c r="C685" s="31" t="s">
        <v>1228</v>
      </c>
      <c r="D685" s="20" t="s">
        <v>1230</v>
      </c>
      <c r="E685" s="32" t="s">
        <v>170</v>
      </c>
      <c r="F685" s="22" t="s">
        <v>53</v>
      </c>
      <c r="G685" s="23" t="s">
        <v>3200</v>
      </c>
      <c r="H685" s="24" t="s">
        <v>55</v>
      </c>
    </row>
    <row r="686" spans="1:12" ht="26.25" customHeight="1">
      <c r="A686" s="17">
        <f t="shared" si="0"/>
        <v>683</v>
      </c>
      <c r="B686" s="18" t="s">
        <v>105</v>
      </c>
      <c r="C686" s="31" t="s">
        <v>3201</v>
      </c>
      <c r="D686" s="20" t="s">
        <v>3203</v>
      </c>
      <c r="E686" s="21" t="s">
        <v>2504</v>
      </c>
      <c r="F686" s="33" t="s">
        <v>42</v>
      </c>
      <c r="G686" s="23" t="s">
        <v>3204</v>
      </c>
      <c r="H686" s="34" t="s">
        <v>20</v>
      </c>
      <c r="J686" s="284" t="str">
        <f>CONCATENATE(C686," │  ISSN:  ",D686," *")</f>
        <v>Statistica Sinica │  ISSN:  1017-0405 *</v>
      </c>
      <c r="L686" s="243" t="s">
        <v>5380</v>
      </c>
    </row>
    <row r="687" spans="1:12" ht="26.25" hidden="1" customHeight="1">
      <c r="A687" s="17">
        <f t="shared" si="0"/>
        <v>684</v>
      </c>
      <c r="B687" s="18" t="s">
        <v>105</v>
      </c>
      <c r="C687" s="31" t="s">
        <v>3205</v>
      </c>
      <c r="D687" s="20" t="s">
        <v>3207</v>
      </c>
      <c r="E687" s="32" t="s">
        <v>3208</v>
      </c>
      <c r="F687" s="33" t="s">
        <v>31</v>
      </c>
      <c r="G687" s="23" t="s">
        <v>3209</v>
      </c>
      <c r="H687" s="24" t="s">
        <v>55</v>
      </c>
    </row>
    <row r="688" spans="1:12" ht="26.25" customHeight="1">
      <c r="A688" s="17">
        <f t="shared" si="0"/>
        <v>685</v>
      </c>
      <c r="B688" s="18" t="s">
        <v>37</v>
      </c>
      <c r="C688" s="19" t="s">
        <v>3210</v>
      </c>
      <c r="D688" s="20" t="s">
        <v>3211</v>
      </c>
      <c r="E688" s="32" t="s">
        <v>52</v>
      </c>
      <c r="F688" s="22" t="s">
        <v>42</v>
      </c>
      <c r="G688" s="23" t="s">
        <v>3212</v>
      </c>
      <c r="H688" s="24" t="s">
        <v>20</v>
      </c>
      <c r="J688" s="284" t="str">
        <f t="shared" ref="J688:J692" si="67">CONCATENATE(C688," │  ISSN:  ",D688," *")</f>
        <v>Steel &amp; Composite Structures: an international journal │  ISSN:  1229-9367 *</v>
      </c>
      <c r="L688" s="243" t="s">
        <v>5381</v>
      </c>
    </row>
    <row r="689" spans="1:12" ht="26.25" customHeight="1">
      <c r="A689" s="17">
        <f t="shared" si="0"/>
        <v>686</v>
      </c>
      <c r="B689" s="18" t="s">
        <v>248</v>
      </c>
      <c r="C689" s="83" t="s">
        <v>1470</v>
      </c>
      <c r="D689" s="43" t="s">
        <v>1471</v>
      </c>
      <c r="E689" s="44" t="s">
        <v>5382</v>
      </c>
      <c r="F689" s="22" t="s">
        <v>42</v>
      </c>
      <c r="G689" s="59" t="s">
        <v>3214</v>
      </c>
      <c r="H689" s="24" t="s">
        <v>20</v>
      </c>
      <c r="J689" s="284" t="str">
        <f t="shared" si="67"/>
        <v>Structural and multidisciplinary optimization │  ISSN:  1615-147X *</v>
      </c>
      <c r="L689" s="243" t="s">
        <v>5383</v>
      </c>
    </row>
    <row r="690" spans="1:12" ht="26.25" customHeight="1">
      <c r="A690" s="17">
        <f t="shared" si="0"/>
        <v>687</v>
      </c>
      <c r="B690" s="18" t="s">
        <v>132</v>
      </c>
      <c r="C690" s="19" t="s">
        <v>3215</v>
      </c>
      <c r="D690" s="20" t="s">
        <v>3216</v>
      </c>
      <c r="E690" s="32" t="s">
        <v>52</v>
      </c>
      <c r="F690" s="22" t="s">
        <v>42</v>
      </c>
      <c r="G690" s="23" t="s">
        <v>3217</v>
      </c>
      <c r="H690" s="24" t="s">
        <v>20</v>
      </c>
      <c r="J690" s="284" t="str">
        <f t="shared" si="67"/>
        <v>Structural Engineering and Mechanics │  ISSN:  1225-4568 *</v>
      </c>
      <c r="L690" s="243" t="s">
        <v>5384</v>
      </c>
    </row>
    <row r="691" spans="1:12" ht="26.25" customHeight="1">
      <c r="A691" s="17">
        <f t="shared" si="0"/>
        <v>688</v>
      </c>
      <c r="B691" s="18" t="s">
        <v>13</v>
      </c>
      <c r="C691" s="19" t="s">
        <v>3218</v>
      </c>
      <c r="D691" s="20" t="s">
        <v>3219</v>
      </c>
      <c r="E691" s="32" t="s">
        <v>52</v>
      </c>
      <c r="F691" s="22" t="s">
        <v>42</v>
      </c>
      <c r="G691" s="23" t="s">
        <v>3220</v>
      </c>
      <c r="H691" s="24" t="s">
        <v>20</v>
      </c>
      <c r="J691" s="284" t="str">
        <f t="shared" si="67"/>
        <v>Structural Engineering International │  ISSN:  1016-8664 *</v>
      </c>
      <c r="L691" s="243" t="s">
        <v>5385</v>
      </c>
    </row>
    <row r="692" spans="1:12" ht="26.25" customHeight="1">
      <c r="A692" s="17">
        <f t="shared" si="0"/>
        <v>689</v>
      </c>
      <c r="B692" s="18" t="s">
        <v>175</v>
      </c>
      <c r="C692" s="19" t="s">
        <v>3221</v>
      </c>
      <c r="D692" s="20" t="s">
        <v>3222</v>
      </c>
      <c r="E692" s="32" t="s">
        <v>178</v>
      </c>
      <c r="F692" s="33" t="s">
        <v>42</v>
      </c>
      <c r="G692" s="23" t="s">
        <v>3223</v>
      </c>
      <c r="H692" s="24" t="s">
        <v>20</v>
      </c>
      <c r="J692" s="284" t="str">
        <f t="shared" si="67"/>
        <v>Structural Health Monitoring │  ISSN:  1475-9217 *</v>
      </c>
      <c r="L692" s="243" t="s">
        <v>5386</v>
      </c>
    </row>
    <row r="693" spans="1:12" ht="26.25" hidden="1" customHeight="1">
      <c r="A693" s="17">
        <f t="shared" si="0"/>
        <v>690</v>
      </c>
      <c r="B693" s="18" t="s">
        <v>13</v>
      </c>
      <c r="C693" s="31" t="s">
        <v>180</v>
      </c>
      <c r="D693" s="20" t="s">
        <v>182</v>
      </c>
      <c r="E693" s="32" t="s">
        <v>222</v>
      </c>
      <c r="F693" s="22" t="s">
        <v>53</v>
      </c>
      <c r="G693" s="23" t="s">
        <v>3224</v>
      </c>
      <c r="H693" s="24" t="s">
        <v>55</v>
      </c>
    </row>
    <row r="694" spans="1:12" ht="26.25" customHeight="1">
      <c r="A694" s="17">
        <f t="shared" si="0"/>
        <v>691</v>
      </c>
      <c r="B694" s="18" t="s">
        <v>248</v>
      </c>
      <c r="C694" s="19" t="s">
        <v>3225</v>
      </c>
      <c r="D694" s="20" t="s">
        <v>3226</v>
      </c>
      <c r="E694" s="32" t="s">
        <v>52</v>
      </c>
      <c r="F694" s="33" t="s">
        <v>42</v>
      </c>
      <c r="G694" s="23" t="s">
        <v>3227</v>
      </c>
      <c r="H694" s="24" t="s">
        <v>20</v>
      </c>
      <c r="J694" s="284" t="str">
        <f t="shared" ref="J694:J695" si="68">CONCATENATE(C694," │  ISSN:  ",D694," *")</f>
        <v>Structure &amp; Infrastructure Engineering │  ISSN:  1573-2479 *</v>
      </c>
      <c r="L694" s="243" t="s">
        <v>5387</v>
      </c>
    </row>
    <row r="695" spans="1:12" ht="26.25" customHeight="1">
      <c r="A695" s="17">
        <f t="shared" si="0"/>
        <v>692</v>
      </c>
      <c r="B695" s="18" t="s">
        <v>3194</v>
      </c>
      <c r="C695" s="19" t="s">
        <v>3228</v>
      </c>
      <c r="D695" s="20" t="s">
        <v>3230</v>
      </c>
      <c r="E695" s="32" t="s">
        <v>52</v>
      </c>
      <c r="F695" s="33" t="s">
        <v>2018</v>
      </c>
      <c r="G695" s="23" t="s">
        <v>3231</v>
      </c>
      <c r="H695" s="24" t="s">
        <v>20</v>
      </c>
      <c r="J695" s="284" t="str">
        <f t="shared" si="68"/>
        <v>Studies in Conservation │  ISSN:  0039-3630 *</v>
      </c>
      <c r="L695" s="243" t="s">
        <v>5388</v>
      </c>
    </row>
    <row r="696" spans="1:12" ht="26.25" hidden="1" customHeight="1">
      <c r="A696" s="17">
        <f t="shared" si="0"/>
        <v>693</v>
      </c>
      <c r="B696" s="18" t="s">
        <v>13</v>
      </c>
      <c r="C696" s="31" t="s">
        <v>3232</v>
      </c>
      <c r="D696" s="20" t="s">
        <v>3233</v>
      </c>
      <c r="E696" s="32" t="s">
        <v>3234</v>
      </c>
      <c r="F696" s="22" t="s">
        <v>18</v>
      </c>
      <c r="G696" s="23" t="s">
        <v>3235</v>
      </c>
      <c r="H696" s="24" t="s">
        <v>55</v>
      </c>
    </row>
    <row r="697" spans="1:12" ht="26.25" customHeight="1">
      <c r="A697" s="17">
        <f t="shared" si="0"/>
        <v>694</v>
      </c>
      <c r="B697" s="18" t="s">
        <v>27</v>
      </c>
      <c r="C697" s="19" t="s">
        <v>3236</v>
      </c>
      <c r="D697" s="20" t="s">
        <v>3238</v>
      </c>
      <c r="E697" s="32" t="s">
        <v>52</v>
      </c>
      <c r="F697" s="22" t="s">
        <v>42</v>
      </c>
      <c r="G697" s="23" t="s">
        <v>3239</v>
      </c>
      <c r="H697" s="24" t="s">
        <v>20</v>
      </c>
      <c r="J697" s="284" t="str">
        <f t="shared" ref="J697:J698" si="69">CONCATENATE(C697," │  ISSN:  ",D697," *")</f>
        <v>Surface Engineering │  ISSN:  0267-0844 *</v>
      </c>
      <c r="L697" s="243" t="s">
        <v>5389</v>
      </c>
    </row>
    <row r="698" spans="1:12" ht="26.25" customHeight="1">
      <c r="A698" s="17">
        <f t="shared" si="0"/>
        <v>695</v>
      </c>
      <c r="B698" s="18" t="s">
        <v>37</v>
      </c>
      <c r="C698" s="19" t="s">
        <v>3240</v>
      </c>
      <c r="D698" s="20" t="s">
        <v>3241</v>
      </c>
      <c r="E698" s="32" t="s">
        <v>52</v>
      </c>
      <c r="F698" s="22" t="s">
        <v>42</v>
      </c>
      <c r="G698" s="23" t="s">
        <v>3242</v>
      </c>
      <c r="H698" s="24" t="s">
        <v>20</v>
      </c>
      <c r="J698" s="284" t="str">
        <f t="shared" si="69"/>
        <v>Surface Review and Letters │  ISSN:  0218-625X *</v>
      </c>
      <c r="L698" s="243" t="s">
        <v>5390</v>
      </c>
    </row>
    <row r="699" spans="1:12" ht="26.25" hidden="1" customHeight="1">
      <c r="A699" s="17">
        <f t="shared" si="0"/>
        <v>696</v>
      </c>
      <c r="B699" s="18" t="s">
        <v>13</v>
      </c>
      <c r="C699" s="31" t="s">
        <v>3243</v>
      </c>
      <c r="D699" s="20" t="s">
        <v>3244</v>
      </c>
      <c r="E699" s="32" t="s">
        <v>222</v>
      </c>
      <c r="F699" s="22" t="s">
        <v>42</v>
      </c>
      <c r="G699" s="23" t="s">
        <v>3245</v>
      </c>
      <c r="H699" s="24" t="s">
        <v>55</v>
      </c>
    </row>
    <row r="700" spans="1:12" ht="26.25" hidden="1" customHeight="1">
      <c r="A700" s="17">
        <f t="shared" si="0"/>
        <v>697</v>
      </c>
      <c r="B700" s="18" t="s">
        <v>105</v>
      </c>
      <c r="C700" s="31" t="s">
        <v>3246</v>
      </c>
      <c r="D700" s="20" t="s">
        <v>3248</v>
      </c>
      <c r="E700" s="32" t="s">
        <v>3249</v>
      </c>
      <c r="F700" s="33" t="s">
        <v>53</v>
      </c>
      <c r="G700" s="23" t="s">
        <v>3250</v>
      </c>
      <c r="H700" s="24" t="s">
        <v>55</v>
      </c>
    </row>
    <row r="701" spans="1:12" ht="26.25" hidden="1" customHeight="1">
      <c r="A701" s="17">
        <f t="shared" si="0"/>
        <v>698</v>
      </c>
      <c r="B701" s="18" t="s">
        <v>27</v>
      </c>
      <c r="C701" s="31" t="s">
        <v>3251</v>
      </c>
      <c r="D701" s="20" t="s">
        <v>3253</v>
      </c>
      <c r="E701" s="32" t="s">
        <v>1101</v>
      </c>
      <c r="F701" s="22" t="s">
        <v>42</v>
      </c>
      <c r="G701" s="23" t="s">
        <v>3254</v>
      </c>
      <c r="H701" s="24" t="s">
        <v>55</v>
      </c>
    </row>
    <row r="702" spans="1:12" ht="26.25" hidden="1" customHeight="1">
      <c r="A702" s="17">
        <f t="shared" si="0"/>
        <v>699</v>
      </c>
      <c r="B702" s="18" t="s">
        <v>175</v>
      </c>
      <c r="C702" s="31" t="s">
        <v>3255</v>
      </c>
      <c r="D702" s="20" t="s">
        <v>3257</v>
      </c>
      <c r="E702" s="32" t="s">
        <v>3258</v>
      </c>
      <c r="F702" s="33" t="s">
        <v>42</v>
      </c>
      <c r="G702" s="23" t="s">
        <v>3259</v>
      </c>
      <c r="H702" s="24" t="s">
        <v>55</v>
      </c>
    </row>
    <row r="703" spans="1:12" ht="26.25" hidden="1" customHeight="1">
      <c r="A703" s="17">
        <f t="shared" si="0"/>
        <v>700</v>
      </c>
      <c r="B703" s="18" t="s">
        <v>48</v>
      </c>
      <c r="C703" s="31" t="s">
        <v>3260</v>
      </c>
      <c r="D703" s="20" t="s">
        <v>671</v>
      </c>
      <c r="E703" s="32" t="s">
        <v>496</v>
      </c>
      <c r="F703" s="33" t="s">
        <v>53</v>
      </c>
      <c r="G703" s="23" t="s">
        <v>3262</v>
      </c>
      <c r="H703" s="24" t="s">
        <v>55</v>
      </c>
    </row>
    <row r="704" spans="1:12" ht="26.25" customHeight="1">
      <c r="A704" s="17">
        <f t="shared" si="0"/>
        <v>701</v>
      </c>
      <c r="B704" s="18" t="s">
        <v>27</v>
      </c>
      <c r="C704" s="19" t="s">
        <v>3263</v>
      </c>
      <c r="D704" s="20" t="s">
        <v>3265</v>
      </c>
      <c r="E704" s="32" t="s">
        <v>4144</v>
      </c>
      <c r="F704" s="22" t="s">
        <v>53</v>
      </c>
      <c r="G704" s="23" t="s">
        <v>3267</v>
      </c>
      <c r="H704" s="24" t="s">
        <v>20</v>
      </c>
      <c r="J704" s="284" t="str">
        <f t="shared" ref="J704:J706" si="70">CONCATENATE(C704," │  ISSN:  ",D704," *")</f>
        <v>Taikabutsu │  ISSN:  0039-8993 *</v>
      </c>
      <c r="L704" s="243" t="s">
        <v>5391</v>
      </c>
    </row>
    <row r="705" spans="1:12" ht="26.25" customHeight="1">
      <c r="A705" s="17">
        <f t="shared" si="0"/>
        <v>702</v>
      </c>
      <c r="B705" s="18" t="s">
        <v>37</v>
      </c>
      <c r="C705" s="19" t="s">
        <v>3268</v>
      </c>
      <c r="D705" s="20" t="s">
        <v>3269</v>
      </c>
      <c r="E705" s="32" t="s">
        <v>52</v>
      </c>
      <c r="F705" s="22" t="s">
        <v>53</v>
      </c>
      <c r="G705" s="23" t="s">
        <v>3270</v>
      </c>
      <c r="H705" s="24" t="s">
        <v>20</v>
      </c>
      <c r="J705" s="284" t="str">
        <f t="shared" si="70"/>
        <v>Technical Textiles International │  ISSN:  0964-5993 *</v>
      </c>
      <c r="L705" s="243" t="s">
        <v>5392</v>
      </c>
    </row>
    <row r="706" spans="1:12" ht="26.25" customHeight="1">
      <c r="A706" s="17">
        <f t="shared" si="0"/>
        <v>703</v>
      </c>
      <c r="B706" s="18" t="s">
        <v>132</v>
      </c>
      <c r="C706" s="19" t="s">
        <v>3271</v>
      </c>
      <c r="D706" s="20" t="s">
        <v>3273</v>
      </c>
      <c r="E706" s="32" t="s">
        <v>52</v>
      </c>
      <c r="F706" s="22" t="s">
        <v>42</v>
      </c>
      <c r="G706" s="23" t="s">
        <v>3274</v>
      </c>
      <c r="H706" s="24" t="s">
        <v>20</v>
      </c>
      <c r="J706" s="284" t="str">
        <f t="shared" si="70"/>
        <v>Technisches Messen - TM │  ISSN:  0171-8096 *</v>
      </c>
      <c r="L706" s="243" t="s">
        <v>5393</v>
      </c>
    </row>
    <row r="707" spans="1:12" ht="26.25" hidden="1" customHeight="1">
      <c r="A707" s="17">
        <f t="shared" si="0"/>
        <v>704</v>
      </c>
      <c r="B707" s="18" t="s">
        <v>1375</v>
      </c>
      <c r="C707" s="31" t="s">
        <v>3275</v>
      </c>
      <c r="D707" s="20" t="s">
        <v>3277</v>
      </c>
      <c r="E707" s="32" t="s">
        <v>3278</v>
      </c>
      <c r="F707" s="22" t="s">
        <v>53</v>
      </c>
      <c r="G707" s="23" t="s">
        <v>3279</v>
      </c>
      <c r="H707" s="24" t="s">
        <v>55</v>
      </c>
    </row>
    <row r="708" spans="1:12" ht="26.25" customHeight="1">
      <c r="A708" s="17">
        <f t="shared" si="0"/>
        <v>705</v>
      </c>
      <c r="B708" s="18" t="s">
        <v>1368</v>
      </c>
      <c r="C708" s="19" t="s">
        <v>3280</v>
      </c>
      <c r="D708" s="20" t="s">
        <v>3281</v>
      </c>
      <c r="E708" s="32" t="s">
        <v>52</v>
      </c>
      <c r="F708" s="33" t="s">
        <v>3282</v>
      </c>
      <c r="G708" s="23" t="s">
        <v>3283</v>
      </c>
      <c r="H708" s="24" t="s">
        <v>20</v>
      </c>
      <c r="J708" s="284" t="str">
        <f t="shared" ref="J708:J709" si="71">CONCATENATE(C708," │  ISSN:  ",D708," *")</f>
        <v>Technology and Culture │  ISSN:  0040-165X *</v>
      </c>
      <c r="L708" s="243" t="s">
        <v>5394</v>
      </c>
    </row>
    <row r="709" spans="1:12" ht="26.25" customHeight="1">
      <c r="A709" s="17">
        <f t="shared" si="0"/>
        <v>706</v>
      </c>
      <c r="B709" s="18" t="s">
        <v>248</v>
      </c>
      <c r="C709" s="19" t="s">
        <v>3284</v>
      </c>
      <c r="D709" s="20" t="s">
        <v>3286</v>
      </c>
      <c r="E709" s="32" t="s">
        <v>5077</v>
      </c>
      <c r="F709" s="33" t="s">
        <v>42</v>
      </c>
      <c r="G709" s="23" t="s">
        <v>3287</v>
      </c>
      <c r="H709" s="24" t="s">
        <v>20</v>
      </c>
      <c r="J709" s="284" t="str">
        <f t="shared" si="71"/>
        <v>Technometrics │  ISSN:  0040-1706 *</v>
      </c>
      <c r="L709" s="243" t="s">
        <v>5395</v>
      </c>
    </row>
    <row r="710" spans="1:12" ht="26.25" hidden="1" customHeight="1">
      <c r="A710" s="17">
        <f t="shared" si="0"/>
        <v>707</v>
      </c>
      <c r="B710" s="18" t="s">
        <v>27</v>
      </c>
      <c r="C710" s="31" t="s">
        <v>3288</v>
      </c>
      <c r="D710" s="20" t="s">
        <v>3289</v>
      </c>
      <c r="E710" s="32">
        <v>2013</v>
      </c>
      <c r="F710" s="22" t="s">
        <v>42</v>
      </c>
      <c r="G710" s="23" t="s">
        <v>3290</v>
      </c>
      <c r="H710" s="24" t="s">
        <v>55</v>
      </c>
    </row>
    <row r="711" spans="1:12" ht="26.25" customHeight="1">
      <c r="A711" s="17">
        <f t="shared" si="0"/>
        <v>708</v>
      </c>
      <c r="B711" s="18" t="s">
        <v>37</v>
      </c>
      <c r="C711" s="19" t="s">
        <v>3291</v>
      </c>
      <c r="D711" s="20" t="s">
        <v>3292</v>
      </c>
      <c r="E711" s="32" t="s">
        <v>4960</v>
      </c>
      <c r="F711" s="22" t="s">
        <v>42</v>
      </c>
      <c r="G711" s="23" t="s">
        <v>3293</v>
      </c>
      <c r="H711" s="24" t="s">
        <v>20</v>
      </c>
      <c r="J711" s="284" t="str">
        <f>CONCATENATE(C711," │  ISSN:  ",D711," *")</f>
        <v>Textile Research Journal │  ISSN:  0040-5175 *</v>
      </c>
      <c r="L711" s="243" t="s">
        <v>5396</v>
      </c>
    </row>
    <row r="712" spans="1:12" ht="26.25" hidden="1" customHeight="1">
      <c r="A712" s="17">
        <f t="shared" si="0"/>
        <v>709</v>
      </c>
      <c r="B712" s="18" t="s">
        <v>233</v>
      </c>
      <c r="C712" s="31" t="s">
        <v>3294</v>
      </c>
      <c r="D712" s="20" t="s">
        <v>3295</v>
      </c>
      <c r="E712" s="32" t="s">
        <v>222</v>
      </c>
      <c r="F712" s="22" t="s">
        <v>42</v>
      </c>
      <c r="G712" s="23" t="s">
        <v>3296</v>
      </c>
      <c r="H712" s="24" t="s">
        <v>55</v>
      </c>
    </row>
    <row r="713" spans="1:12" ht="26.25" hidden="1" customHeight="1">
      <c r="A713" s="17">
        <f t="shared" si="0"/>
        <v>710</v>
      </c>
      <c r="B713" s="18" t="s">
        <v>175</v>
      </c>
      <c r="C713" s="31" t="s">
        <v>3297</v>
      </c>
      <c r="D713" s="20" t="s">
        <v>3299</v>
      </c>
      <c r="E713" s="32" t="s">
        <v>3300</v>
      </c>
      <c r="F713" s="33" t="s">
        <v>42</v>
      </c>
      <c r="G713" s="23" t="s">
        <v>3301</v>
      </c>
      <c r="H713" s="24" t="s">
        <v>55</v>
      </c>
    </row>
    <row r="714" spans="1:12" ht="26.25" hidden="1" customHeight="1">
      <c r="A714" s="17">
        <f t="shared" si="0"/>
        <v>711</v>
      </c>
      <c r="B714" s="18" t="s">
        <v>105</v>
      </c>
      <c r="C714" s="31" t="s">
        <v>3302</v>
      </c>
      <c r="D714" s="20" t="s">
        <v>3304</v>
      </c>
      <c r="E714" s="32" t="s">
        <v>252</v>
      </c>
      <c r="F714" s="33" t="s">
        <v>42</v>
      </c>
      <c r="G714" s="23" t="s">
        <v>3305</v>
      </c>
      <c r="H714" s="24" t="s">
        <v>55</v>
      </c>
    </row>
    <row r="715" spans="1:12" ht="26.25" customHeight="1">
      <c r="A715" s="17">
        <f t="shared" si="0"/>
        <v>712</v>
      </c>
      <c r="B715" s="18" t="s">
        <v>105</v>
      </c>
      <c r="C715" s="31" t="s">
        <v>3306</v>
      </c>
      <c r="D715" s="20" t="s">
        <v>3307</v>
      </c>
      <c r="E715" s="21" t="s">
        <v>5058</v>
      </c>
      <c r="F715" s="33" t="s">
        <v>42</v>
      </c>
      <c r="G715" s="23" t="s">
        <v>3309</v>
      </c>
      <c r="H715" s="34" t="s">
        <v>20</v>
      </c>
      <c r="J715" s="284" t="str">
        <f t="shared" ref="J715:J719" si="72">CONCATENATE(C715," │  ISSN:  ",D715," *")</f>
        <v>The American Mathematical Monthly │  ISSN:  0002-9890 *</v>
      </c>
      <c r="L715" s="243" t="s">
        <v>5397</v>
      </c>
    </row>
    <row r="716" spans="1:12" ht="26.25" customHeight="1">
      <c r="A716" s="17">
        <f t="shared" si="0"/>
        <v>713</v>
      </c>
      <c r="B716" s="18" t="s">
        <v>105</v>
      </c>
      <c r="C716" s="31" t="s">
        <v>3310</v>
      </c>
      <c r="D716" s="20" t="s">
        <v>3311</v>
      </c>
      <c r="E716" s="21" t="s">
        <v>5059</v>
      </c>
      <c r="F716" s="33" t="s">
        <v>42</v>
      </c>
      <c r="G716" s="23" t="s">
        <v>3313</v>
      </c>
      <c r="H716" s="34" t="s">
        <v>20</v>
      </c>
      <c r="J716" s="284" t="str">
        <f t="shared" si="72"/>
        <v>The American Mineralogist │  ISSN:  0003-004X *</v>
      </c>
      <c r="L716" s="243" t="s">
        <v>5398</v>
      </c>
    </row>
    <row r="717" spans="1:12" ht="26.25" customHeight="1">
      <c r="A717" s="17">
        <f t="shared" si="0"/>
        <v>714</v>
      </c>
      <c r="B717" s="18" t="s">
        <v>105</v>
      </c>
      <c r="C717" s="31" t="s">
        <v>3314</v>
      </c>
      <c r="D717" s="20" t="s">
        <v>3315</v>
      </c>
      <c r="E717" s="21" t="s">
        <v>5080</v>
      </c>
      <c r="F717" s="33" t="s">
        <v>42</v>
      </c>
      <c r="G717" s="23" t="s">
        <v>3317</v>
      </c>
      <c r="H717" s="34" t="s">
        <v>20</v>
      </c>
      <c r="J717" s="284" t="str">
        <f t="shared" si="72"/>
        <v>The Annals of Statistics │  ISSN:  0090-5364 *</v>
      </c>
      <c r="L717" s="243" t="s">
        <v>5399</v>
      </c>
    </row>
    <row r="718" spans="1:12" ht="26.25" customHeight="1">
      <c r="A718" s="17">
        <f t="shared" si="0"/>
        <v>715</v>
      </c>
      <c r="B718" s="18" t="s">
        <v>13</v>
      </c>
      <c r="C718" s="19" t="s">
        <v>3318</v>
      </c>
      <c r="D718" s="20" t="s">
        <v>3320</v>
      </c>
      <c r="E718" s="32" t="s">
        <v>4960</v>
      </c>
      <c r="F718" s="33" t="s">
        <v>53</v>
      </c>
      <c r="G718" s="23" t="s">
        <v>3321</v>
      </c>
      <c r="H718" s="24" t="s">
        <v>20</v>
      </c>
      <c r="J718" s="284" t="str">
        <f t="shared" si="72"/>
        <v>The Architects' Journal │  ISSN:  0003-8466 *</v>
      </c>
      <c r="L718" s="243" t="s">
        <v>5400</v>
      </c>
    </row>
    <row r="719" spans="1:12" ht="26.25" customHeight="1">
      <c r="A719" s="17">
        <f t="shared" si="0"/>
        <v>716</v>
      </c>
      <c r="B719" s="18" t="s">
        <v>13</v>
      </c>
      <c r="C719" s="19" t="s">
        <v>3322</v>
      </c>
      <c r="D719" s="20" t="s">
        <v>3324</v>
      </c>
      <c r="E719" s="32" t="s">
        <v>3775</v>
      </c>
      <c r="F719" s="22" t="s">
        <v>2552</v>
      </c>
      <c r="G719" s="23" t="s">
        <v>3325</v>
      </c>
      <c r="H719" s="24" t="s">
        <v>20</v>
      </c>
      <c r="J719" s="284" t="str">
        <f t="shared" si="72"/>
        <v>The Architectural Review │  ISSN:  0003-861X *</v>
      </c>
      <c r="L719" s="243" t="s">
        <v>5401</v>
      </c>
    </row>
    <row r="720" spans="1:12" ht="26.25" hidden="1" customHeight="1">
      <c r="A720" s="17">
        <f t="shared" si="0"/>
        <v>717</v>
      </c>
      <c r="B720" s="18" t="s">
        <v>105</v>
      </c>
      <c r="C720" s="31" t="s">
        <v>3326</v>
      </c>
      <c r="D720" s="20" t="s">
        <v>58</v>
      </c>
      <c r="E720" s="32" t="s">
        <v>3327</v>
      </c>
      <c r="F720" s="33" t="s">
        <v>42</v>
      </c>
      <c r="G720" s="23" t="s">
        <v>3328</v>
      </c>
      <c r="H720" s="24" t="s">
        <v>55</v>
      </c>
    </row>
    <row r="721" spans="1:12" ht="26.25" hidden="1" customHeight="1">
      <c r="A721" s="17">
        <f t="shared" si="0"/>
        <v>718</v>
      </c>
      <c r="B721" s="18" t="s">
        <v>105</v>
      </c>
      <c r="C721" s="31" t="s">
        <v>3329</v>
      </c>
      <c r="D721" s="20" t="s">
        <v>3330</v>
      </c>
      <c r="E721" s="32" t="s">
        <v>3331</v>
      </c>
      <c r="F721" s="33" t="s">
        <v>42</v>
      </c>
      <c r="G721" s="23" t="s">
        <v>3332</v>
      </c>
      <c r="H721" s="24" t="s">
        <v>55</v>
      </c>
    </row>
    <row r="722" spans="1:12" ht="26.25" hidden="1" customHeight="1">
      <c r="A722" s="17">
        <f t="shared" si="0"/>
        <v>719</v>
      </c>
      <c r="B722" s="18" t="s">
        <v>13</v>
      </c>
      <c r="C722" s="31" t="s">
        <v>3333</v>
      </c>
      <c r="D722" s="20" t="s">
        <v>937</v>
      </c>
      <c r="E722" s="32" t="s">
        <v>170</v>
      </c>
      <c r="F722" s="33" t="s">
        <v>42</v>
      </c>
      <c r="G722" s="23" t="s">
        <v>3335</v>
      </c>
      <c r="H722" s="24" t="s">
        <v>55</v>
      </c>
    </row>
    <row r="723" spans="1:12" ht="26.25" hidden="1" customHeight="1">
      <c r="A723" s="17">
        <f t="shared" si="0"/>
        <v>720</v>
      </c>
      <c r="B723" s="18" t="s">
        <v>105</v>
      </c>
      <c r="C723" s="31" t="s">
        <v>3336</v>
      </c>
      <c r="D723" s="20" t="s">
        <v>3337</v>
      </c>
      <c r="E723" s="32" t="s">
        <v>3338</v>
      </c>
      <c r="F723" s="33" t="s">
        <v>42</v>
      </c>
      <c r="G723" s="23" t="s">
        <v>3339</v>
      </c>
      <c r="H723" s="24" t="s">
        <v>55</v>
      </c>
    </row>
    <row r="724" spans="1:12" ht="26.25" customHeight="1">
      <c r="A724" s="17">
        <f t="shared" si="0"/>
        <v>721</v>
      </c>
      <c r="B724" s="18" t="s">
        <v>105</v>
      </c>
      <c r="C724" s="31" t="s">
        <v>3340</v>
      </c>
      <c r="D724" s="20" t="s">
        <v>3341</v>
      </c>
      <c r="E724" s="21" t="s">
        <v>5010</v>
      </c>
      <c r="F724" s="33" t="s">
        <v>63</v>
      </c>
      <c r="G724" s="23" t="s">
        <v>3342</v>
      </c>
      <c r="H724" s="34" t="s">
        <v>20</v>
      </c>
      <c r="J724" s="284" t="str">
        <f>CONCATENATE(C724," │  ISSN:  ",D724," *")</f>
        <v>The College Mathematics Journal │  ISSN:  0746-8342 *</v>
      </c>
      <c r="L724" s="243" t="s">
        <v>5402</v>
      </c>
    </row>
    <row r="725" spans="1:12" ht="26.25" hidden="1" customHeight="1">
      <c r="A725" s="17">
        <f t="shared" si="0"/>
        <v>722</v>
      </c>
      <c r="B725" s="18" t="s">
        <v>27</v>
      </c>
      <c r="C725" s="31" t="s">
        <v>3343</v>
      </c>
      <c r="D725" s="20" t="s">
        <v>991</v>
      </c>
      <c r="E725" s="32" t="s">
        <v>170</v>
      </c>
      <c r="F725" s="22" t="s">
        <v>53</v>
      </c>
      <c r="G725" s="23" t="s">
        <v>3345</v>
      </c>
      <c r="H725" s="24" t="s">
        <v>55</v>
      </c>
    </row>
    <row r="726" spans="1:12" ht="26.25" hidden="1" customHeight="1">
      <c r="A726" s="17">
        <f t="shared" si="0"/>
        <v>723</v>
      </c>
      <c r="B726" s="18" t="s">
        <v>27</v>
      </c>
      <c r="C726" s="31" t="s">
        <v>3346</v>
      </c>
      <c r="D726" s="20" t="s">
        <v>247</v>
      </c>
      <c r="E726" s="32" t="s">
        <v>3347</v>
      </c>
      <c r="F726" s="22" t="s">
        <v>1086</v>
      </c>
      <c r="G726" s="23" t="s">
        <v>3348</v>
      </c>
      <c r="H726" s="24" t="s">
        <v>55</v>
      </c>
    </row>
    <row r="727" spans="1:12" ht="26.25" customHeight="1">
      <c r="A727" s="17">
        <f t="shared" si="0"/>
        <v>724</v>
      </c>
      <c r="B727" s="18" t="s">
        <v>105</v>
      </c>
      <c r="C727" s="31" t="s">
        <v>3349</v>
      </c>
      <c r="D727" s="20" t="s">
        <v>3351</v>
      </c>
      <c r="E727" s="21" t="s">
        <v>5063</v>
      </c>
      <c r="F727" s="33" t="s">
        <v>1086</v>
      </c>
      <c r="G727" s="23" t="s">
        <v>3353</v>
      </c>
      <c r="H727" s="34" t="s">
        <v>20</v>
      </c>
      <c r="J727" s="284" t="str">
        <f>CONCATENATE(C727," │  ISSN:  ",D727," *")</f>
        <v>The Fibonacci Quarterly │  ISSN:  0015-0517 *</v>
      </c>
      <c r="L727" s="243" t="s">
        <v>5403</v>
      </c>
    </row>
    <row r="728" spans="1:12" ht="26.25" hidden="1" customHeight="1">
      <c r="A728" s="17">
        <f t="shared" si="0"/>
        <v>725</v>
      </c>
      <c r="B728" s="18" t="s">
        <v>13</v>
      </c>
      <c r="C728" s="31" t="s">
        <v>800</v>
      </c>
      <c r="D728" s="20" t="s">
        <v>802</v>
      </c>
      <c r="E728" s="32" t="s">
        <v>170</v>
      </c>
      <c r="F728" s="22" t="s">
        <v>63</v>
      </c>
      <c r="G728" s="23" t="s">
        <v>3355</v>
      </c>
      <c r="H728" s="24" t="s">
        <v>55</v>
      </c>
    </row>
    <row r="729" spans="1:12" ht="26.25" hidden="1" customHeight="1">
      <c r="A729" s="17">
        <f t="shared" si="0"/>
        <v>726</v>
      </c>
      <c r="B729" s="18" t="s">
        <v>81</v>
      </c>
      <c r="C729" s="31" t="s">
        <v>3356</v>
      </c>
      <c r="D729" s="20" t="s">
        <v>3357</v>
      </c>
      <c r="E729" s="32" t="s">
        <v>3358</v>
      </c>
      <c r="F729" s="33" t="s">
        <v>42</v>
      </c>
      <c r="G729" s="23" t="s">
        <v>3359</v>
      </c>
      <c r="H729" s="24" t="s">
        <v>55</v>
      </c>
    </row>
    <row r="730" spans="1:12" ht="26.25" customHeight="1">
      <c r="A730" s="17">
        <f t="shared" si="0"/>
        <v>727</v>
      </c>
      <c r="B730" s="18" t="s">
        <v>233</v>
      </c>
      <c r="C730" s="19" t="s">
        <v>3360</v>
      </c>
      <c r="D730" s="20" t="s">
        <v>3361</v>
      </c>
      <c r="E730" s="32" t="s">
        <v>186</v>
      </c>
      <c r="F730" s="22" t="s">
        <v>42</v>
      </c>
      <c r="G730" s="23" t="s">
        <v>3362</v>
      </c>
      <c r="H730" s="24" t="s">
        <v>20</v>
      </c>
      <c r="J730" s="284" t="str">
        <f>CONCATENATE(C730," │  ISSN:  ",D730," *")</f>
        <v>The International Journal of Aeroacoustics │  ISSN:  1475-472X *</v>
      </c>
      <c r="L730" s="243" t="s">
        <v>5404</v>
      </c>
    </row>
    <row r="731" spans="1:12" ht="26.25" hidden="1" customHeight="1">
      <c r="A731" s="17">
        <f t="shared" si="0"/>
        <v>728</v>
      </c>
      <c r="B731" s="18" t="s">
        <v>132</v>
      </c>
      <c r="C731" s="31" t="s">
        <v>3363</v>
      </c>
      <c r="D731" s="20" t="s">
        <v>3364</v>
      </c>
      <c r="E731" s="32" t="s">
        <v>222</v>
      </c>
      <c r="F731" s="22" t="s">
        <v>42</v>
      </c>
      <c r="G731" s="23" t="s">
        <v>3365</v>
      </c>
      <c r="H731" s="24" t="s">
        <v>55</v>
      </c>
    </row>
    <row r="732" spans="1:12" ht="26.25" customHeight="1">
      <c r="A732" s="17">
        <f t="shared" si="0"/>
        <v>729</v>
      </c>
      <c r="B732" s="18" t="s">
        <v>37</v>
      </c>
      <c r="C732" s="19" t="s">
        <v>3366</v>
      </c>
      <c r="D732" s="20" t="s">
        <v>3367</v>
      </c>
      <c r="E732" s="32" t="s">
        <v>52</v>
      </c>
      <c r="F732" s="22" t="s">
        <v>42</v>
      </c>
      <c r="G732" s="23" t="s">
        <v>3368</v>
      </c>
      <c r="H732" s="24" t="s">
        <v>20</v>
      </c>
      <c r="J732" s="284" t="str">
        <f t="shared" ref="J732:J734" si="73">CONCATENATE(C732," │  ISSN:  ",D732," *")</f>
        <v>The International Journal of Cast Metals Research │  ISSN:  1364-0461 *</v>
      </c>
      <c r="L732" s="243" t="s">
        <v>5405</v>
      </c>
    </row>
    <row r="733" spans="1:12" ht="26.25" customHeight="1">
      <c r="A733" s="17">
        <f t="shared" si="0"/>
        <v>730</v>
      </c>
      <c r="B733" s="18" t="s">
        <v>13</v>
      </c>
      <c r="C733" s="19" t="s">
        <v>3369</v>
      </c>
      <c r="D733" s="20" t="s">
        <v>3370</v>
      </c>
      <c r="E733" s="32" t="s">
        <v>52</v>
      </c>
      <c r="F733" s="22" t="s">
        <v>42</v>
      </c>
      <c r="G733" s="23" t="s">
        <v>3371</v>
      </c>
      <c r="H733" s="24" t="s">
        <v>20</v>
      </c>
      <c r="J733" s="284" t="str">
        <f t="shared" si="73"/>
        <v>The International Journal of Pavement Engineering │  ISSN:  1029-8436 *</v>
      </c>
      <c r="L733" s="243" t="s">
        <v>5406</v>
      </c>
    </row>
    <row r="734" spans="1:12" ht="26.25" customHeight="1">
      <c r="A734" s="17">
        <f t="shared" si="0"/>
        <v>731</v>
      </c>
      <c r="B734" s="18" t="s">
        <v>27</v>
      </c>
      <c r="C734" s="19" t="s">
        <v>3372</v>
      </c>
      <c r="D734" s="20" t="s">
        <v>3373</v>
      </c>
      <c r="E734" s="32" t="s">
        <v>52</v>
      </c>
      <c r="F734" s="22" t="s">
        <v>42</v>
      </c>
      <c r="G734" s="23" t="s">
        <v>3374</v>
      </c>
      <c r="H734" s="24" t="s">
        <v>20</v>
      </c>
      <c r="J734" s="284" t="str">
        <f t="shared" si="73"/>
        <v>The Journal of Adhesion │  ISSN:  0021-8464 *</v>
      </c>
      <c r="L734" s="243" t="s">
        <v>5407</v>
      </c>
    </row>
    <row r="735" spans="1:12" ht="26.25" hidden="1" customHeight="1">
      <c r="A735" s="17">
        <f t="shared" si="0"/>
        <v>732</v>
      </c>
      <c r="B735" s="18" t="s">
        <v>105</v>
      </c>
      <c r="C735" s="31" t="s">
        <v>3375</v>
      </c>
      <c r="D735" s="20" t="s">
        <v>3376</v>
      </c>
      <c r="E735" s="32" t="s">
        <v>3377</v>
      </c>
      <c r="F735" s="33" t="s">
        <v>42</v>
      </c>
      <c r="G735" s="23" t="s">
        <v>3378</v>
      </c>
      <c r="H735" s="24" t="s">
        <v>55</v>
      </c>
    </row>
    <row r="736" spans="1:12" ht="26.25" customHeight="1">
      <c r="A736" s="17">
        <f t="shared" si="0"/>
        <v>733</v>
      </c>
      <c r="B736" s="18" t="s">
        <v>37</v>
      </c>
      <c r="C736" s="19" t="s">
        <v>3379</v>
      </c>
      <c r="D736" s="20" t="s">
        <v>3380</v>
      </c>
      <c r="E736" s="32" t="s">
        <v>5019</v>
      </c>
      <c r="F736" s="22" t="s">
        <v>42</v>
      </c>
      <c r="G736" s="23" t="s">
        <v>3382</v>
      </c>
      <c r="H736" s="24" t="s">
        <v>20</v>
      </c>
      <c r="J736" s="284" t="str">
        <f>CONCATENATE(C736," │  ISSN:  ",D736," *")</f>
        <v>The Journal of Elastomers and Plastics │  ISSN:  0095-2443 *</v>
      </c>
      <c r="L736" s="243" t="s">
        <v>5408</v>
      </c>
    </row>
    <row r="737" spans="1:12" ht="26.25" hidden="1" customHeight="1">
      <c r="A737" s="17">
        <f t="shared" si="0"/>
        <v>734</v>
      </c>
      <c r="B737" s="18" t="s">
        <v>27</v>
      </c>
      <c r="C737" s="31" t="s">
        <v>1083</v>
      </c>
      <c r="D737" s="20" t="s">
        <v>1085</v>
      </c>
      <c r="E737" s="32" t="s">
        <v>170</v>
      </c>
      <c r="F737" s="22" t="s">
        <v>53</v>
      </c>
      <c r="G737" s="23" t="s">
        <v>3384</v>
      </c>
      <c r="H737" s="24" t="s">
        <v>55</v>
      </c>
    </row>
    <row r="738" spans="1:12" ht="26.25" customHeight="1">
      <c r="A738" s="17">
        <f t="shared" si="0"/>
        <v>735</v>
      </c>
      <c r="B738" s="18" t="s">
        <v>175</v>
      </c>
      <c r="C738" s="31" t="s">
        <v>3385</v>
      </c>
      <c r="D738" s="20" t="s">
        <v>3387</v>
      </c>
      <c r="E738" s="21" t="s">
        <v>5070</v>
      </c>
      <c r="F738" s="33" t="s">
        <v>42</v>
      </c>
      <c r="G738" s="23" t="s">
        <v>3388</v>
      </c>
      <c r="H738" s="34" t="s">
        <v>20</v>
      </c>
      <c r="J738" s="284" t="str">
        <f>CONCATENATE(C738," │  ISSN:  ",D738," *")</f>
        <v>The Journal of General and Applied Microbiology │  ISSN:  0022-1260 *</v>
      </c>
      <c r="L738" s="243" t="s">
        <v>5409</v>
      </c>
    </row>
    <row r="739" spans="1:12" ht="26.25" hidden="1" customHeight="1">
      <c r="A739" s="17">
        <f t="shared" si="0"/>
        <v>736</v>
      </c>
      <c r="B739" s="18" t="s">
        <v>175</v>
      </c>
      <c r="C739" s="31" t="s">
        <v>3389</v>
      </c>
      <c r="D739" s="20" t="s">
        <v>3391</v>
      </c>
      <c r="E739" s="32" t="s">
        <v>3392</v>
      </c>
      <c r="F739" s="33" t="s">
        <v>42</v>
      </c>
      <c r="G739" s="23" t="s">
        <v>3393</v>
      </c>
      <c r="H739" s="24" t="s">
        <v>55</v>
      </c>
    </row>
    <row r="740" spans="1:12" ht="26.25" hidden="1" customHeight="1">
      <c r="A740" s="17">
        <f t="shared" si="0"/>
        <v>737</v>
      </c>
      <c r="B740" s="18" t="s">
        <v>2181</v>
      </c>
      <c r="C740" s="31" t="s">
        <v>3394</v>
      </c>
      <c r="D740" s="20" t="s">
        <v>3395</v>
      </c>
      <c r="E740" s="32" t="s">
        <v>3396</v>
      </c>
      <c r="F740" s="33" t="s">
        <v>350</v>
      </c>
      <c r="G740" s="23" t="s">
        <v>3397</v>
      </c>
      <c r="H740" s="24" t="s">
        <v>55</v>
      </c>
    </row>
    <row r="741" spans="1:12" ht="26.25" customHeight="1">
      <c r="A741" s="17">
        <f t="shared" si="0"/>
        <v>738</v>
      </c>
      <c r="B741" s="18" t="s">
        <v>1375</v>
      </c>
      <c r="C741" s="19" t="s">
        <v>3398</v>
      </c>
      <c r="D741" s="20" t="s">
        <v>3399</v>
      </c>
      <c r="E741" s="32" t="s">
        <v>52</v>
      </c>
      <c r="F741" s="22" t="s">
        <v>42</v>
      </c>
      <c r="G741" s="23" t="s">
        <v>3400</v>
      </c>
      <c r="H741" s="24" t="s">
        <v>20</v>
      </c>
      <c r="J741" s="284" t="str">
        <f>CONCATENATE(C741," │  ISSN:  ",D741," *")</f>
        <v>The Journal of Navigation │  ISSN:  0373-4633 *</v>
      </c>
      <c r="L741" s="243" t="s">
        <v>5410</v>
      </c>
    </row>
    <row r="742" spans="1:12" ht="26.25" hidden="1" customHeight="1">
      <c r="A742" s="17">
        <f t="shared" si="0"/>
        <v>739</v>
      </c>
      <c r="B742" s="18" t="s">
        <v>175</v>
      </c>
      <c r="C742" s="31" t="s">
        <v>3401</v>
      </c>
      <c r="D742" s="20" t="s">
        <v>3402</v>
      </c>
      <c r="E742" s="32" t="s">
        <v>3403</v>
      </c>
      <c r="F742" s="33" t="s">
        <v>42</v>
      </c>
      <c r="G742" s="23" t="s">
        <v>3404</v>
      </c>
      <c r="H742" s="24" t="s">
        <v>55</v>
      </c>
    </row>
    <row r="743" spans="1:12" ht="26.25" customHeight="1">
      <c r="A743" s="17">
        <f t="shared" si="0"/>
        <v>740</v>
      </c>
      <c r="B743" s="18" t="s">
        <v>132</v>
      </c>
      <c r="C743" s="19" t="s">
        <v>3405</v>
      </c>
      <c r="D743" s="20" t="s">
        <v>1517</v>
      </c>
      <c r="E743" s="32" t="s">
        <v>52</v>
      </c>
      <c r="F743" s="22" t="s">
        <v>42</v>
      </c>
      <c r="G743" s="23" t="s">
        <v>3406</v>
      </c>
      <c r="H743" s="24" t="s">
        <v>20</v>
      </c>
      <c r="J743" s="284" t="str">
        <f>CONCATENATE(C743," │  ISSN:  ",D743," *")</f>
        <v>The Journal of Strain Analysis for Engineering Design │  ISSN:  0309-3247 *</v>
      </c>
      <c r="L743" s="243" t="s">
        <v>5411</v>
      </c>
    </row>
    <row r="744" spans="1:12" ht="26.25" hidden="1" customHeight="1">
      <c r="A744" s="17">
        <f t="shared" si="0"/>
        <v>741</v>
      </c>
      <c r="B744" s="18" t="s">
        <v>233</v>
      </c>
      <c r="C744" s="31" t="s">
        <v>3407</v>
      </c>
      <c r="D744" s="20" t="s">
        <v>122</v>
      </c>
      <c r="E744" s="32" t="s">
        <v>3409</v>
      </c>
      <c r="F744" s="22" t="s">
        <v>42</v>
      </c>
      <c r="G744" s="23" t="s">
        <v>3410</v>
      </c>
      <c r="H744" s="24" t="s">
        <v>55</v>
      </c>
    </row>
    <row r="745" spans="1:12" ht="26.25" customHeight="1">
      <c r="A745" s="17">
        <f t="shared" si="0"/>
        <v>742</v>
      </c>
      <c r="B745" s="18" t="s">
        <v>37</v>
      </c>
      <c r="C745" s="19" t="s">
        <v>3411</v>
      </c>
      <c r="D745" s="20" t="s">
        <v>3412</v>
      </c>
      <c r="E745" s="32" t="s">
        <v>4144</v>
      </c>
      <c r="F745" s="22" t="s">
        <v>42</v>
      </c>
      <c r="G745" s="23" t="s">
        <v>3413</v>
      </c>
      <c r="H745" s="24" t="s">
        <v>20</v>
      </c>
      <c r="J745" s="284" t="str">
        <f>CONCATENATE(C745," │  ISSN:  ",D745," *")</f>
        <v>The Journal of the Textile Institute │  ISSN:  0040-5000 *</v>
      </c>
      <c r="L745" s="243" t="s">
        <v>5412</v>
      </c>
    </row>
    <row r="746" spans="1:12" ht="26.25" hidden="1" customHeight="1">
      <c r="A746" s="17">
        <f t="shared" si="0"/>
        <v>743</v>
      </c>
      <c r="B746" s="18" t="s">
        <v>105</v>
      </c>
      <c r="C746" s="31" t="s">
        <v>3414</v>
      </c>
      <c r="D746" s="20" t="s">
        <v>3416</v>
      </c>
      <c r="E746" s="32" t="s">
        <v>738</v>
      </c>
      <c r="F746" s="33" t="s">
        <v>42</v>
      </c>
      <c r="G746" s="23" t="s">
        <v>3417</v>
      </c>
      <c r="H746" s="24" t="s">
        <v>55</v>
      </c>
    </row>
    <row r="747" spans="1:12" ht="26.25" hidden="1" customHeight="1">
      <c r="A747" s="17">
        <f t="shared" si="0"/>
        <v>744</v>
      </c>
      <c r="B747" s="18" t="s">
        <v>1375</v>
      </c>
      <c r="C747" s="31" t="s">
        <v>3418</v>
      </c>
      <c r="D747" s="20" t="s">
        <v>1163</v>
      </c>
      <c r="E747" s="32" t="s">
        <v>3419</v>
      </c>
      <c r="F747" s="22" t="s">
        <v>53</v>
      </c>
      <c r="G747" s="23" t="s">
        <v>3420</v>
      </c>
      <c r="H747" s="24" t="s">
        <v>55</v>
      </c>
    </row>
    <row r="748" spans="1:12" ht="26.25" hidden="1" customHeight="1">
      <c r="A748" s="17">
        <f t="shared" si="0"/>
        <v>745</v>
      </c>
      <c r="B748" s="18" t="s">
        <v>146</v>
      </c>
      <c r="C748" s="31" t="s">
        <v>3421</v>
      </c>
      <c r="D748" s="20" t="s">
        <v>1182</v>
      </c>
      <c r="E748" s="32" t="s">
        <v>170</v>
      </c>
      <c r="F748" s="33" t="s">
        <v>31</v>
      </c>
      <c r="G748" s="23" t="s">
        <v>3422</v>
      </c>
      <c r="H748" s="24" t="s">
        <v>55</v>
      </c>
    </row>
    <row r="749" spans="1:12" ht="26.25" hidden="1" customHeight="1">
      <c r="A749" s="17">
        <f t="shared" si="0"/>
        <v>746</v>
      </c>
      <c r="B749" s="18" t="s">
        <v>175</v>
      </c>
      <c r="C749" s="31" t="s">
        <v>3423</v>
      </c>
      <c r="D749" s="20" t="s">
        <v>3424</v>
      </c>
      <c r="E749" s="32" t="s">
        <v>3425</v>
      </c>
      <c r="F749" s="33" t="s">
        <v>42</v>
      </c>
      <c r="G749" s="23" t="s">
        <v>3426</v>
      </c>
      <c r="H749" s="24" t="s">
        <v>55</v>
      </c>
    </row>
    <row r="750" spans="1:12" ht="26.25" hidden="1" customHeight="1">
      <c r="A750" s="17">
        <f t="shared" si="0"/>
        <v>747</v>
      </c>
      <c r="B750" s="18" t="s">
        <v>132</v>
      </c>
      <c r="C750" s="31" t="s">
        <v>3427</v>
      </c>
      <c r="D750" s="20" t="s">
        <v>3428</v>
      </c>
      <c r="E750" s="32" t="s">
        <v>416</v>
      </c>
      <c r="F750" s="33" t="s">
        <v>42</v>
      </c>
      <c r="G750" s="23" t="s">
        <v>3429</v>
      </c>
      <c r="H750" s="24" t="s">
        <v>55</v>
      </c>
    </row>
    <row r="751" spans="1:12" ht="26.25" hidden="1" customHeight="1">
      <c r="A751" s="17">
        <f t="shared" si="0"/>
        <v>748</v>
      </c>
      <c r="B751" s="18" t="s">
        <v>13</v>
      </c>
      <c r="C751" s="31" t="s">
        <v>3430</v>
      </c>
      <c r="D751" s="20" t="s">
        <v>3432</v>
      </c>
      <c r="E751" s="32" t="s">
        <v>3433</v>
      </c>
      <c r="F751" s="33" t="s">
        <v>63</v>
      </c>
      <c r="G751" s="23" t="s">
        <v>3434</v>
      </c>
      <c r="H751" s="24" t="s">
        <v>55</v>
      </c>
    </row>
    <row r="752" spans="1:12" ht="26.25" hidden="1" customHeight="1">
      <c r="A752" s="17">
        <f t="shared" si="0"/>
        <v>749</v>
      </c>
      <c r="B752" s="18" t="s">
        <v>175</v>
      </c>
      <c r="C752" s="31" t="s">
        <v>3435</v>
      </c>
      <c r="D752" s="20" t="s">
        <v>3436</v>
      </c>
      <c r="E752" s="32" t="s">
        <v>3437</v>
      </c>
      <c r="F752" s="33" t="s">
        <v>42</v>
      </c>
      <c r="G752" s="23" t="s">
        <v>3438</v>
      </c>
      <c r="H752" s="24" t="s">
        <v>55</v>
      </c>
    </row>
    <row r="753" spans="1:12" ht="26.25" customHeight="1">
      <c r="A753" s="17">
        <f t="shared" si="0"/>
        <v>750</v>
      </c>
      <c r="B753" s="18" t="s">
        <v>105</v>
      </c>
      <c r="C753" s="31" t="s">
        <v>3439</v>
      </c>
      <c r="D753" s="20" t="s">
        <v>1547</v>
      </c>
      <c r="E753" s="32" t="s">
        <v>2902</v>
      </c>
      <c r="F753" s="33" t="s">
        <v>53</v>
      </c>
      <c r="G753" s="23" t="s">
        <v>3440</v>
      </c>
      <c r="H753" s="24" t="s">
        <v>20</v>
      </c>
      <c r="J753" s="284" t="str">
        <f>CONCATENATE(C753," │  ISSN:  ",D753," *")</f>
        <v>Topos │  ISSN:  0942-752X *</v>
      </c>
      <c r="L753" s="243" t="s">
        <v>5413</v>
      </c>
    </row>
    <row r="754" spans="1:12" ht="26.25" hidden="1" customHeight="1">
      <c r="A754" s="17">
        <f t="shared" si="0"/>
        <v>751</v>
      </c>
      <c r="B754" s="18" t="s">
        <v>13</v>
      </c>
      <c r="C754" s="31" t="s">
        <v>3441</v>
      </c>
      <c r="D754" s="20" t="s">
        <v>3443</v>
      </c>
      <c r="E754" s="32" t="s">
        <v>3444</v>
      </c>
      <c r="F754" s="22" t="s">
        <v>1086</v>
      </c>
      <c r="G754" s="23" t="s">
        <v>3445</v>
      </c>
      <c r="H754" s="24" t="s">
        <v>55</v>
      </c>
    </row>
    <row r="755" spans="1:12" ht="26.25" hidden="1" customHeight="1">
      <c r="A755" s="17">
        <f t="shared" si="0"/>
        <v>752</v>
      </c>
      <c r="B755" s="18" t="s">
        <v>1375</v>
      </c>
      <c r="C755" s="31" t="s">
        <v>3446</v>
      </c>
      <c r="D755" s="20" t="s">
        <v>3448</v>
      </c>
      <c r="E755" s="32" t="s">
        <v>3449</v>
      </c>
      <c r="F755" s="22" t="s">
        <v>53</v>
      </c>
      <c r="G755" s="23" t="s">
        <v>3450</v>
      </c>
      <c r="H755" s="24" t="s">
        <v>55</v>
      </c>
    </row>
    <row r="756" spans="1:12" ht="26.25" hidden="1" customHeight="1">
      <c r="A756" s="17">
        <f t="shared" si="0"/>
        <v>753</v>
      </c>
      <c r="B756" s="18" t="s">
        <v>1375</v>
      </c>
      <c r="C756" s="31" t="s">
        <v>3451</v>
      </c>
      <c r="D756" s="20" t="s">
        <v>3453</v>
      </c>
      <c r="E756" s="32" t="s">
        <v>3454</v>
      </c>
      <c r="F756" s="22" t="s">
        <v>53</v>
      </c>
      <c r="G756" s="23" t="s">
        <v>3455</v>
      </c>
      <c r="H756" s="24" t="s">
        <v>55</v>
      </c>
    </row>
    <row r="757" spans="1:12" ht="26.25" hidden="1" customHeight="1">
      <c r="A757" s="17">
        <f t="shared" si="0"/>
        <v>754</v>
      </c>
      <c r="B757" s="18" t="s">
        <v>37</v>
      </c>
      <c r="C757" s="31" t="s">
        <v>3456</v>
      </c>
      <c r="D757" s="20"/>
      <c r="E757" s="32" t="s">
        <v>170</v>
      </c>
      <c r="F757" s="33" t="s">
        <v>53</v>
      </c>
      <c r="G757" s="23" t="s">
        <v>3457</v>
      </c>
      <c r="H757" s="24" t="s">
        <v>55</v>
      </c>
    </row>
    <row r="758" spans="1:12" ht="26.25" customHeight="1">
      <c r="A758" s="17">
        <f t="shared" si="0"/>
        <v>755</v>
      </c>
      <c r="B758" s="18" t="s">
        <v>867</v>
      </c>
      <c r="C758" s="31" t="s">
        <v>3458</v>
      </c>
      <c r="D758" s="20" t="s">
        <v>3460</v>
      </c>
      <c r="E758" s="32" t="s">
        <v>2890</v>
      </c>
      <c r="F758" s="33" t="s">
        <v>42</v>
      </c>
      <c r="G758" s="23" t="s">
        <v>3461</v>
      </c>
      <c r="H758" s="24" t="s">
        <v>20</v>
      </c>
      <c r="J758" s="284" t="str">
        <f>CONCATENATE(C758," │  ISSN:  ",D758," *")</f>
        <v>Transactions of the ASABE │  ISSN:  2151-0032 *</v>
      </c>
      <c r="L758" s="243" t="s">
        <v>5414</v>
      </c>
    </row>
    <row r="759" spans="1:12" ht="26.25" hidden="1" customHeight="1">
      <c r="A759" s="17">
        <f t="shared" si="0"/>
        <v>756</v>
      </c>
      <c r="B759" s="18" t="s">
        <v>867</v>
      </c>
      <c r="C759" s="31" t="s">
        <v>3462</v>
      </c>
      <c r="D759" s="20" t="s">
        <v>3464</v>
      </c>
      <c r="E759" s="32" t="s">
        <v>3465</v>
      </c>
      <c r="F759" s="33" t="s">
        <v>53</v>
      </c>
      <c r="G759" s="23" t="s">
        <v>3466</v>
      </c>
      <c r="H759" s="24" t="s">
        <v>55</v>
      </c>
    </row>
    <row r="760" spans="1:12" ht="26.25" hidden="1" customHeight="1">
      <c r="A760" s="17">
        <f t="shared" si="0"/>
        <v>757</v>
      </c>
      <c r="B760" s="18" t="s">
        <v>132</v>
      </c>
      <c r="C760" s="31" t="s">
        <v>3467</v>
      </c>
      <c r="D760" s="20" t="s">
        <v>1235</v>
      </c>
      <c r="E760" s="32" t="s">
        <v>170</v>
      </c>
      <c r="F760" s="22" t="s">
        <v>42</v>
      </c>
      <c r="G760" s="23" t="s">
        <v>3469</v>
      </c>
      <c r="H760" s="24" t="s">
        <v>55</v>
      </c>
    </row>
    <row r="761" spans="1:12" ht="26.25" customHeight="1">
      <c r="A761" s="17">
        <f t="shared" si="0"/>
        <v>758</v>
      </c>
      <c r="B761" s="18" t="s">
        <v>37</v>
      </c>
      <c r="C761" s="19" t="s">
        <v>3470</v>
      </c>
      <c r="D761" s="20" t="s">
        <v>3471</v>
      </c>
      <c r="E761" s="32" t="s">
        <v>178</v>
      </c>
      <c r="F761" s="22" t="s">
        <v>31</v>
      </c>
      <c r="G761" s="23" t="s">
        <v>3472</v>
      </c>
      <c r="H761" s="24" t="s">
        <v>20</v>
      </c>
      <c r="J761" s="284" t="str">
        <f>CONCATENATE(C761," │  ISSN:  ",D761," *")</f>
        <v>Transactions of the Institute of Metal Finishing │  ISSN:  0020-2967 *</v>
      </c>
      <c r="L761" s="243" t="s">
        <v>5415</v>
      </c>
    </row>
    <row r="762" spans="1:12" ht="26.25" hidden="1" customHeight="1">
      <c r="A762" s="17">
        <f t="shared" si="0"/>
        <v>759</v>
      </c>
      <c r="B762" s="18" t="s">
        <v>233</v>
      </c>
      <c r="C762" s="31" t="s">
        <v>3473</v>
      </c>
      <c r="D762" s="20" t="s">
        <v>3475</v>
      </c>
      <c r="E762" s="32" t="s">
        <v>3476</v>
      </c>
      <c r="F762" s="22" t="s">
        <v>42</v>
      </c>
      <c r="G762" s="23" t="s">
        <v>3477</v>
      </c>
      <c r="H762" s="24" t="s">
        <v>55</v>
      </c>
    </row>
    <row r="763" spans="1:12" ht="26.25" customHeight="1">
      <c r="A763" s="17">
        <f t="shared" si="0"/>
        <v>760</v>
      </c>
      <c r="B763" s="18" t="s">
        <v>1375</v>
      </c>
      <c r="C763" s="19" t="s">
        <v>3478</v>
      </c>
      <c r="D763" s="20" t="s">
        <v>3479</v>
      </c>
      <c r="E763" s="32" t="s">
        <v>186</v>
      </c>
      <c r="F763" s="22" t="s">
        <v>31</v>
      </c>
      <c r="G763" s="23" t="s">
        <v>3480</v>
      </c>
      <c r="H763" s="24" t="s">
        <v>20</v>
      </c>
      <c r="J763" s="284" t="str">
        <f t="shared" ref="J763:J764" si="74">CONCATENATE(C763," │  ISSN:  ",D763," *")</f>
        <v>Transactions of the Royal Institution of Naval Architects Part A. │  ISSN:  1479-8751 *</v>
      </c>
      <c r="L763" s="243" t="s">
        <v>5416</v>
      </c>
    </row>
    <row r="764" spans="1:12" ht="26.25" customHeight="1">
      <c r="A764" s="17">
        <f t="shared" si="0"/>
        <v>761</v>
      </c>
      <c r="B764" s="18" t="s">
        <v>132</v>
      </c>
      <c r="C764" s="31" t="s">
        <v>1551</v>
      </c>
      <c r="D764" s="20" t="s">
        <v>1553</v>
      </c>
      <c r="E764" s="32" t="s">
        <v>52</v>
      </c>
      <c r="F764" s="22" t="s">
        <v>53</v>
      </c>
      <c r="G764" s="23" t="s">
        <v>3482</v>
      </c>
      <c r="H764" s="24" t="s">
        <v>20</v>
      </c>
      <c r="J764" s="284" t="str">
        <f t="shared" si="74"/>
        <v>Transmission Digest │  ISSN:  0277-8300 *</v>
      </c>
      <c r="L764" s="243" t="s">
        <v>5417</v>
      </c>
    </row>
    <row r="765" spans="1:12" ht="26.25" hidden="1" customHeight="1">
      <c r="A765" s="17">
        <f t="shared" si="0"/>
        <v>762</v>
      </c>
      <c r="B765" s="18" t="s">
        <v>132</v>
      </c>
      <c r="C765" s="31" t="s">
        <v>352</v>
      </c>
      <c r="D765" s="20" t="s">
        <v>354</v>
      </c>
      <c r="E765" s="32" t="s">
        <v>3483</v>
      </c>
      <c r="F765" s="22" t="s">
        <v>42</v>
      </c>
      <c r="G765" s="23" t="s">
        <v>3484</v>
      </c>
      <c r="H765" s="24" t="s">
        <v>55</v>
      </c>
    </row>
    <row r="766" spans="1:12" ht="26.25" hidden="1" customHeight="1">
      <c r="A766" s="17">
        <f t="shared" si="0"/>
        <v>763</v>
      </c>
      <c r="B766" s="18" t="s">
        <v>132</v>
      </c>
      <c r="C766" s="31" t="s">
        <v>3485</v>
      </c>
      <c r="D766" s="20" t="s">
        <v>3487</v>
      </c>
      <c r="E766" s="32" t="s">
        <v>3080</v>
      </c>
      <c r="F766" s="22" t="s">
        <v>63</v>
      </c>
      <c r="G766" s="23" t="s">
        <v>3488</v>
      </c>
      <c r="H766" s="24" t="s">
        <v>55</v>
      </c>
    </row>
    <row r="767" spans="1:12" ht="26.25" customHeight="1">
      <c r="A767" s="17">
        <f t="shared" si="0"/>
        <v>764</v>
      </c>
      <c r="B767" s="18" t="s">
        <v>132</v>
      </c>
      <c r="C767" s="19" t="s">
        <v>3489</v>
      </c>
      <c r="D767" s="20" t="s">
        <v>3490</v>
      </c>
      <c r="E767" s="32" t="s">
        <v>52</v>
      </c>
      <c r="F767" s="22" t="s">
        <v>42</v>
      </c>
      <c r="G767" s="23" t="s">
        <v>3491</v>
      </c>
      <c r="H767" s="24" t="s">
        <v>20</v>
      </c>
      <c r="J767" s="284" t="str">
        <f t="shared" ref="J767:J768" si="75">CONCATENATE(C767," │  ISSN:  ",D767," *")</f>
        <v>Tribology Transactions │  ISSN:  1040-2004 *</v>
      </c>
      <c r="L767" s="243" t="s">
        <v>5418</v>
      </c>
    </row>
    <row r="768" spans="1:12" ht="26.25" customHeight="1">
      <c r="A768" s="17">
        <f t="shared" si="0"/>
        <v>765</v>
      </c>
      <c r="B768" s="18" t="s">
        <v>233</v>
      </c>
      <c r="C768" s="19" t="s">
        <v>3492</v>
      </c>
      <c r="D768" s="20" t="s">
        <v>3494</v>
      </c>
      <c r="E768" s="32" t="s">
        <v>52</v>
      </c>
      <c r="F768" s="22" t="s">
        <v>63</v>
      </c>
      <c r="G768" s="23" t="s">
        <v>3495</v>
      </c>
      <c r="H768" s="24" t="s">
        <v>20</v>
      </c>
      <c r="J768" s="284" t="str">
        <f t="shared" si="75"/>
        <v>Tuijin Jishu │  ISSN:  1001-4055 *</v>
      </c>
      <c r="L768" s="243" t="s">
        <v>5419</v>
      </c>
    </row>
    <row r="769" spans="1:12" ht="26.25" hidden="1" customHeight="1">
      <c r="A769" s="17">
        <f t="shared" si="0"/>
        <v>766</v>
      </c>
      <c r="B769" s="18" t="s">
        <v>2181</v>
      </c>
      <c r="C769" s="31" t="s">
        <v>3496</v>
      </c>
      <c r="D769" s="20" t="s">
        <v>3497</v>
      </c>
      <c r="E769" s="32" t="s">
        <v>222</v>
      </c>
      <c r="F769" s="33" t="s">
        <v>53</v>
      </c>
      <c r="G769" s="23" t="s">
        <v>3498</v>
      </c>
      <c r="H769" s="24" t="s">
        <v>55</v>
      </c>
    </row>
    <row r="770" spans="1:12" ht="26.25" customHeight="1">
      <c r="A770" s="17">
        <f t="shared" si="0"/>
        <v>767</v>
      </c>
      <c r="B770" s="18" t="s">
        <v>132</v>
      </c>
      <c r="C770" s="19" t="s">
        <v>3499</v>
      </c>
      <c r="D770" s="20" t="s">
        <v>3500</v>
      </c>
      <c r="E770" s="32" t="s">
        <v>52</v>
      </c>
      <c r="F770" s="22" t="s">
        <v>42</v>
      </c>
      <c r="G770" s="23" t="s">
        <v>3501</v>
      </c>
      <c r="H770" s="24" t="s">
        <v>20</v>
      </c>
      <c r="J770" s="284" t="str">
        <f>CONCATENATE(C770," │  ISSN:  ",D770," *")</f>
        <v>Vehicle System Dynamics │  ISSN:  0042-3114 *</v>
      </c>
      <c r="L770" s="243" t="s">
        <v>5420</v>
      </c>
    </row>
    <row r="771" spans="1:12" ht="26.25" hidden="1" customHeight="1">
      <c r="A771" s="17">
        <f t="shared" si="0"/>
        <v>768</v>
      </c>
      <c r="B771" s="18" t="s">
        <v>642</v>
      </c>
      <c r="C771" s="31" t="s">
        <v>3502</v>
      </c>
      <c r="D771" s="20" t="s">
        <v>3503</v>
      </c>
      <c r="E771" s="32" t="s">
        <v>3504</v>
      </c>
      <c r="F771" s="33" t="s">
        <v>53</v>
      </c>
      <c r="G771" s="23" t="s">
        <v>3505</v>
      </c>
      <c r="H771" s="24" t="s">
        <v>55</v>
      </c>
    </row>
    <row r="772" spans="1:12" ht="26.25" customHeight="1">
      <c r="A772" s="17">
        <f t="shared" si="0"/>
        <v>769</v>
      </c>
      <c r="B772" s="18" t="s">
        <v>13</v>
      </c>
      <c r="C772" s="31" t="s">
        <v>1475</v>
      </c>
      <c r="D772" s="20" t="s">
        <v>1477</v>
      </c>
      <c r="E772" s="32" t="s">
        <v>3507</v>
      </c>
      <c r="F772" s="22" t="s">
        <v>53</v>
      </c>
      <c r="G772" s="23" t="s">
        <v>3508</v>
      </c>
      <c r="H772" s="24" t="s">
        <v>20</v>
      </c>
      <c r="J772" s="284" t="str">
        <f>CONCATENATE(C772," │  ISSN:  ",D772," *")</f>
        <v>Wallpaper │  ISSN:  1364-4475 *</v>
      </c>
      <c r="L772" s="243" t="s">
        <v>5421</v>
      </c>
    </row>
    <row r="773" spans="1:12" ht="26.25" hidden="1" customHeight="1">
      <c r="A773" s="17">
        <f t="shared" si="0"/>
        <v>770</v>
      </c>
      <c r="B773" s="18" t="s">
        <v>1375</v>
      </c>
      <c r="C773" s="31" t="s">
        <v>3509</v>
      </c>
      <c r="D773" s="20" t="s">
        <v>3510</v>
      </c>
      <c r="E773" s="32" t="s">
        <v>2718</v>
      </c>
      <c r="F773" s="22" t="s">
        <v>53</v>
      </c>
      <c r="G773" s="23" t="s">
        <v>3511</v>
      </c>
      <c r="H773" s="24" t="s">
        <v>55</v>
      </c>
    </row>
    <row r="774" spans="1:12" ht="26.25" hidden="1" customHeight="1">
      <c r="A774" s="17">
        <f t="shared" si="0"/>
        <v>771</v>
      </c>
      <c r="B774" s="18" t="s">
        <v>1197</v>
      </c>
      <c r="C774" s="31" t="s">
        <v>507</v>
      </c>
      <c r="D774" s="20" t="s">
        <v>509</v>
      </c>
      <c r="E774" s="32" t="s">
        <v>3513</v>
      </c>
      <c r="F774" s="33" t="s">
        <v>53</v>
      </c>
      <c r="G774" s="59" t="s">
        <v>3514</v>
      </c>
      <c r="H774" s="24" t="s">
        <v>55</v>
      </c>
    </row>
    <row r="775" spans="1:12" ht="26.25" hidden="1" customHeight="1">
      <c r="A775" s="17">
        <f t="shared" si="0"/>
        <v>772</v>
      </c>
      <c r="B775" s="18" t="s">
        <v>1197</v>
      </c>
      <c r="C775" s="31" t="s">
        <v>3515</v>
      </c>
      <c r="D775" s="20" t="s">
        <v>3517</v>
      </c>
      <c r="E775" s="32" t="s">
        <v>3518</v>
      </c>
      <c r="F775" s="33" t="s">
        <v>53</v>
      </c>
      <c r="G775" s="23" t="s">
        <v>3519</v>
      </c>
      <c r="H775" s="24" t="s">
        <v>55</v>
      </c>
    </row>
    <row r="776" spans="1:12" ht="26.25" hidden="1" customHeight="1">
      <c r="A776" s="17">
        <f t="shared" si="0"/>
        <v>773</v>
      </c>
      <c r="B776" s="18" t="s">
        <v>1197</v>
      </c>
      <c r="C776" s="31" t="s">
        <v>3520</v>
      </c>
      <c r="D776" s="20" t="s">
        <v>3521</v>
      </c>
      <c r="E776" s="32" t="s">
        <v>3522</v>
      </c>
      <c r="F776" s="33" t="s">
        <v>42</v>
      </c>
      <c r="G776" s="23" t="s">
        <v>3523</v>
      </c>
      <c r="H776" s="24" t="s">
        <v>55</v>
      </c>
    </row>
    <row r="777" spans="1:12" ht="26.25" customHeight="1">
      <c r="A777" s="17">
        <f t="shared" si="0"/>
        <v>774</v>
      </c>
      <c r="B777" s="18" t="s">
        <v>1197</v>
      </c>
      <c r="C777" s="19" t="s">
        <v>3524</v>
      </c>
      <c r="D777" s="20" t="s">
        <v>3526</v>
      </c>
      <c r="E777" s="32" t="s">
        <v>52</v>
      </c>
      <c r="F777" s="33" t="s">
        <v>42</v>
      </c>
      <c r="G777" s="23" t="s">
        <v>3527</v>
      </c>
      <c r="H777" s="24" t="s">
        <v>20</v>
      </c>
      <c r="J777" s="284" t="str">
        <f>CONCATENATE(C777," │  ISSN:  ",D777," *")</f>
        <v>Water International │  ISSN:  0250-8060 *</v>
      </c>
      <c r="L777" s="243" t="s">
        <v>5422</v>
      </c>
    </row>
    <row r="778" spans="1:12" ht="26.25" hidden="1" customHeight="1">
      <c r="A778" s="17">
        <f t="shared" si="0"/>
        <v>775</v>
      </c>
      <c r="B778" s="18" t="s">
        <v>1197</v>
      </c>
      <c r="C778" s="31" t="s">
        <v>3528</v>
      </c>
      <c r="D778" s="20" t="s">
        <v>3529</v>
      </c>
      <c r="E778" s="32" t="s">
        <v>3530</v>
      </c>
      <c r="F778" s="33" t="s">
        <v>42</v>
      </c>
      <c r="G778" s="23" t="s">
        <v>3531</v>
      </c>
      <c r="H778" s="24" t="s">
        <v>55</v>
      </c>
    </row>
    <row r="779" spans="1:12" ht="26.25" hidden="1" customHeight="1">
      <c r="A779" s="17">
        <f t="shared" si="0"/>
        <v>776</v>
      </c>
      <c r="B779" s="18" t="s">
        <v>132</v>
      </c>
      <c r="C779" s="31" t="s">
        <v>3532</v>
      </c>
      <c r="D779" s="20" t="s">
        <v>3533</v>
      </c>
      <c r="E779" s="32" t="s">
        <v>222</v>
      </c>
      <c r="F779" s="22" t="s">
        <v>42</v>
      </c>
      <c r="G779" s="23" t="s">
        <v>3534</v>
      </c>
      <c r="H779" s="24" t="s">
        <v>55</v>
      </c>
    </row>
    <row r="780" spans="1:12" ht="26.25" hidden="1" customHeight="1">
      <c r="A780" s="17">
        <f t="shared" si="0"/>
        <v>777</v>
      </c>
      <c r="B780" s="18" t="s">
        <v>132</v>
      </c>
      <c r="C780" s="31" t="s">
        <v>884</v>
      </c>
      <c r="D780" s="20" t="s">
        <v>885</v>
      </c>
      <c r="E780" s="32" t="s">
        <v>170</v>
      </c>
      <c r="F780" s="22" t="s">
        <v>53</v>
      </c>
      <c r="G780" s="23" t="s">
        <v>3535</v>
      </c>
      <c r="H780" s="24" t="s">
        <v>55</v>
      </c>
    </row>
    <row r="781" spans="1:12" ht="26.25" customHeight="1">
      <c r="A781" s="17">
        <f t="shared" si="0"/>
        <v>778</v>
      </c>
      <c r="B781" s="18" t="s">
        <v>132</v>
      </c>
      <c r="C781" s="19" t="s">
        <v>3536</v>
      </c>
      <c r="D781" s="20" t="s">
        <v>3538</v>
      </c>
      <c r="E781" s="32" t="s">
        <v>4990</v>
      </c>
      <c r="F781" s="22" t="s">
        <v>42</v>
      </c>
      <c r="G781" s="23" t="s">
        <v>3540</v>
      </c>
      <c r="H781" s="24" t="s">
        <v>20</v>
      </c>
      <c r="J781" s="284" t="str">
        <f t="shared" ref="J781:J783" si="76">CONCATENATE(C781," │  ISSN:  ",D781," *")</f>
        <v>Welding Journal │  ISSN:  0043-2296 *</v>
      </c>
      <c r="L781" s="243" t="s">
        <v>5423</v>
      </c>
    </row>
    <row r="782" spans="1:12" ht="26.25" customHeight="1">
      <c r="A782" s="17">
        <f t="shared" si="0"/>
        <v>779</v>
      </c>
      <c r="B782" s="18" t="s">
        <v>132</v>
      </c>
      <c r="C782" s="31" t="s">
        <v>3541</v>
      </c>
      <c r="D782" s="20" t="s">
        <v>1484</v>
      </c>
      <c r="E782" s="32" t="s">
        <v>52</v>
      </c>
      <c r="F782" s="22" t="s">
        <v>53</v>
      </c>
      <c r="G782" s="23" t="s">
        <v>3542</v>
      </c>
      <c r="H782" s="24" t="s">
        <v>20</v>
      </c>
      <c r="J782" s="284" t="str">
        <f t="shared" si="76"/>
        <v>What Car? │  ISSN:  0307-2991 *</v>
      </c>
      <c r="L782" s="243" t="s">
        <v>5424</v>
      </c>
    </row>
    <row r="783" spans="1:12" ht="26.25" customHeight="1">
      <c r="A783" s="17">
        <f t="shared" si="0"/>
        <v>780</v>
      </c>
      <c r="B783" s="18" t="s">
        <v>13</v>
      </c>
      <c r="C783" s="19" t="s">
        <v>3543</v>
      </c>
      <c r="D783" s="20" t="s">
        <v>3544</v>
      </c>
      <c r="E783" s="32" t="s">
        <v>52</v>
      </c>
      <c r="F783" s="22" t="s">
        <v>42</v>
      </c>
      <c r="G783" s="23" t="s">
        <v>3545</v>
      </c>
      <c r="H783" s="24" t="s">
        <v>20</v>
      </c>
      <c r="J783" s="284" t="str">
        <f t="shared" si="76"/>
        <v>Wind &amp; Structures │  ISSN:  1226-6116 *</v>
      </c>
      <c r="L783" s="243" t="s">
        <v>5425</v>
      </c>
    </row>
    <row r="784" spans="1:12" ht="26.25" hidden="1" customHeight="1">
      <c r="A784" s="17">
        <f t="shared" si="0"/>
        <v>781</v>
      </c>
      <c r="B784" s="18" t="s">
        <v>105</v>
      </c>
      <c r="C784" s="31" t="s">
        <v>3546</v>
      </c>
      <c r="D784" s="20" t="s">
        <v>523</v>
      </c>
      <c r="E784" s="32" t="s">
        <v>1033</v>
      </c>
      <c r="F784" s="33" t="s">
        <v>42</v>
      </c>
      <c r="G784" s="23" t="s">
        <v>3548</v>
      </c>
      <c r="H784" s="24" t="s">
        <v>55</v>
      </c>
    </row>
    <row r="785" spans="1:12" ht="26.25" hidden="1" customHeight="1">
      <c r="A785" s="17">
        <f t="shared" si="0"/>
        <v>782</v>
      </c>
      <c r="B785" s="18" t="s">
        <v>175</v>
      </c>
      <c r="C785" s="31" t="s">
        <v>3549</v>
      </c>
      <c r="D785" s="20" t="s">
        <v>197</v>
      </c>
      <c r="E785" s="32">
        <v>2015</v>
      </c>
      <c r="F785" s="33" t="s">
        <v>42</v>
      </c>
      <c r="G785" s="23" t="s">
        <v>3550</v>
      </c>
      <c r="H785" s="24" t="s">
        <v>55</v>
      </c>
    </row>
    <row r="786" spans="1:12" ht="26.25" hidden="1" customHeight="1">
      <c r="A786" s="17">
        <f t="shared" si="0"/>
        <v>783</v>
      </c>
      <c r="B786" s="18" t="s">
        <v>37</v>
      </c>
      <c r="C786" s="31" t="s">
        <v>3551</v>
      </c>
      <c r="D786" s="20" t="s">
        <v>3553</v>
      </c>
      <c r="E786" s="32" t="s">
        <v>3554</v>
      </c>
      <c r="F786" s="22" t="s">
        <v>53</v>
      </c>
      <c r="G786" s="23" t="s">
        <v>3555</v>
      </c>
      <c r="H786" s="24" t="s">
        <v>55</v>
      </c>
    </row>
    <row r="787" spans="1:12" ht="26.25" hidden="1" customHeight="1">
      <c r="A787" s="17">
        <f t="shared" si="0"/>
        <v>784</v>
      </c>
      <c r="B787" s="18" t="s">
        <v>13</v>
      </c>
      <c r="C787" s="31" t="s">
        <v>3556</v>
      </c>
      <c r="D787" s="20" t="s">
        <v>1242</v>
      </c>
      <c r="E787" s="32" t="s">
        <v>170</v>
      </c>
      <c r="F787" s="22" t="s">
        <v>53</v>
      </c>
      <c r="G787" s="23" t="s">
        <v>3557</v>
      </c>
      <c r="H787" s="24" t="s">
        <v>55</v>
      </c>
    </row>
    <row r="788" spans="1:12" ht="26.25" customHeight="1">
      <c r="A788" s="17">
        <f t="shared" si="0"/>
        <v>785</v>
      </c>
      <c r="B788" s="18" t="s">
        <v>867</v>
      </c>
      <c r="C788" s="31" t="s">
        <v>3558</v>
      </c>
      <c r="D788" s="20" t="s">
        <v>3560</v>
      </c>
      <c r="E788" s="21" t="s">
        <v>4975</v>
      </c>
      <c r="F788" s="33" t="s">
        <v>42</v>
      </c>
      <c r="G788" s="23" t="s">
        <v>3561</v>
      </c>
      <c r="H788" s="34" t="s">
        <v>20</v>
      </c>
      <c r="J788" s="284" t="str">
        <f t="shared" ref="J788:J789" si="77">CONCATENATE(C788," │  ISSN:  ",D788," *")</f>
        <v>Zoological science │  ISSN:  0289-0003 *</v>
      </c>
      <c r="L788" s="243" t="s">
        <v>5426</v>
      </c>
    </row>
    <row r="789" spans="1:12" ht="26.25" customHeight="1">
      <c r="A789" s="17">
        <f t="shared" si="0"/>
        <v>786</v>
      </c>
      <c r="B789" s="18" t="s">
        <v>27</v>
      </c>
      <c r="C789" s="19" t="s">
        <v>3562</v>
      </c>
      <c r="D789" s="20" t="s">
        <v>3564</v>
      </c>
      <c r="E789" s="32" t="s">
        <v>5000</v>
      </c>
      <c r="F789" s="22" t="s">
        <v>53</v>
      </c>
      <c r="G789" s="23" t="s">
        <v>3565</v>
      </c>
      <c r="H789" s="24" t="s">
        <v>20</v>
      </c>
      <c r="J789" s="284" t="str">
        <f t="shared" si="77"/>
        <v>オレオサイエンス │  ISSN:  1345-8949 *</v>
      </c>
      <c r="L789" s="243" t="s">
        <v>5427</v>
      </c>
    </row>
    <row r="790" spans="1:12" ht="26.25" hidden="1" customHeight="1">
      <c r="A790" s="17">
        <f t="shared" si="0"/>
        <v>787</v>
      </c>
      <c r="B790" s="18" t="s">
        <v>13</v>
      </c>
      <c r="C790" s="31" t="s">
        <v>3566</v>
      </c>
      <c r="D790" s="20" t="s">
        <v>3568</v>
      </c>
      <c r="E790" s="32" t="s">
        <v>3569</v>
      </c>
      <c r="F790" s="22" t="s">
        <v>53</v>
      </c>
      <c r="G790" s="23" t="s">
        <v>3570</v>
      </c>
      <c r="H790" s="24" t="s">
        <v>55</v>
      </c>
    </row>
    <row r="791" spans="1:12" ht="26.25" customHeight="1">
      <c r="A791" s="17">
        <f t="shared" si="0"/>
        <v>788</v>
      </c>
      <c r="B791" s="18" t="s">
        <v>13</v>
      </c>
      <c r="C791" s="19" t="s">
        <v>3571</v>
      </c>
      <c r="D791" s="20" t="s">
        <v>3572</v>
      </c>
      <c r="E791" s="32" t="s">
        <v>4961</v>
      </c>
      <c r="F791" s="22" t="s">
        <v>53</v>
      </c>
      <c r="G791" s="23" t="s">
        <v>3574</v>
      </c>
      <c r="H791" s="24" t="s">
        <v>20</v>
      </c>
      <c r="J791" s="284" t="str">
        <f t="shared" ref="J791:J794" si="78">CONCATENATE(C791," │  ISSN:  ",D791," *")</f>
        <v>コンクリ－ト工學 │  ISSN:  0387-1061 *</v>
      </c>
      <c r="L791" s="243" t="s">
        <v>5428</v>
      </c>
    </row>
    <row r="792" spans="1:12" ht="26.25" customHeight="1">
      <c r="A792" s="17">
        <f t="shared" si="0"/>
        <v>789</v>
      </c>
      <c r="B792" s="18" t="s">
        <v>81</v>
      </c>
      <c r="C792" s="31" t="s">
        <v>3575</v>
      </c>
      <c r="D792" s="20" t="s">
        <v>3577</v>
      </c>
      <c r="E792" s="21" t="s">
        <v>4966</v>
      </c>
      <c r="F792" s="33" t="s">
        <v>53</v>
      </c>
      <c r="G792" s="23" t="s">
        <v>3578</v>
      </c>
      <c r="H792" s="34" t="s">
        <v>20</v>
      </c>
      <c r="J792" s="284" t="str">
        <f t="shared" si="78"/>
        <v>システムと制御·情報 │  ISSN:  0916-1600 *</v>
      </c>
      <c r="L792" s="243" t="s">
        <v>5429</v>
      </c>
    </row>
    <row r="793" spans="1:12" ht="26.25" customHeight="1">
      <c r="A793" s="17">
        <f t="shared" si="0"/>
        <v>790</v>
      </c>
      <c r="B793" s="18" t="s">
        <v>13</v>
      </c>
      <c r="C793" s="19" t="s">
        <v>3579</v>
      </c>
      <c r="D793" s="20" t="s">
        <v>1850</v>
      </c>
      <c r="E793" s="32" t="s">
        <v>3581</v>
      </c>
      <c r="F793" s="22" t="s">
        <v>53</v>
      </c>
      <c r="G793" s="23" t="s">
        <v>3582</v>
      </c>
      <c r="H793" s="24" t="s">
        <v>20</v>
      </c>
      <c r="J793" s="284" t="str">
        <f t="shared" si="78"/>
        <v>セメント.コンクリ-ト │  ISSN:  0371-0718 *</v>
      </c>
      <c r="L793" s="243" t="s">
        <v>5430</v>
      </c>
    </row>
    <row r="794" spans="1:12" ht="26.25" customHeight="1">
      <c r="A794" s="17">
        <f t="shared" si="0"/>
        <v>791</v>
      </c>
      <c r="B794" s="18" t="s">
        <v>132</v>
      </c>
      <c r="C794" s="19" t="s">
        <v>3583</v>
      </c>
      <c r="D794" s="20" t="s">
        <v>3585</v>
      </c>
      <c r="E794" s="32" t="s">
        <v>178</v>
      </c>
      <c r="F794" s="22" t="s">
        <v>53</v>
      </c>
      <c r="G794" s="23" t="s">
        <v>3586</v>
      </c>
      <c r="H794" s="24" t="s">
        <v>20</v>
      </c>
      <c r="J794" s="284" t="str">
        <f t="shared" si="78"/>
        <v>タ-ボ機械 │  ISSN:  0385-8839 *</v>
      </c>
      <c r="L794" s="243" t="s">
        <v>5431</v>
      </c>
    </row>
    <row r="795" spans="1:12" ht="26.25" hidden="1" customHeight="1">
      <c r="A795" s="17">
        <f t="shared" si="0"/>
        <v>792</v>
      </c>
      <c r="B795" s="18" t="s">
        <v>13</v>
      </c>
      <c r="C795" s="31" t="s">
        <v>786</v>
      </c>
      <c r="D795" s="20" t="s">
        <v>788</v>
      </c>
      <c r="E795" s="32" t="s">
        <v>1033</v>
      </c>
      <c r="F795" s="22" t="s">
        <v>53</v>
      </c>
      <c r="G795" s="23" t="s">
        <v>3588</v>
      </c>
      <c r="H795" s="24" t="s">
        <v>55</v>
      </c>
    </row>
    <row r="796" spans="1:12" ht="26.25" hidden="1" customHeight="1">
      <c r="A796" s="17">
        <f t="shared" si="0"/>
        <v>793</v>
      </c>
      <c r="B796" s="18" t="s">
        <v>27</v>
      </c>
      <c r="C796" s="31" t="s">
        <v>3589</v>
      </c>
      <c r="D796" s="20" t="s">
        <v>795</v>
      </c>
      <c r="E796" s="32" t="s">
        <v>2100</v>
      </c>
      <c r="F796" s="22" t="s">
        <v>53</v>
      </c>
      <c r="G796" s="23" t="s">
        <v>3591</v>
      </c>
      <c r="H796" s="24" t="s">
        <v>55</v>
      </c>
    </row>
    <row r="797" spans="1:12" ht="26.25" customHeight="1">
      <c r="A797" s="17">
        <f t="shared" si="0"/>
        <v>794</v>
      </c>
      <c r="B797" s="18" t="s">
        <v>132</v>
      </c>
      <c r="C797" s="19" t="s">
        <v>3592</v>
      </c>
      <c r="D797" s="20" t="s">
        <v>1875</v>
      </c>
      <c r="E797" s="32" t="s">
        <v>2902</v>
      </c>
      <c r="F797" s="22" t="s">
        <v>53</v>
      </c>
      <c r="G797" s="23" t="s">
        <v>3594</v>
      </c>
      <c r="H797" s="24" t="s">
        <v>20</v>
      </c>
      <c r="J797" s="284" t="str">
        <f t="shared" ref="J797:J798" si="79">CONCATENATE(C797," │  ISSN:  ",D797," *")</f>
        <v>フル－ドパワ－システム │  ISSN:  1346-7719 *</v>
      </c>
      <c r="L797" s="243" t="s">
        <v>5432</v>
      </c>
    </row>
    <row r="798" spans="1:12" ht="26.25" customHeight="1">
      <c r="A798" s="17">
        <f t="shared" si="0"/>
        <v>795</v>
      </c>
      <c r="B798" s="18" t="s">
        <v>13</v>
      </c>
      <c r="C798" s="19" t="s">
        <v>3595</v>
      </c>
      <c r="D798" s="20" t="s">
        <v>3597</v>
      </c>
      <c r="E798" s="32" t="s">
        <v>52</v>
      </c>
      <c r="F798" s="22" t="s">
        <v>53</v>
      </c>
      <c r="G798" s="23" t="s">
        <v>3598</v>
      </c>
      <c r="H798" s="24" t="s">
        <v>20</v>
      </c>
      <c r="J798" s="284" t="str">
        <f t="shared" si="79"/>
        <v>プレストレスト コンクリ-ト │  ISSN:  0387-1983 *</v>
      </c>
      <c r="L798" s="243" t="s">
        <v>5433</v>
      </c>
    </row>
    <row r="799" spans="1:12" ht="26.25" hidden="1" customHeight="1">
      <c r="A799" s="17">
        <f t="shared" si="0"/>
        <v>796</v>
      </c>
      <c r="B799" s="18" t="s">
        <v>13</v>
      </c>
      <c r="C799" s="31" t="s">
        <v>3599</v>
      </c>
      <c r="D799" s="20" t="s">
        <v>3601</v>
      </c>
      <c r="E799" s="32" t="s">
        <v>2718</v>
      </c>
      <c r="F799" s="22" t="s">
        <v>53</v>
      </c>
      <c r="G799" s="23" t="s">
        <v>3602</v>
      </c>
      <c r="H799" s="24" t="s">
        <v>55</v>
      </c>
    </row>
    <row r="800" spans="1:12" ht="26.25" customHeight="1">
      <c r="A800" s="17">
        <f t="shared" si="0"/>
        <v>797</v>
      </c>
      <c r="B800" s="18" t="s">
        <v>1375</v>
      </c>
      <c r="C800" s="19" t="s">
        <v>3603</v>
      </c>
      <c r="D800" s="20" t="s">
        <v>1881</v>
      </c>
      <c r="E800" s="32" t="s">
        <v>178</v>
      </c>
      <c r="F800" s="22" t="s">
        <v>53</v>
      </c>
      <c r="G800" s="23" t="s">
        <v>3605</v>
      </c>
      <c r="H800" s="24" t="s">
        <v>20</v>
      </c>
      <c r="J800" s="284" t="str">
        <f>CONCATENATE(C800," │  ISSN:  ",D800," *")</f>
        <v>マリン エンジニア │  ISSN:  0287-203X *</v>
      </c>
      <c r="L800" s="243" t="s">
        <v>5434</v>
      </c>
    </row>
    <row r="801" spans="1:12" ht="26.25" hidden="1" customHeight="1">
      <c r="A801" s="17">
        <f t="shared" si="0"/>
        <v>798</v>
      </c>
      <c r="B801" s="18" t="s">
        <v>1375</v>
      </c>
      <c r="C801" s="31" t="s">
        <v>3606</v>
      </c>
      <c r="D801" s="20" t="s">
        <v>3608</v>
      </c>
      <c r="E801" s="32" t="s">
        <v>3609</v>
      </c>
      <c r="F801" s="22" t="s">
        <v>53</v>
      </c>
      <c r="G801" s="23" t="s">
        <v>3610</v>
      </c>
      <c r="H801" s="24" t="s">
        <v>55</v>
      </c>
    </row>
    <row r="802" spans="1:12" ht="26.25" customHeight="1">
      <c r="A802" s="17">
        <f t="shared" si="0"/>
        <v>799</v>
      </c>
      <c r="B802" s="18" t="s">
        <v>37</v>
      </c>
      <c r="C802" s="39" t="s">
        <v>1885</v>
      </c>
      <c r="D802" s="20"/>
      <c r="E802" s="32" t="s">
        <v>3612</v>
      </c>
      <c r="F802" s="33" t="s">
        <v>53</v>
      </c>
      <c r="G802" s="23" t="s">
        <v>3613</v>
      </c>
      <c r="H802" s="24" t="s">
        <v>20</v>
      </c>
      <c r="J802" s="284" t="str">
        <f t="shared" ref="J802:J807" si="80">CONCATENATE(C802," │  ISSN:  ",D802," *")</f>
        <v>ラバ-インダストリ (The Rubber Industries) │  ISSN:   *</v>
      </c>
      <c r="L802" s="243" t="s">
        <v>5435</v>
      </c>
    </row>
    <row r="803" spans="1:12" ht="26.25" customHeight="1">
      <c r="A803" s="17">
        <f t="shared" si="0"/>
        <v>800</v>
      </c>
      <c r="B803" s="18" t="s">
        <v>132</v>
      </c>
      <c r="C803" s="19" t="s">
        <v>3614</v>
      </c>
      <c r="D803" s="20" t="s">
        <v>3616</v>
      </c>
      <c r="E803" s="32" t="s">
        <v>4957</v>
      </c>
      <c r="F803" s="22" t="s">
        <v>53</v>
      </c>
      <c r="G803" s="23" t="s">
        <v>3617</v>
      </c>
      <c r="H803" s="24" t="s">
        <v>20</v>
      </c>
      <c r="J803" s="284" t="str">
        <f t="shared" si="80"/>
        <v>加工技術 │  ISSN:  0386-6041 *</v>
      </c>
      <c r="L803" s="243" t="s">
        <v>5436</v>
      </c>
    </row>
    <row r="804" spans="1:12" ht="26.25" customHeight="1">
      <c r="A804" s="17">
        <f t="shared" si="0"/>
        <v>801</v>
      </c>
      <c r="B804" s="18" t="s">
        <v>132</v>
      </c>
      <c r="C804" s="19" t="s">
        <v>3618</v>
      </c>
      <c r="D804" s="20" t="s">
        <v>3619</v>
      </c>
      <c r="E804" s="32" t="s">
        <v>4144</v>
      </c>
      <c r="F804" s="22" t="s">
        <v>53</v>
      </c>
      <c r="G804" s="23" t="s">
        <v>3620</v>
      </c>
      <c r="H804" s="24" t="s">
        <v>20</v>
      </c>
      <c r="J804" s="284" t="str">
        <f t="shared" si="80"/>
        <v>建設機械 │  ISSN:  0385-9878 *</v>
      </c>
      <c r="L804" s="243" t="s">
        <v>5437</v>
      </c>
    </row>
    <row r="805" spans="1:12" ht="26.25" customHeight="1">
      <c r="A805" s="17">
        <f t="shared" si="0"/>
        <v>802</v>
      </c>
      <c r="B805" s="18" t="s">
        <v>13</v>
      </c>
      <c r="C805" s="19" t="s">
        <v>1768</v>
      </c>
      <c r="D805" s="20" t="s">
        <v>1770</v>
      </c>
      <c r="E805" s="32" t="s">
        <v>178</v>
      </c>
      <c r="F805" s="22" t="s">
        <v>53</v>
      </c>
      <c r="G805" s="23" t="s">
        <v>3621</v>
      </c>
      <c r="H805" s="24" t="s">
        <v>20</v>
      </c>
      <c r="J805" s="284" t="str">
        <f t="shared" si="80"/>
        <v>建築と社會 │  ISSN:  0912-8182 *</v>
      </c>
      <c r="L805" s="243" t="s">
        <v>5438</v>
      </c>
    </row>
    <row r="806" spans="1:12" ht="26.25" customHeight="1">
      <c r="A806" s="17">
        <f t="shared" si="0"/>
        <v>803</v>
      </c>
      <c r="B806" s="18" t="s">
        <v>13</v>
      </c>
      <c r="C806" s="19" t="s">
        <v>1772</v>
      </c>
      <c r="D806" s="20" t="s">
        <v>1774</v>
      </c>
      <c r="E806" s="32" t="s">
        <v>52</v>
      </c>
      <c r="F806" s="22" t="s">
        <v>53</v>
      </c>
      <c r="G806" s="23" t="s">
        <v>3623</v>
      </c>
      <c r="H806" s="24" t="s">
        <v>20</v>
      </c>
      <c r="J806" s="284" t="str">
        <f t="shared" si="80"/>
        <v>建築と積算 │  ISSN:  0389-9721 *</v>
      </c>
      <c r="L806" s="243" t="s">
        <v>5439</v>
      </c>
    </row>
    <row r="807" spans="1:12" ht="26.25" customHeight="1">
      <c r="A807" s="17">
        <f t="shared" si="0"/>
        <v>804</v>
      </c>
      <c r="B807" s="18" t="s">
        <v>13</v>
      </c>
      <c r="C807" s="19" t="s">
        <v>3624</v>
      </c>
      <c r="D807" s="20" t="s">
        <v>3626</v>
      </c>
      <c r="E807" s="32" t="s">
        <v>4962</v>
      </c>
      <c r="F807" s="22" t="s">
        <v>53</v>
      </c>
      <c r="G807" s="23" t="s">
        <v>3628</v>
      </c>
      <c r="H807" s="24" t="s">
        <v>20</v>
      </c>
      <c r="J807" s="284" t="str">
        <f t="shared" si="80"/>
        <v>建築技術 │  ISSN:  0022-9911 *</v>
      </c>
      <c r="L807" s="243" t="s">
        <v>5440</v>
      </c>
    </row>
    <row r="808" spans="1:12" ht="26.25" hidden="1" customHeight="1">
      <c r="A808" s="17">
        <f t="shared" si="0"/>
        <v>805</v>
      </c>
      <c r="B808" s="18" t="s">
        <v>13</v>
      </c>
      <c r="C808" s="31" t="s">
        <v>3629</v>
      </c>
      <c r="D808" s="20" t="s">
        <v>3631</v>
      </c>
      <c r="E808" s="32" t="s">
        <v>3632</v>
      </c>
      <c r="F808" s="22" t="s">
        <v>53</v>
      </c>
      <c r="G808" s="23" t="s">
        <v>3633</v>
      </c>
      <c r="H808" s="24" t="s">
        <v>55</v>
      </c>
    </row>
    <row r="809" spans="1:12" ht="26.25" customHeight="1">
      <c r="A809" s="17">
        <f t="shared" si="0"/>
        <v>806</v>
      </c>
      <c r="B809" s="18" t="s">
        <v>13</v>
      </c>
      <c r="C809" s="19" t="s">
        <v>3634</v>
      </c>
      <c r="D809" s="100" t="s">
        <v>4963</v>
      </c>
      <c r="E809" s="32" t="s">
        <v>4964</v>
      </c>
      <c r="F809" s="22" t="s">
        <v>53</v>
      </c>
      <c r="G809" s="23" t="s">
        <v>3638</v>
      </c>
      <c r="H809" s="24" t="s">
        <v>20</v>
      </c>
      <c r="J809" s="284" t="str">
        <f t="shared" ref="J809:J812" si="81">CONCATENATE(C809," │  ISSN:  ",D809," *")</f>
        <v>建築設備 │  ISSN:  0285-5178
(1346-9371) *</v>
      </c>
      <c r="L809" s="243" t="s">
        <v>5441</v>
      </c>
    </row>
    <row r="810" spans="1:12" ht="26.25" customHeight="1">
      <c r="A810" s="17">
        <f t="shared" si="0"/>
        <v>807</v>
      </c>
      <c r="B810" s="18" t="s">
        <v>13</v>
      </c>
      <c r="C810" s="19" t="s">
        <v>1779</v>
      </c>
      <c r="D810" s="20" t="s">
        <v>1781</v>
      </c>
      <c r="E810" s="32" t="s">
        <v>52</v>
      </c>
      <c r="F810" s="22" t="s">
        <v>53</v>
      </c>
      <c r="G810" s="23" t="s">
        <v>3639</v>
      </c>
      <c r="H810" s="24" t="s">
        <v>20</v>
      </c>
      <c r="J810" s="284" t="str">
        <f t="shared" si="81"/>
        <v>建築設備と配管工事 │  ISSN:  0385-9851 *</v>
      </c>
      <c r="L810" s="243" t="s">
        <v>5442</v>
      </c>
    </row>
    <row r="811" spans="1:12" ht="26.25" customHeight="1">
      <c r="A811" s="17">
        <f t="shared" si="0"/>
        <v>808</v>
      </c>
      <c r="B811" s="18" t="s">
        <v>13</v>
      </c>
      <c r="C811" s="19" t="s">
        <v>3640</v>
      </c>
      <c r="D811" s="20" t="s">
        <v>3641</v>
      </c>
      <c r="E811" s="32" t="s">
        <v>4965</v>
      </c>
      <c r="F811" s="22" t="s">
        <v>53</v>
      </c>
      <c r="G811" s="23" t="s">
        <v>3643</v>
      </c>
      <c r="H811" s="24" t="s">
        <v>20</v>
      </c>
      <c r="J811" s="284" t="str">
        <f t="shared" si="81"/>
        <v>建築雜誌 │  ISSN:  0003-8555 *</v>
      </c>
      <c r="L811" s="243" t="s">
        <v>5443</v>
      </c>
    </row>
    <row r="812" spans="1:12" ht="26.25" customHeight="1">
      <c r="A812" s="17">
        <f t="shared" si="0"/>
        <v>809</v>
      </c>
      <c r="B812" s="18" t="s">
        <v>37</v>
      </c>
      <c r="C812" s="19" t="s">
        <v>3644</v>
      </c>
      <c r="D812" s="20" t="s">
        <v>3646</v>
      </c>
      <c r="E812" s="32" t="s">
        <v>5020</v>
      </c>
      <c r="F812" s="22" t="s">
        <v>53</v>
      </c>
      <c r="G812" s="23" t="s">
        <v>3648</v>
      </c>
      <c r="H812" s="24" t="s">
        <v>20</v>
      </c>
      <c r="J812" s="284" t="str">
        <f t="shared" si="81"/>
        <v>輕金屬 │  ISSN:  0451-5994 *</v>
      </c>
      <c r="L812" s="243" t="s">
        <v>5444</v>
      </c>
    </row>
    <row r="813" spans="1:12" ht="26.25" hidden="1" customHeight="1">
      <c r="A813" s="17">
        <f t="shared" si="0"/>
        <v>810</v>
      </c>
      <c r="B813" s="18" t="s">
        <v>105</v>
      </c>
      <c r="C813" s="31" t="s">
        <v>3649</v>
      </c>
      <c r="D813" s="20" t="s">
        <v>3651</v>
      </c>
      <c r="E813" s="32" t="s">
        <v>3652</v>
      </c>
      <c r="F813" s="33" t="s">
        <v>53</v>
      </c>
      <c r="G813" s="23" t="s">
        <v>3653</v>
      </c>
      <c r="H813" s="24" t="s">
        <v>55</v>
      </c>
    </row>
    <row r="814" spans="1:12" ht="26.25" customHeight="1">
      <c r="A814" s="17">
        <f t="shared" si="0"/>
        <v>811</v>
      </c>
      <c r="B814" s="18" t="s">
        <v>132</v>
      </c>
      <c r="C814" s="19" t="s">
        <v>3654</v>
      </c>
      <c r="D814" s="20" t="s">
        <v>3656</v>
      </c>
      <c r="E814" s="32" t="s">
        <v>4991</v>
      </c>
      <c r="F814" s="22" t="s">
        <v>53</v>
      </c>
      <c r="G814" s="23" t="s">
        <v>3658</v>
      </c>
      <c r="H814" s="24" t="s">
        <v>20</v>
      </c>
      <c r="J814" s="284" t="str">
        <f>CONCATENATE(C814," │  ISSN:  ",D814," *")</f>
        <v>計測と制御 │  ISSN:  0453-4662 *</v>
      </c>
      <c r="L814" s="243" t="s">
        <v>5445</v>
      </c>
    </row>
    <row r="815" spans="1:12" ht="26.25" hidden="1" customHeight="1">
      <c r="A815" s="17">
        <f t="shared" si="0"/>
        <v>812</v>
      </c>
      <c r="B815" s="18" t="s">
        <v>132</v>
      </c>
      <c r="C815" s="31" t="s">
        <v>3659</v>
      </c>
      <c r="D815" s="20" t="s">
        <v>3661</v>
      </c>
      <c r="E815" s="32" t="s">
        <v>3662</v>
      </c>
      <c r="F815" s="22" t="s">
        <v>53</v>
      </c>
      <c r="G815" s="23" t="s">
        <v>3663</v>
      </c>
      <c r="H815" s="24" t="s">
        <v>55</v>
      </c>
    </row>
    <row r="816" spans="1:12" ht="26.25" customHeight="1">
      <c r="A816" s="17">
        <f t="shared" si="0"/>
        <v>813</v>
      </c>
      <c r="B816" s="18" t="s">
        <v>27</v>
      </c>
      <c r="C816" s="19" t="s">
        <v>3664</v>
      </c>
      <c r="D816" s="20" t="s">
        <v>3666</v>
      </c>
      <c r="E816" s="32" t="s">
        <v>5050</v>
      </c>
      <c r="F816" s="22" t="s">
        <v>53</v>
      </c>
      <c r="G816" s="23" t="s">
        <v>3668</v>
      </c>
      <c r="H816" s="24" t="s">
        <v>20</v>
      </c>
      <c r="J816" s="284" t="str">
        <f t="shared" ref="J816:J817" si="82">CONCATENATE(C816," │  ISSN:  ",D816," *")</f>
        <v>高分子 │  ISSN:  0454-1138 *</v>
      </c>
      <c r="L816" s="243" t="s">
        <v>5446</v>
      </c>
    </row>
    <row r="817" spans="1:12" ht="26.25" customHeight="1">
      <c r="A817" s="17">
        <f t="shared" si="0"/>
        <v>814</v>
      </c>
      <c r="B817" s="18" t="s">
        <v>132</v>
      </c>
      <c r="C817" s="19" t="s">
        <v>3669</v>
      </c>
      <c r="D817" s="20" t="s">
        <v>3671</v>
      </c>
      <c r="E817" s="32" t="s">
        <v>52</v>
      </c>
      <c r="F817" s="22" t="s">
        <v>53</v>
      </c>
      <c r="G817" s="23" t="s">
        <v>3672</v>
      </c>
      <c r="H817" s="24" t="s">
        <v>20</v>
      </c>
      <c r="J817" s="284" t="str">
        <f t="shared" si="82"/>
        <v>空気調和 衛生工学会論文集 │  ISSN:  0385-275X *</v>
      </c>
      <c r="L817" s="243" t="s">
        <v>5447</v>
      </c>
    </row>
    <row r="818" spans="1:12" ht="26.25" hidden="1" customHeight="1">
      <c r="A818" s="17">
        <f t="shared" si="0"/>
        <v>815</v>
      </c>
      <c r="B818" s="18" t="s">
        <v>132</v>
      </c>
      <c r="C818" s="31" t="s">
        <v>3673</v>
      </c>
      <c r="D818" s="20" t="s">
        <v>758</v>
      </c>
      <c r="E818" s="32" t="s">
        <v>170</v>
      </c>
      <c r="F818" s="22" t="s">
        <v>53</v>
      </c>
      <c r="G818" s="23" t="s">
        <v>3674</v>
      </c>
      <c r="H818" s="24" t="s">
        <v>55</v>
      </c>
    </row>
    <row r="819" spans="1:12" ht="26.25" customHeight="1">
      <c r="A819" s="17">
        <f t="shared" si="0"/>
        <v>816</v>
      </c>
      <c r="B819" s="18" t="s">
        <v>37</v>
      </c>
      <c r="C819" s="19" t="s">
        <v>3675</v>
      </c>
      <c r="D819" s="20" t="s">
        <v>3677</v>
      </c>
      <c r="E819" s="32" t="s">
        <v>5021</v>
      </c>
      <c r="F819" s="22" t="s">
        <v>53</v>
      </c>
      <c r="G819" s="23" t="s">
        <v>3679</v>
      </c>
      <c r="H819" s="24" t="s">
        <v>20</v>
      </c>
      <c r="J819" s="284" t="str">
        <f>CONCATENATE(C819," │  ISSN:  ",D819," *")</f>
        <v>工業材料 │  ISSN:  0452-2834 *</v>
      </c>
      <c r="L819" s="243" t="s">
        <v>5448</v>
      </c>
    </row>
    <row r="820" spans="1:12" ht="26.25" hidden="1" customHeight="1">
      <c r="A820" s="17">
        <f t="shared" si="0"/>
        <v>817</v>
      </c>
      <c r="B820" s="18" t="s">
        <v>13</v>
      </c>
      <c r="C820" s="31" t="s">
        <v>3680</v>
      </c>
      <c r="D820" s="20" t="s">
        <v>3682</v>
      </c>
      <c r="E820" s="32" t="s">
        <v>3683</v>
      </c>
      <c r="F820" s="22" t="s">
        <v>53</v>
      </c>
      <c r="G820" s="23" t="s">
        <v>3684</v>
      </c>
      <c r="H820" s="24" t="s">
        <v>55</v>
      </c>
    </row>
    <row r="821" spans="1:12" ht="26.25" hidden="1" customHeight="1">
      <c r="A821" s="17">
        <f t="shared" si="0"/>
        <v>818</v>
      </c>
      <c r="B821" s="18" t="s">
        <v>1375</v>
      </c>
      <c r="C821" s="31" t="s">
        <v>3685</v>
      </c>
      <c r="D821" s="20" t="s">
        <v>3687</v>
      </c>
      <c r="E821" s="32" t="s">
        <v>3688</v>
      </c>
      <c r="F821" s="22" t="s">
        <v>53</v>
      </c>
      <c r="G821" s="23" t="s">
        <v>3689</v>
      </c>
      <c r="H821" s="24" t="s">
        <v>55</v>
      </c>
    </row>
    <row r="822" spans="1:12" ht="26.25" hidden="1" customHeight="1">
      <c r="A822" s="17">
        <f t="shared" si="0"/>
        <v>819</v>
      </c>
      <c r="B822" s="18" t="s">
        <v>13</v>
      </c>
      <c r="C822" s="31" t="s">
        <v>3690</v>
      </c>
      <c r="D822" s="20" t="s">
        <v>3692</v>
      </c>
      <c r="E822" s="32" t="s">
        <v>3693</v>
      </c>
      <c r="F822" s="22" t="s">
        <v>53</v>
      </c>
      <c r="G822" s="23" t="s">
        <v>3694</v>
      </c>
      <c r="H822" s="24" t="s">
        <v>55</v>
      </c>
    </row>
    <row r="823" spans="1:12" ht="26.25" hidden="1" customHeight="1">
      <c r="A823" s="17">
        <f t="shared" si="0"/>
        <v>820</v>
      </c>
      <c r="B823" s="18" t="s">
        <v>13</v>
      </c>
      <c r="C823" s="31" t="s">
        <v>3695</v>
      </c>
      <c r="D823" s="20" t="s">
        <v>3697</v>
      </c>
      <c r="E823" s="32" t="s">
        <v>3698</v>
      </c>
      <c r="F823" s="22" t="s">
        <v>53</v>
      </c>
      <c r="G823" s="23" t="s">
        <v>3699</v>
      </c>
      <c r="H823" s="24" t="s">
        <v>55</v>
      </c>
    </row>
    <row r="824" spans="1:12" ht="26.25" customHeight="1">
      <c r="A824" s="17">
        <f t="shared" si="0"/>
        <v>821</v>
      </c>
      <c r="B824" s="18" t="s">
        <v>13</v>
      </c>
      <c r="C824" s="19" t="s">
        <v>3700</v>
      </c>
      <c r="D824" s="20" t="s">
        <v>3702</v>
      </c>
      <c r="E824" s="32" t="s">
        <v>3736</v>
      </c>
      <c r="F824" s="22" t="s">
        <v>53</v>
      </c>
      <c r="G824" s="23" t="s">
        <v>3703</v>
      </c>
      <c r="H824" s="24" t="s">
        <v>20</v>
      </c>
      <c r="J824" s="284" t="str">
        <f t="shared" ref="J824:J831" si="83">CONCATENATE(C824," │  ISSN:  ",D824," *")</f>
        <v>橋梁と基礎 │  ISSN:  0287-170X *</v>
      </c>
      <c r="L824" s="243" t="s">
        <v>5449</v>
      </c>
    </row>
    <row r="825" spans="1:12" ht="26.25" customHeight="1">
      <c r="A825" s="17">
        <f t="shared" si="0"/>
        <v>822</v>
      </c>
      <c r="B825" s="18" t="s">
        <v>13</v>
      </c>
      <c r="C825" s="19" t="s">
        <v>3704</v>
      </c>
      <c r="D825" s="20" t="s">
        <v>3706</v>
      </c>
      <c r="E825" s="32" t="s">
        <v>178</v>
      </c>
      <c r="F825" s="22" t="s">
        <v>53</v>
      </c>
      <c r="G825" s="23" t="s">
        <v>3707</v>
      </c>
      <c r="H825" s="24" t="s">
        <v>20</v>
      </c>
      <c r="J825" s="284" t="str">
        <f t="shared" si="83"/>
        <v>近代建築 │  ISSN:  0023-1479 *</v>
      </c>
      <c r="L825" s="243" t="s">
        <v>5450</v>
      </c>
    </row>
    <row r="826" spans="1:12" ht="26.25" customHeight="1">
      <c r="A826" s="17">
        <f t="shared" si="0"/>
        <v>823</v>
      </c>
      <c r="B826" s="18" t="s">
        <v>37</v>
      </c>
      <c r="C826" s="19" t="s">
        <v>3708</v>
      </c>
      <c r="D826" s="20" t="s">
        <v>3710</v>
      </c>
      <c r="E826" s="32" t="s">
        <v>5022</v>
      </c>
      <c r="F826" s="22" t="s">
        <v>53</v>
      </c>
      <c r="G826" s="23" t="s">
        <v>3712</v>
      </c>
      <c r="H826" s="24" t="s">
        <v>20</v>
      </c>
      <c r="J826" s="284" t="str">
        <f t="shared" si="83"/>
        <v>金屬 │  ISSN:  0368-6337 *</v>
      </c>
      <c r="L826" s="243" t="s">
        <v>5451</v>
      </c>
    </row>
    <row r="827" spans="1:12" ht="26.25" customHeight="1">
      <c r="A827" s="17">
        <f t="shared" si="0"/>
        <v>824</v>
      </c>
      <c r="B827" s="18" t="s">
        <v>132</v>
      </c>
      <c r="C827" s="19" t="s">
        <v>3713</v>
      </c>
      <c r="D827" s="20" t="s">
        <v>1787</v>
      </c>
      <c r="E827" s="32" t="s">
        <v>3715</v>
      </c>
      <c r="F827" s="22" t="s">
        <v>53</v>
      </c>
      <c r="G827" s="23" t="s">
        <v>3716</v>
      </c>
      <c r="H827" s="24" t="s">
        <v>20</v>
      </c>
      <c r="J827" s="284" t="str">
        <f t="shared" si="83"/>
        <v>機械 と工具 │  ISSN:  0387-1053 *</v>
      </c>
      <c r="L827" s="243" t="s">
        <v>5452</v>
      </c>
    </row>
    <row r="828" spans="1:12" ht="26.25" customHeight="1">
      <c r="A828" s="17">
        <f t="shared" si="0"/>
        <v>825</v>
      </c>
      <c r="B828" s="18" t="s">
        <v>132</v>
      </c>
      <c r="C828" s="19" t="s">
        <v>3717</v>
      </c>
      <c r="D828" s="20" t="s">
        <v>1794</v>
      </c>
      <c r="E828" s="32" t="s">
        <v>3719</v>
      </c>
      <c r="F828" s="22" t="s">
        <v>53</v>
      </c>
      <c r="G828" s="23" t="s">
        <v>3720</v>
      </c>
      <c r="H828" s="24" t="s">
        <v>20</v>
      </c>
      <c r="J828" s="284" t="str">
        <f t="shared" si="83"/>
        <v>機械の硏究 │  ISSN:  0368-5713 *</v>
      </c>
      <c r="L828" s="243" t="s">
        <v>5453</v>
      </c>
    </row>
    <row r="829" spans="1:12" ht="26.25" customHeight="1">
      <c r="A829" s="17">
        <f t="shared" si="0"/>
        <v>826</v>
      </c>
      <c r="B829" s="18" t="s">
        <v>132</v>
      </c>
      <c r="C829" s="19" t="s">
        <v>1796</v>
      </c>
      <c r="D829" s="20" t="s">
        <v>1798</v>
      </c>
      <c r="E829" s="32" t="s">
        <v>3721</v>
      </c>
      <c r="F829" s="22" t="s">
        <v>53</v>
      </c>
      <c r="G829" s="23" t="s">
        <v>3722</v>
      </c>
      <c r="H829" s="24" t="s">
        <v>20</v>
      </c>
      <c r="J829" s="284" t="str">
        <f t="shared" si="83"/>
        <v>機械技術 │  ISSN:  0451-9396 *</v>
      </c>
      <c r="L829" s="243" t="s">
        <v>5454</v>
      </c>
    </row>
    <row r="830" spans="1:12" ht="26.25" customHeight="1">
      <c r="A830" s="17">
        <f t="shared" si="0"/>
        <v>827</v>
      </c>
      <c r="B830" s="18" t="s">
        <v>132</v>
      </c>
      <c r="C830" s="19" t="s">
        <v>3723</v>
      </c>
      <c r="D830" s="20" t="s">
        <v>3724</v>
      </c>
      <c r="E830" s="32" t="s">
        <v>4992</v>
      </c>
      <c r="F830" s="22" t="s">
        <v>53</v>
      </c>
      <c r="G830" s="23" t="s">
        <v>3725</v>
      </c>
      <c r="H830" s="24" t="s">
        <v>20</v>
      </c>
      <c r="J830" s="284" t="str">
        <f t="shared" si="83"/>
        <v>機械設計 │  ISSN:  0387-1045 *</v>
      </c>
      <c r="L830" s="243" t="s">
        <v>5455</v>
      </c>
    </row>
    <row r="831" spans="1:12" ht="26.25" customHeight="1">
      <c r="A831" s="17">
        <f t="shared" si="0"/>
        <v>828</v>
      </c>
      <c r="B831" s="18" t="s">
        <v>132</v>
      </c>
      <c r="C831" s="19" t="s">
        <v>3726</v>
      </c>
      <c r="D831" s="20" t="s">
        <v>3728</v>
      </c>
      <c r="E831" s="32" t="s">
        <v>4993</v>
      </c>
      <c r="F831" s="22" t="s">
        <v>53</v>
      </c>
      <c r="G831" s="23" t="s">
        <v>3730</v>
      </c>
      <c r="H831" s="24" t="s">
        <v>20</v>
      </c>
      <c r="J831" s="284" t="str">
        <f t="shared" si="83"/>
        <v>機能材料 │  ISSN:  0286-4835 *</v>
      </c>
      <c r="L831" s="243" t="s">
        <v>5456</v>
      </c>
    </row>
    <row r="832" spans="1:12" ht="26.25" hidden="1" customHeight="1">
      <c r="A832" s="17">
        <f t="shared" si="0"/>
        <v>829</v>
      </c>
      <c r="B832" s="18" t="s">
        <v>105</v>
      </c>
      <c r="C832" s="31" t="s">
        <v>3731</v>
      </c>
      <c r="D832" s="20" t="s">
        <v>283</v>
      </c>
      <c r="E832" s="32" t="s">
        <v>3732</v>
      </c>
      <c r="F832" s="33" t="s">
        <v>53</v>
      </c>
      <c r="G832" s="23" t="s">
        <v>3733</v>
      </c>
      <c r="H832" s="24" t="s">
        <v>55</v>
      </c>
    </row>
    <row r="833" spans="1:12" ht="26.25" customHeight="1">
      <c r="A833" s="17">
        <f t="shared" si="0"/>
        <v>830</v>
      </c>
      <c r="B833" s="18" t="s">
        <v>13</v>
      </c>
      <c r="C833" s="19" t="s">
        <v>3734</v>
      </c>
      <c r="D833" s="20" t="s">
        <v>1802</v>
      </c>
      <c r="E833" s="32" t="s">
        <v>3736</v>
      </c>
      <c r="F833" s="33" t="s">
        <v>53</v>
      </c>
      <c r="G833" s="23" t="s">
        <v>3737</v>
      </c>
      <c r="H833" s="24" t="s">
        <v>20</v>
      </c>
      <c r="J833" s="284" t="str">
        <f>CONCATENATE(C833," │  ISSN:  ",D833," *")</f>
        <v>基礎工, 第1卷 │  ISSN:  0285-5356 *</v>
      </c>
      <c r="L833" s="243" t="s">
        <v>5457</v>
      </c>
    </row>
    <row r="834" spans="1:12" ht="26.25" hidden="1" customHeight="1">
      <c r="A834" s="17">
        <f t="shared" si="0"/>
        <v>831</v>
      </c>
      <c r="B834" s="18" t="s">
        <v>132</v>
      </c>
      <c r="C834" s="31" t="s">
        <v>3738</v>
      </c>
      <c r="D834" s="20" t="s">
        <v>3740</v>
      </c>
      <c r="E834" s="32" t="s">
        <v>3741</v>
      </c>
      <c r="F834" s="33" t="s">
        <v>53</v>
      </c>
      <c r="G834" s="23" t="s">
        <v>3742</v>
      </c>
      <c r="H834" s="24" t="s">
        <v>55</v>
      </c>
    </row>
    <row r="835" spans="1:12" ht="26.25" customHeight="1">
      <c r="A835" s="17">
        <f t="shared" si="0"/>
        <v>832</v>
      </c>
      <c r="B835" s="18" t="s">
        <v>27</v>
      </c>
      <c r="C835" s="19" t="s">
        <v>3743</v>
      </c>
      <c r="D835" s="20" t="s">
        <v>3745</v>
      </c>
      <c r="E835" s="32" t="s">
        <v>52</v>
      </c>
      <c r="F835" s="33" t="s">
        <v>53</v>
      </c>
      <c r="G835" s="23" t="s">
        <v>3746</v>
      </c>
      <c r="H835" s="24" t="s">
        <v>20</v>
      </c>
      <c r="J835" s="284" t="str">
        <f>CONCATENATE(C835," │  ISSN:  ",D835," *")</f>
        <v>冷凍 │  ISSN:  0034-3714 *</v>
      </c>
      <c r="L835" s="243" t="s">
        <v>5458</v>
      </c>
    </row>
    <row r="836" spans="1:12" ht="26.25" hidden="1" customHeight="1">
      <c r="A836" s="17">
        <f t="shared" si="0"/>
        <v>833</v>
      </c>
      <c r="B836" s="18" t="s">
        <v>867</v>
      </c>
      <c r="C836" s="31" t="s">
        <v>3747</v>
      </c>
      <c r="D836" s="20" t="s">
        <v>3748</v>
      </c>
      <c r="E836" s="32" t="s">
        <v>3749</v>
      </c>
      <c r="F836" s="33" t="s">
        <v>53</v>
      </c>
      <c r="G836" s="23" t="s">
        <v>3750</v>
      </c>
      <c r="H836" s="24" t="s">
        <v>55</v>
      </c>
    </row>
    <row r="837" spans="1:12" ht="26.25" hidden="1" customHeight="1">
      <c r="A837" s="17">
        <f t="shared" si="0"/>
        <v>834</v>
      </c>
      <c r="B837" s="18" t="s">
        <v>867</v>
      </c>
      <c r="C837" s="31" t="s">
        <v>3751</v>
      </c>
      <c r="D837" s="20" t="s">
        <v>3753</v>
      </c>
      <c r="E837" s="32" t="s">
        <v>3754</v>
      </c>
      <c r="F837" s="33" t="s">
        <v>53</v>
      </c>
      <c r="G837" s="23" t="s">
        <v>3755</v>
      </c>
      <c r="H837" s="24" t="s">
        <v>55</v>
      </c>
    </row>
    <row r="838" spans="1:12" ht="26.25" customHeight="1">
      <c r="A838" s="17">
        <f t="shared" si="0"/>
        <v>835</v>
      </c>
      <c r="B838" s="18" t="s">
        <v>13</v>
      </c>
      <c r="C838" s="19" t="s">
        <v>3756</v>
      </c>
      <c r="D838" s="20" t="s">
        <v>3758</v>
      </c>
      <c r="E838" s="32" t="s">
        <v>4966</v>
      </c>
      <c r="F838" s="33" t="s">
        <v>53</v>
      </c>
      <c r="G838" s="23" t="s">
        <v>3759</v>
      </c>
      <c r="H838" s="24" t="s">
        <v>20</v>
      </c>
      <c r="J838" s="284" t="str">
        <f t="shared" ref="J838:J839" si="84">CONCATENATE(C838," │  ISSN:  ",D838," *")</f>
        <v>都市計劃 │  ISSN:  0495-9280 *</v>
      </c>
      <c r="L838" s="243" t="s">
        <v>5459</v>
      </c>
    </row>
    <row r="839" spans="1:12" ht="26.25" customHeight="1">
      <c r="A839" s="17">
        <f t="shared" si="0"/>
        <v>836</v>
      </c>
      <c r="B839" s="18" t="s">
        <v>175</v>
      </c>
      <c r="C839" s="31" t="s">
        <v>3760</v>
      </c>
      <c r="D839" s="20" t="s">
        <v>3762</v>
      </c>
      <c r="E839" s="21" t="s">
        <v>4966</v>
      </c>
      <c r="F839" s="33" t="s">
        <v>53</v>
      </c>
      <c r="G839" s="23" t="s">
        <v>3763</v>
      </c>
      <c r="H839" s="34" t="s">
        <v>20</v>
      </c>
      <c r="J839" s="284" t="str">
        <f t="shared" si="84"/>
        <v>膜 │  ISSN:  0385-1036 *</v>
      </c>
      <c r="L839" s="243" t="s">
        <v>5460</v>
      </c>
    </row>
    <row r="840" spans="1:12" ht="26.25" hidden="1" customHeight="1">
      <c r="A840" s="17">
        <f t="shared" si="0"/>
        <v>837</v>
      </c>
      <c r="B840" s="18" t="s">
        <v>3194</v>
      </c>
      <c r="C840" s="31" t="s">
        <v>3764</v>
      </c>
      <c r="D840" s="20" t="s">
        <v>3766</v>
      </c>
      <c r="E840" s="32" t="s">
        <v>3767</v>
      </c>
      <c r="F840" s="33" t="s">
        <v>53</v>
      </c>
      <c r="G840" s="23" t="s">
        <v>3768</v>
      </c>
      <c r="H840" s="24" t="s">
        <v>55</v>
      </c>
    </row>
    <row r="841" spans="1:12" ht="26.25" hidden="1" customHeight="1">
      <c r="A841" s="17">
        <f t="shared" si="0"/>
        <v>838</v>
      </c>
      <c r="B841" s="18" t="s">
        <v>175</v>
      </c>
      <c r="C841" s="31" t="s">
        <v>3769</v>
      </c>
      <c r="D841" s="20" t="s">
        <v>432</v>
      </c>
      <c r="E841" s="32" t="s">
        <v>3771</v>
      </c>
      <c r="F841" s="33" t="s">
        <v>53</v>
      </c>
      <c r="G841" s="23" t="s">
        <v>3772</v>
      </c>
      <c r="H841" s="24" t="s">
        <v>55</v>
      </c>
    </row>
    <row r="842" spans="1:12" ht="26.25" customHeight="1">
      <c r="A842" s="17">
        <f t="shared" si="0"/>
        <v>839</v>
      </c>
      <c r="B842" s="18" t="s">
        <v>175</v>
      </c>
      <c r="C842" s="31" t="s">
        <v>3773</v>
      </c>
      <c r="D842" s="20" t="s">
        <v>1583</v>
      </c>
      <c r="E842" s="21" t="s">
        <v>3775</v>
      </c>
      <c r="F842" s="33" t="s">
        <v>53</v>
      </c>
      <c r="G842" s="23" t="s">
        <v>3776</v>
      </c>
      <c r="H842" s="34" t="s">
        <v>20</v>
      </c>
      <c r="J842" s="284" t="str">
        <f>CONCATENATE(C842," │  ISSN:  ",D842," *")</f>
        <v>保健の科學 │  ISSN:  0018-3342 *</v>
      </c>
      <c r="L842" s="243" t="s">
        <v>5461</v>
      </c>
    </row>
    <row r="843" spans="1:12" ht="26.25" hidden="1" customHeight="1">
      <c r="A843" s="17">
        <f t="shared" si="0"/>
        <v>840</v>
      </c>
      <c r="B843" s="18" t="s">
        <v>27</v>
      </c>
      <c r="C843" s="31" t="s">
        <v>3777</v>
      </c>
      <c r="D843" s="1"/>
      <c r="E843" s="32" t="s">
        <v>3779</v>
      </c>
      <c r="F843" s="33" t="s">
        <v>53</v>
      </c>
      <c r="G843" s="23" t="s">
        <v>3780</v>
      </c>
      <c r="H843" s="24" t="s">
        <v>55</v>
      </c>
    </row>
    <row r="844" spans="1:12" ht="26.25" customHeight="1">
      <c r="A844" s="17">
        <f t="shared" si="0"/>
        <v>841</v>
      </c>
      <c r="B844" s="18" t="s">
        <v>132</v>
      </c>
      <c r="C844" s="19" t="s">
        <v>3781</v>
      </c>
      <c r="D844" s="20" t="s">
        <v>3783</v>
      </c>
      <c r="E844" s="32" t="s">
        <v>4966</v>
      </c>
      <c r="F844" s="22" t="s">
        <v>53</v>
      </c>
      <c r="G844" s="23" t="s">
        <v>3784</v>
      </c>
      <c r="H844" s="24" t="s">
        <v>20</v>
      </c>
      <c r="J844" s="284" t="str">
        <f t="shared" ref="J844:J846" si="85">CONCATENATE(C844," │  ISSN:  ",D844," *")</f>
        <v>非破壞檢査 │  ISSN:  0367-5866 *</v>
      </c>
      <c r="L844" s="243" t="s">
        <v>5462</v>
      </c>
    </row>
    <row r="845" spans="1:12" ht="26.25" customHeight="1">
      <c r="A845" s="17">
        <f t="shared" si="0"/>
        <v>842</v>
      </c>
      <c r="B845" s="18" t="s">
        <v>105</v>
      </c>
      <c r="C845" s="31" t="s">
        <v>3785</v>
      </c>
      <c r="D845" s="20" t="s">
        <v>3787</v>
      </c>
      <c r="E845" s="21" t="s">
        <v>4995</v>
      </c>
      <c r="F845" s="33" t="s">
        <v>53</v>
      </c>
      <c r="G845" s="23" t="s">
        <v>3788</v>
      </c>
      <c r="H845" s="34" t="s">
        <v>20</v>
      </c>
      <c r="J845" s="284" t="str">
        <f t="shared" si="85"/>
        <v>寫眞測量とリモ-トセンシング │  ISSN:  0285-5844 *</v>
      </c>
      <c r="L845" s="243" t="s">
        <v>5463</v>
      </c>
    </row>
    <row r="846" spans="1:12" ht="26.25" customHeight="1">
      <c r="A846" s="17">
        <f t="shared" si="0"/>
        <v>843</v>
      </c>
      <c r="B846" s="18" t="s">
        <v>13</v>
      </c>
      <c r="C846" s="19" t="s">
        <v>3789</v>
      </c>
      <c r="D846" s="100" t="s">
        <v>4967</v>
      </c>
      <c r="E846" s="32" t="s">
        <v>2902</v>
      </c>
      <c r="F846" s="33" t="s">
        <v>53</v>
      </c>
      <c r="G846" s="23" t="s">
        <v>3793</v>
      </c>
      <c r="H846" s="24" t="s">
        <v>20</v>
      </c>
      <c r="J846" s="284" t="str">
        <f t="shared" si="85"/>
        <v>商店建築 │  ISSN:  0001-1476
(0385-3195) *</v>
      </c>
      <c r="L846" s="243" t="s">
        <v>5464</v>
      </c>
    </row>
    <row r="847" spans="1:12" ht="26.25" hidden="1" customHeight="1">
      <c r="A847" s="17">
        <f t="shared" si="0"/>
        <v>844</v>
      </c>
      <c r="B847" s="18" t="s">
        <v>37</v>
      </c>
      <c r="C847" s="31" t="s">
        <v>202</v>
      </c>
      <c r="D847" s="20" t="s">
        <v>204</v>
      </c>
      <c r="E847" s="32" t="s">
        <v>3795</v>
      </c>
      <c r="F847" s="33" t="s">
        <v>53</v>
      </c>
      <c r="G847" s="23" t="s">
        <v>3796</v>
      </c>
      <c r="H847" s="24" t="s">
        <v>55</v>
      </c>
    </row>
    <row r="848" spans="1:12" ht="26.25" customHeight="1">
      <c r="A848" s="17">
        <f t="shared" si="0"/>
        <v>845</v>
      </c>
      <c r="B848" s="18" t="s">
        <v>37</v>
      </c>
      <c r="C848" s="19" t="s">
        <v>3797</v>
      </c>
      <c r="D848" s="20" t="s">
        <v>3799</v>
      </c>
      <c r="E848" s="32" t="s">
        <v>5023</v>
      </c>
      <c r="F848" s="33" t="s">
        <v>53</v>
      </c>
      <c r="G848" s="23" t="s">
        <v>3801</v>
      </c>
      <c r="H848" s="24" t="s">
        <v>20</v>
      </c>
      <c r="J848" s="284" t="str">
        <f t="shared" ref="J848:J850" si="86">CONCATENATE(C848," │  ISSN:  ",D848," *")</f>
        <v>纖維機械學會誌 │  ISSN:  0371-0580 *</v>
      </c>
      <c r="L848" s="243" t="s">
        <v>5465</v>
      </c>
    </row>
    <row r="849" spans="1:12" ht="26.25" customHeight="1">
      <c r="A849" s="17">
        <f t="shared" si="0"/>
        <v>846</v>
      </c>
      <c r="B849" s="18" t="s">
        <v>37</v>
      </c>
      <c r="C849" s="19" t="s">
        <v>3802</v>
      </c>
      <c r="D849" s="20" t="s">
        <v>3804</v>
      </c>
      <c r="E849" s="32" t="s">
        <v>5024</v>
      </c>
      <c r="F849" s="33" t="s">
        <v>53</v>
      </c>
      <c r="G849" s="23" t="s">
        <v>3806</v>
      </c>
      <c r="H849" s="24" t="s">
        <v>20</v>
      </c>
      <c r="J849" s="284" t="str">
        <f t="shared" si="86"/>
        <v>纖維製品消費科學 │  ISSN:  0037-2072 *</v>
      </c>
      <c r="L849" s="243" t="s">
        <v>5466</v>
      </c>
    </row>
    <row r="850" spans="1:12" ht="26.25" customHeight="1">
      <c r="A850" s="17">
        <f t="shared" si="0"/>
        <v>847</v>
      </c>
      <c r="B850" s="18" t="s">
        <v>37</v>
      </c>
      <c r="C850" s="19" t="s">
        <v>3807</v>
      </c>
      <c r="D850" s="20" t="s">
        <v>3809</v>
      </c>
      <c r="E850" s="32" t="s">
        <v>5025</v>
      </c>
      <c r="F850" s="22" t="s">
        <v>31</v>
      </c>
      <c r="G850" s="23" t="s">
        <v>3811</v>
      </c>
      <c r="H850" s="24" t="s">
        <v>20</v>
      </c>
      <c r="J850" s="284" t="str">
        <f t="shared" si="86"/>
        <v>纖維學會誌 │  ISSN:  0037-9875 *</v>
      </c>
      <c r="L850" s="243" t="s">
        <v>5467</v>
      </c>
    </row>
    <row r="851" spans="1:12" ht="26.25" hidden="1" customHeight="1">
      <c r="A851" s="17">
        <f t="shared" si="0"/>
        <v>848</v>
      </c>
      <c r="B851" s="18" t="s">
        <v>175</v>
      </c>
      <c r="C851" s="31" t="s">
        <v>3812</v>
      </c>
      <c r="D851" s="20" t="s">
        <v>3814</v>
      </c>
      <c r="E851" s="32" t="s">
        <v>3815</v>
      </c>
      <c r="F851" s="33" t="s">
        <v>53</v>
      </c>
      <c r="G851" s="23" t="s">
        <v>3816</v>
      </c>
      <c r="H851" s="24" t="s">
        <v>55</v>
      </c>
    </row>
    <row r="852" spans="1:12" ht="26.25" customHeight="1">
      <c r="A852" s="17">
        <f t="shared" si="0"/>
        <v>849</v>
      </c>
      <c r="B852" s="18" t="s">
        <v>132</v>
      </c>
      <c r="C852" s="19" t="s">
        <v>3817</v>
      </c>
      <c r="D852" s="20" t="s">
        <v>3819</v>
      </c>
      <c r="E852" s="32" t="s">
        <v>4994</v>
      </c>
      <c r="F852" s="33" t="s">
        <v>53</v>
      </c>
      <c r="G852" s="23" t="s">
        <v>3821</v>
      </c>
      <c r="H852" s="24" t="s">
        <v>20</v>
      </c>
      <c r="J852" s="284" t="str">
        <f t="shared" ref="J852:J853" si="87">CONCATENATE(C852," │  ISSN:  ",D852," *")</f>
        <v>塑性と加工 │  ISSN:  0038-1586 *</v>
      </c>
      <c r="L852" s="243" t="s">
        <v>5468</v>
      </c>
    </row>
    <row r="853" spans="1:12" ht="26.25" customHeight="1">
      <c r="A853" s="17">
        <f t="shared" si="0"/>
        <v>850</v>
      </c>
      <c r="B853" s="18" t="s">
        <v>1197</v>
      </c>
      <c r="C853" s="19" t="s">
        <v>1807</v>
      </c>
      <c r="D853" s="20" t="s">
        <v>1809</v>
      </c>
      <c r="E853" s="32" t="s">
        <v>3823</v>
      </c>
      <c r="F853" s="33" t="s">
        <v>53</v>
      </c>
      <c r="G853" s="23" t="s">
        <v>3824</v>
      </c>
      <c r="H853" s="24" t="s">
        <v>20</v>
      </c>
      <c r="J853" s="284" t="str">
        <f t="shared" si="87"/>
        <v>水道協會雜誌 │  ISSN:  0371-0785 *</v>
      </c>
      <c r="L853" s="243" t="s">
        <v>5469</v>
      </c>
    </row>
    <row r="854" spans="1:12" ht="26.25" hidden="1" customHeight="1">
      <c r="A854" s="17">
        <f t="shared" si="0"/>
        <v>851</v>
      </c>
      <c r="B854" s="18" t="s">
        <v>105</v>
      </c>
      <c r="C854" s="31" t="s">
        <v>3825</v>
      </c>
      <c r="D854" s="20" t="s">
        <v>479</v>
      </c>
      <c r="E854" s="32" t="s">
        <v>3826</v>
      </c>
      <c r="F854" s="33" t="s">
        <v>53</v>
      </c>
      <c r="G854" s="23" t="s">
        <v>3827</v>
      </c>
      <c r="H854" s="24" t="s">
        <v>55</v>
      </c>
    </row>
    <row r="855" spans="1:12" ht="26.25" hidden="1" customHeight="1">
      <c r="A855" s="17">
        <f t="shared" si="0"/>
        <v>852</v>
      </c>
      <c r="B855" s="18" t="s">
        <v>13</v>
      </c>
      <c r="C855" s="31" t="s">
        <v>3828</v>
      </c>
      <c r="D855" s="20" t="s">
        <v>3830</v>
      </c>
      <c r="E855" s="32" t="s">
        <v>170</v>
      </c>
      <c r="F855" s="33" t="s">
        <v>53</v>
      </c>
      <c r="G855" s="23" t="s">
        <v>3831</v>
      </c>
      <c r="H855" s="24" t="s">
        <v>55</v>
      </c>
    </row>
    <row r="856" spans="1:12" ht="26.25" customHeight="1">
      <c r="A856" s="17">
        <f t="shared" si="0"/>
        <v>853</v>
      </c>
      <c r="B856" s="18" t="s">
        <v>867</v>
      </c>
      <c r="C856" s="31" t="s">
        <v>3832</v>
      </c>
      <c r="D856" s="20" t="s">
        <v>1561</v>
      </c>
      <c r="E856" s="21" t="s">
        <v>3834</v>
      </c>
      <c r="F856" s="33" t="s">
        <v>53</v>
      </c>
      <c r="G856" s="23" t="s">
        <v>3835</v>
      </c>
      <c r="H856" s="34" t="s">
        <v>20</v>
      </c>
      <c r="J856" s="284" t="str">
        <f t="shared" ref="J856:J862" si="88">CONCATENATE(C856," │  ISSN:  ",D856," *")</f>
        <v>食品と科學 │  ISSN:  0037-4105 *</v>
      </c>
      <c r="L856" s="243" t="s">
        <v>5470</v>
      </c>
    </row>
    <row r="857" spans="1:12" ht="26.25" customHeight="1">
      <c r="A857" s="17">
        <f t="shared" si="0"/>
        <v>854</v>
      </c>
      <c r="B857" s="18" t="s">
        <v>867</v>
      </c>
      <c r="C857" s="31" t="s">
        <v>3836</v>
      </c>
      <c r="D857" s="20" t="s">
        <v>3838</v>
      </c>
      <c r="E857" s="21" t="s">
        <v>5085</v>
      </c>
      <c r="F857" s="33" t="s">
        <v>53</v>
      </c>
      <c r="G857" s="23" t="s">
        <v>3840</v>
      </c>
      <c r="H857" s="34" t="s">
        <v>20</v>
      </c>
      <c r="J857" s="284" t="str">
        <f t="shared" si="88"/>
        <v>食品衛生硏究 │  ISSN:  0559-8974 *</v>
      </c>
      <c r="L857" s="243" t="s">
        <v>5471</v>
      </c>
    </row>
    <row r="858" spans="1:12" ht="26.25" customHeight="1">
      <c r="A858" s="17">
        <f t="shared" si="0"/>
        <v>855</v>
      </c>
      <c r="B858" s="18" t="s">
        <v>13</v>
      </c>
      <c r="C858" s="19" t="s">
        <v>3841</v>
      </c>
      <c r="D858" s="103" t="s">
        <v>3843</v>
      </c>
      <c r="E858" s="32" t="s">
        <v>4969</v>
      </c>
      <c r="F858" s="33" t="s">
        <v>53</v>
      </c>
      <c r="G858" s="23" t="s">
        <v>3844</v>
      </c>
      <c r="H858" s="24" t="s">
        <v>20</v>
      </c>
      <c r="J858" s="284" t="str">
        <f t="shared" si="88"/>
        <v>新しい住まいの設計 │  ISSN:  4000-2000 *</v>
      </c>
      <c r="L858" s="243" t="s">
        <v>5472</v>
      </c>
    </row>
    <row r="859" spans="1:12" ht="26.25" customHeight="1">
      <c r="A859" s="17">
        <f t="shared" si="0"/>
        <v>856</v>
      </c>
      <c r="B859" s="18" t="s">
        <v>13</v>
      </c>
      <c r="C859" s="19" t="s">
        <v>3845</v>
      </c>
      <c r="D859" s="20" t="s">
        <v>3847</v>
      </c>
      <c r="E859" s="32" t="s">
        <v>4970</v>
      </c>
      <c r="F859" s="33" t="s">
        <v>53</v>
      </c>
      <c r="G859" s="23" t="s">
        <v>3849</v>
      </c>
      <c r="H859" s="24" t="s">
        <v>20</v>
      </c>
      <c r="J859" s="284" t="str">
        <f t="shared" si="88"/>
        <v>新建築 │  ISSN:  1342-5447 *</v>
      </c>
      <c r="L859" s="243" t="s">
        <v>5473</v>
      </c>
    </row>
    <row r="860" spans="1:12" ht="26.25" customHeight="1">
      <c r="A860" s="17">
        <f t="shared" si="0"/>
        <v>857</v>
      </c>
      <c r="B860" s="18" t="s">
        <v>105</v>
      </c>
      <c r="C860" s="19" t="s">
        <v>3850</v>
      </c>
      <c r="D860" s="20" t="s">
        <v>3852</v>
      </c>
      <c r="E860" s="32" t="s">
        <v>2272</v>
      </c>
      <c r="F860" s="33" t="s">
        <v>63</v>
      </c>
      <c r="G860" s="23" t="s">
        <v>3854</v>
      </c>
      <c r="H860" s="24" t="s">
        <v>20</v>
      </c>
      <c r="J860" s="284" t="str">
        <f t="shared" si="88"/>
        <v>岩石鑛物科學 │  ISSN:  1345-630X *</v>
      </c>
      <c r="L860" s="243" t="s">
        <v>5474</v>
      </c>
    </row>
    <row r="861" spans="1:12" ht="26.25" customHeight="1">
      <c r="A861" s="17">
        <f t="shared" si="0"/>
        <v>858</v>
      </c>
      <c r="B861" s="18" t="s">
        <v>175</v>
      </c>
      <c r="C861" s="31" t="s">
        <v>3855</v>
      </c>
      <c r="D861" s="20" t="s">
        <v>3857</v>
      </c>
      <c r="E861" s="21" t="s">
        <v>5078</v>
      </c>
      <c r="F861" s="33" t="s">
        <v>53</v>
      </c>
      <c r="G861" s="23" t="s">
        <v>3859</v>
      </c>
      <c r="H861" s="34" t="s">
        <v>20</v>
      </c>
      <c r="J861" s="284" t="str">
        <f t="shared" si="88"/>
        <v>藥局 │  ISSN:  0044-0035 *</v>
      </c>
      <c r="L861" s="243" t="s">
        <v>5475</v>
      </c>
    </row>
    <row r="862" spans="1:12" ht="26.25" customHeight="1">
      <c r="A862" s="17">
        <f t="shared" si="0"/>
        <v>859</v>
      </c>
      <c r="B862" s="18" t="s">
        <v>175</v>
      </c>
      <c r="C862" s="31" t="s">
        <v>3860</v>
      </c>
      <c r="D862" s="20" t="s">
        <v>3862</v>
      </c>
      <c r="E862" s="21" t="s">
        <v>5064</v>
      </c>
      <c r="F862" s="33" t="s">
        <v>53</v>
      </c>
      <c r="G862" s="23" t="s">
        <v>3864</v>
      </c>
      <c r="H862" s="34" t="s">
        <v>20</v>
      </c>
      <c r="J862" s="284" t="str">
        <f t="shared" si="88"/>
        <v>藥事 │  ISSN:  0016-5980 *</v>
      </c>
      <c r="L862" s="243" t="s">
        <v>5476</v>
      </c>
    </row>
    <row r="863" spans="1:12" ht="26.25" hidden="1" customHeight="1">
      <c r="A863" s="17">
        <f t="shared" si="0"/>
        <v>860</v>
      </c>
      <c r="B863" s="18" t="s">
        <v>175</v>
      </c>
      <c r="C863" s="31" t="s">
        <v>3865</v>
      </c>
      <c r="D863" s="20" t="s">
        <v>400</v>
      </c>
      <c r="E863" s="32" t="s">
        <v>3867</v>
      </c>
      <c r="F863" s="33" t="s">
        <v>53</v>
      </c>
      <c r="G863" s="23" t="s">
        <v>3868</v>
      </c>
      <c r="H863" s="24" t="s">
        <v>55</v>
      </c>
    </row>
    <row r="864" spans="1:12" ht="26.25" customHeight="1">
      <c r="A864" s="17">
        <f t="shared" si="0"/>
        <v>861</v>
      </c>
      <c r="B864" s="18" t="s">
        <v>175</v>
      </c>
      <c r="C864" s="31" t="s">
        <v>3869</v>
      </c>
      <c r="D864" s="20" t="s">
        <v>3870</v>
      </c>
      <c r="E864" s="21" t="s">
        <v>5074</v>
      </c>
      <c r="F864" s="33" t="s">
        <v>42</v>
      </c>
      <c r="G864" s="23" t="s">
        <v>3872</v>
      </c>
      <c r="H864" s="34" t="s">
        <v>20</v>
      </c>
      <c r="J864" s="284" t="str">
        <f t="shared" ref="J864:J865" si="89">CONCATENATE(C864," │  ISSN:  ",D864," *")</f>
        <v>藥學雜誌 │  ISSN:  0031-6903 *</v>
      </c>
      <c r="L864" s="243" t="s">
        <v>5477</v>
      </c>
    </row>
    <row r="865" spans="1:12" ht="26.25" customHeight="1">
      <c r="A865" s="17">
        <f t="shared" si="0"/>
        <v>862</v>
      </c>
      <c r="B865" s="18" t="s">
        <v>37</v>
      </c>
      <c r="C865" s="39" t="s">
        <v>1811</v>
      </c>
      <c r="D865" s="20" t="s">
        <v>1813</v>
      </c>
      <c r="E865" s="44" t="s">
        <v>5478</v>
      </c>
      <c r="F865" s="22" t="s">
        <v>53</v>
      </c>
      <c r="G865" s="41" t="s">
        <v>3875</v>
      </c>
      <c r="H865" s="24" t="s">
        <v>20</v>
      </c>
      <c r="J865" s="284" t="str">
        <f t="shared" si="89"/>
        <v>熱處理 │  ISSN:  0288-0490 *</v>
      </c>
      <c r="L865" s="243" t="s">
        <v>5479</v>
      </c>
    </row>
    <row r="866" spans="1:12" ht="26.25" hidden="1" customHeight="1">
      <c r="A866" s="17">
        <f t="shared" si="0"/>
        <v>863</v>
      </c>
      <c r="B866" s="18" t="s">
        <v>867</v>
      </c>
      <c r="C866" s="31" t="s">
        <v>3876</v>
      </c>
      <c r="D866" s="20"/>
      <c r="E866" s="32" t="s">
        <v>3878</v>
      </c>
      <c r="F866" s="33" t="s">
        <v>53</v>
      </c>
      <c r="G866" s="23" t="s">
        <v>3879</v>
      </c>
      <c r="H866" s="24" t="s">
        <v>55</v>
      </c>
    </row>
    <row r="867" spans="1:12" ht="26.25" customHeight="1">
      <c r="A867" s="17">
        <f t="shared" si="0"/>
        <v>864</v>
      </c>
      <c r="B867" s="18" t="s">
        <v>867</v>
      </c>
      <c r="C867" s="31" t="s">
        <v>3880</v>
      </c>
      <c r="D867" s="20" t="s">
        <v>3882</v>
      </c>
      <c r="E867" s="21" t="s">
        <v>5068</v>
      </c>
      <c r="F867" s="33" t="s">
        <v>53</v>
      </c>
      <c r="G867" s="23" t="s">
        <v>3884</v>
      </c>
      <c r="H867" s="34" t="s">
        <v>20</v>
      </c>
      <c r="J867" s="284" t="str">
        <f>CONCATENATE(C867," │  ISSN:  ",D867," *")</f>
        <v>營養學雜誌 │  ISSN:  0021-5147 *</v>
      </c>
      <c r="L867" s="243" t="s">
        <v>5480</v>
      </c>
    </row>
    <row r="868" spans="1:12" ht="26.25" hidden="1" customHeight="1">
      <c r="A868" s="17">
        <f t="shared" si="0"/>
        <v>865</v>
      </c>
      <c r="B868" s="18" t="s">
        <v>1197</v>
      </c>
      <c r="C868" s="31" t="s">
        <v>3885</v>
      </c>
      <c r="D868" s="20" t="s">
        <v>3887</v>
      </c>
      <c r="E868" s="32" t="s">
        <v>3888</v>
      </c>
      <c r="F868" s="33" t="s">
        <v>53</v>
      </c>
      <c r="G868" s="23" t="s">
        <v>3889</v>
      </c>
      <c r="H868" s="24" t="s">
        <v>55</v>
      </c>
    </row>
    <row r="869" spans="1:12" ht="26.25" hidden="1" customHeight="1">
      <c r="A869" s="17">
        <f t="shared" si="0"/>
        <v>866</v>
      </c>
      <c r="B869" s="18" t="s">
        <v>132</v>
      </c>
      <c r="C869" s="31" t="s">
        <v>3890</v>
      </c>
      <c r="D869" s="20" t="s">
        <v>3892</v>
      </c>
      <c r="E869" s="32" t="s">
        <v>3893</v>
      </c>
      <c r="F869" s="33" t="s">
        <v>53</v>
      </c>
      <c r="G869" s="23" t="s">
        <v>3894</v>
      </c>
      <c r="H869" s="24" t="s">
        <v>55</v>
      </c>
    </row>
    <row r="870" spans="1:12" ht="26.25" customHeight="1">
      <c r="A870" s="17">
        <f t="shared" si="0"/>
        <v>867</v>
      </c>
      <c r="B870" s="18" t="s">
        <v>132</v>
      </c>
      <c r="C870" s="19" t="s">
        <v>3895</v>
      </c>
      <c r="D870" s="20" t="s">
        <v>3897</v>
      </c>
      <c r="E870" s="32" t="s">
        <v>1990</v>
      </c>
      <c r="F870" s="22" t="s">
        <v>63</v>
      </c>
      <c r="G870" s="23" t="s">
        <v>3898</v>
      </c>
      <c r="H870" s="24" t="s">
        <v>20</v>
      </c>
      <c r="J870" s="284" t="str">
        <f>CONCATENATE(C870," │  ISSN:  ",D870," *")</f>
        <v>溶接學會誌 │  ISSN:  0021-4787 *</v>
      </c>
      <c r="L870" s="243" t="s">
        <v>5481</v>
      </c>
    </row>
    <row r="871" spans="1:12" ht="26.25" hidden="1" customHeight="1">
      <c r="A871" s="17">
        <f t="shared" si="0"/>
        <v>868</v>
      </c>
      <c r="B871" s="18" t="s">
        <v>27</v>
      </c>
      <c r="C871" s="31" t="s">
        <v>3899</v>
      </c>
      <c r="D871" s="20" t="s">
        <v>3900</v>
      </c>
      <c r="E871" s="32" t="s">
        <v>3901</v>
      </c>
      <c r="F871" s="33" t="s">
        <v>53</v>
      </c>
      <c r="G871" s="23" t="s">
        <v>3902</v>
      </c>
      <c r="H871" s="24" t="s">
        <v>55</v>
      </c>
    </row>
    <row r="872" spans="1:12" ht="26.25" customHeight="1">
      <c r="A872" s="17">
        <f t="shared" si="0"/>
        <v>869</v>
      </c>
      <c r="B872" s="18" t="s">
        <v>175</v>
      </c>
      <c r="C872" s="31" t="s">
        <v>3903</v>
      </c>
      <c r="D872" s="20" t="s">
        <v>3905</v>
      </c>
      <c r="E872" s="21" t="s">
        <v>3834</v>
      </c>
      <c r="F872" s="33" t="s">
        <v>53</v>
      </c>
      <c r="G872" s="23" t="s">
        <v>3906</v>
      </c>
      <c r="H872" s="34" t="s">
        <v>20</v>
      </c>
      <c r="J872" s="284" t="str">
        <f>CONCATENATE(C872," │  ISSN:  ",D872," *")</f>
        <v>遺傳 │  ISSN:  0387-0022 *</v>
      </c>
      <c r="L872" s="243" t="s">
        <v>5482</v>
      </c>
    </row>
    <row r="873" spans="1:12" ht="26.25" hidden="1" customHeight="1">
      <c r="A873" s="17">
        <f t="shared" si="0"/>
        <v>870</v>
      </c>
      <c r="B873" s="18" t="s">
        <v>867</v>
      </c>
      <c r="C873" s="31" t="s">
        <v>3907</v>
      </c>
      <c r="D873" s="43" t="s">
        <v>3909</v>
      </c>
      <c r="E873" s="32" t="s">
        <v>3910</v>
      </c>
      <c r="F873" s="70" t="s">
        <v>53</v>
      </c>
      <c r="G873" s="41" t="s">
        <v>3911</v>
      </c>
      <c r="H873" s="24" t="s">
        <v>55</v>
      </c>
    </row>
    <row r="874" spans="1:12" ht="26.25" customHeight="1">
      <c r="A874" s="17">
        <f t="shared" si="0"/>
        <v>871</v>
      </c>
      <c r="B874" s="18" t="s">
        <v>175</v>
      </c>
      <c r="C874" s="31" t="s">
        <v>3912</v>
      </c>
      <c r="D874" s="20" t="s">
        <v>3914</v>
      </c>
      <c r="E874" s="21" t="s">
        <v>2834</v>
      </c>
      <c r="F874" s="33" t="s">
        <v>53</v>
      </c>
      <c r="G874" s="23" t="s">
        <v>3916</v>
      </c>
      <c r="H874" s="34" t="s">
        <v>20</v>
      </c>
      <c r="J874" s="284" t="str">
        <f t="shared" ref="J874:J877" si="90">CONCATENATE(C874," │  ISSN:  ",D874," *")</f>
        <v>人類學學報 │  ISSN:  1000-3193 *</v>
      </c>
      <c r="L874" s="243" t="s">
        <v>5483</v>
      </c>
    </row>
    <row r="875" spans="1:12" ht="26.25" customHeight="1">
      <c r="A875" s="17">
        <f t="shared" si="0"/>
        <v>872</v>
      </c>
      <c r="B875" s="18" t="s">
        <v>2181</v>
      </c>
      <c r="C875" s="31" t="s">
        <v>3917</v>
      </c>
      <c r="D875" s="20" t="s">
        <v>3919</v>
      </c>
      <c r="E875" s="21" t="s">
        <v>4952</v>
      </c>
      <c r="F875" s="33" t="s">
        <v>53</v>
      </c>
      <c r="G875" s="23" t="s">
        <v>3920</v>
      </c>
      <c r="H875" s="34" t="s">
        <v>20</v>
      </c>
      <c r="J875" s="284" t="str">
        <f t="shared" si="90"/>
        <v>日經ものづくり │  ISSN:  1349-2772 *</v>
      </c>
      <c r="L875" s="243" t="s">
        <v>5484</v>
      </c>
    </row>
    <row r="876" spans="1:12" ht="26.25" customHeight="1">
      <c r="A876" s="17">
        <f t="shared" si="0"/>
        <v>873</v>
      </c>
      <c r="B876" s="18" t="s">
        <v>233</v>
      </c>
      <c r="C876" s="19" t="s">
        <v>3921</v>
      </c>
      <c r="D876" s="20" t="s">
        <v>3923</v>
      </c>
      <c r="E876" s="32" t="s">
        <v>5034</v>
      </c>
      <c r="F876" s="33" t="s">
        <v>53</v>
      </c>
      <c r="G876" s="23" t="s">
        <v>3925</v>
      </c>
      <c r="H876" s="24" t="s">
        <v>20</v>
      </c>
      <c r="J876" s="284" t="str">
        <f t="shared" si="90"/>
        <v>日本 航空宇宙學會 論文集 │  ISSN:  1344-6460 *</v>
      </c>
      <c r="L876" s="243" t="s">
        <v>5485</v>
      </c>
    </row>
    <row r="877" spans="1:12" ht="26.25" customHeight="1">
      <c r="A877" s="17">
        <f t="shared" si="0"/>
        <v>874</v>
      </c>
      <c r="B877" s="18" t="s">
        <v>132</v>
      </c>
      <c r="C877" s="19" t="s">
        <v>3926</v>
      </c>
      <c r="D877" s="20" t="s">
        <v>3928</v>
      </c>
      <c r="E877" s="32" t="s">
        <v>4995</v>
      </c>
      <c r="F877" s="33" t="s">
        <v>53</v>
      </c>
      <c r="G877" s="23" t="s">
        <v>3929</v>
      </c>
      <c r="H877" s="24" t="s">
        <v>20</v>
      </c>
      <c r="J877" s="284" t="str">
        <f t="shared" si="90"/>
        <v>日本ロボツト學會誌 │  ISSN:  0289-1824 *</v>
      </c>
      <c r="L877" s="243" t="s">
        <v>5486</v>
      </c>
    </row>
    <row r="878" spans="1:12" ht="26.25" hidden="1" customHeight="1">
      <c r="A878" s="17">
        <f t="shared" si="0"/>
        <v>875</v>
      </c>
      <c r="B878" s="18" t="s">
        <v>867</v>
      </c>
      <c r="C878" s="31" t="s">
        <v>3930</v>
      </c>
      <c r="D878" s="20" t="s">
        <v>3932</v>
      </c>
      <c r="E878" s="32" t="s">
        <v>2546</v>
      </c>
      <c r="F878" s="33" t="s">
        <v>42</v>
      </c>
      <c r="G878" s="23" t="s">
        <v>3933</v>
      </c>
      <c r="H878" s="24" t="s">
        <v>55</v>
      </c>
    </row>
    <row r="879" spans="1:12" ht="26.25" customHeight="1">
      <c r="A879" s="17">
        <f t="shared" si="0"/>
        <v>876</v>
      </c>
      <c r="B879" s="18" t="s">
        <v>2181</v>
      </c>
      <c r="C879" s="31" t="s">
        <v>3934</v>
      </c>
      <c r="D879" s="20" t="s">
        <v>3936</v>
      </c>
      <c r="E879" s="21" t="s">
        <v>4144</v>
      </c>
      <c r="F879" s="33" t="s">
        <v>53</v>
      </c>
      <c r="G879" s="23" t="s">
        <v>3937</v>
      </c>
      <c r="H879" s="34" t="s">
        <v>20</v>
      </c>
      <c r="J879" s="284" t="str">
        <f t="shared" ref="J879:J883" si="91">CONCATENATE(C879," │  ISSN:  ",D879," *")</f>
        <v>日本家政學會誌 │  ISSN:  0913-5227 *</v>
      </c>
      <c r="L879" s="243" t="s">
        <v>5487</v>
      </c>
    </row>
    <row r="880" spans="1:12" ht="26.25" customHeight="1">
      <c r="A880" s="17">
        <f t="shared" si="0"/>
        <v>877</v>
      </c>
      <c r="B880" s="18" t="s">
        <v>13</v>
      </c>
      <c r="C880" s="19" t="s">
        <v>3938</v>
      </c>
      <c r="D880" s="20" t="s">
        <v>1741</v>
      </c>
      <c r="E880" s="32" t="s">
        <v>3939</v>
      </c>
      <c r="F880" s="33" t="s">
        <v>53</v>
      </c>
      <c r="G880" s="23" t="s">
        <v>3940</v>
      </c>
      <c r="H880" s="24" t="s">
        <v>20</v>
      </c>
      <c r="J880" s="284" t="str">
        <f t="shared" si="91"/>
        <v>日本建築學會計劃系論文集 │  ISSN:  1340-4210 *</v>
      </c>
      <c r="L880" s="243" t="s">
        <v>5488</v>
      </c>
    </row>
    <row r="881" spans="1:12" ht="26.25" customHeight="1">
      <c r="A881" s="17">
        <f t="shared" si="0"/>
        <v>878</v>
      </c>
      <c r="B881" s="18" t="s">
        <v>13</v>
      </c>
      <c r="C881" s="19" t="s">
        <v>3941</v>
      </c>
      <c r="D881" s="20" t="s">
        <v>1747</v>
      </c>
      <c r="E881" s="32" t="s">
        <v>3942</v>
      </c>
      <c r="F881" s="22" t="s">
        <v>63</v>
      </c>
      <c r="G881" s="23" t="s">
        <v>3943</v>
      </c>
      <c r="H881" s="24" t="s">
        <v>20</v>
      </c>
      <c r="J881" s="284" t="str">
        <f t="shared" si="91"/>
        <v>日本建築學會構造系論文集 │  ISSN:  1340-4202 *</v>
      </c>
      <c r="L881" s="243" t="s">
        <v>5489</v>
      </c>
    </row>
    <row r="882" spans="1:12" ht="26.25" customHeight="1">
      <c r="A882" s="17">
        <f t="shared" si="0"/>
        <v>879</v>
      </c>
      <c r="B882" s="18" t="s">
        <v>13</v>
      </c>
      <c r="C882" s="19" t="s">
        <v>3944</v>
      </c>
      <c r="D882" s="20" t="s">
        <v>1752</v>
      </c>
      <c r="E882" s="32" t="s">
        <v>52</v>
      </c>
      <c r="F882" s="22" t="s">
        <v>63</v>
      </c>
      <c r="G882" s="23" t="s">
        <v>3945</v>
      </c>
      <c r="H882" s="24" t="s">
        <v>20</v>
      </c>
      <c r="J882" s="284" t="str">
        <f t="shared" si="91"/>
        <v>日本建築學會環境系論文集 │  ISSN:  1348-0685 *</v>
      </c>
      <c r="L882" s="243" t="s">
        <v>5490</v>
      </c>
    </row>
    <row r="883" spans="1:12" ht="26.25" customHeight="1">
      <c r="A883" s="17">
        <f t="shared" si="0"/>
        <v>880</v>
      </c>
      <c r="B883" s="18" t="s">
        <v>2181</v>
      </c>
      <c r="C883" s="31" t="s">
        <v>3946</v>
      </c>
      <c r="D883" s="20" t="s">
        <v>3948</v>
      </c>
      <c r="E883" s="21" t="s">
        <v>1990</v>
      </c>
      <c r="F883" s="33" t="s">
        <v>53</v>
      </c>
      <c r="G883" s="23" t="s">
        <v>3949</v>
      </c>
      <c r="H883" s="34" t="s">
        <v>20</v>
      </c>
      <c r="J883" s="284" t="str">
        <f t="shared" si="91"/>
        <v>日本公衆衛生雜誌 │  ISSN:  0546-1766 *</v>
      </c>
      <c r="L883" s="243" t="s">
        <v>5491</v>
      </c>
    </row>
    <row r="884" spans="1:12" ht="26.25" hidden="1" customHeight="1">
      <c r="A884" s="17">
        <f t="shared" si="0"/>
        <v>881</v>
      </c>
      <c r="B884" s="18" t="s">
        <v>3950</v>
      </c>
      <c r="C884" s="31" t="s">
        <v>3951</v>
      </c>
      <c r="D884" s="20" t="s">
        <v>3953</v>
      </c>
      <c r="E884" s="32" t="s">
        <v>3954</v>
      </c>
      <c r="F884" s="33" t="s">
        <v>53</v>
      </c>
      <c r="G884" s="23" t="s">
        <v>3955</v>
      </c>
      <c r="H884" s="24" t="s">
        <v>55</v>
      </c>
    </row>
    <row r="885" spans="1:12" ht="26.25" customHeight="1">
      <c r="A885" s="17">
        <f t="shared" si="0"/>
        <v>882</v>
      </c>
      <c r="B885" s="18" t="s">
        <v>175</v>
      </c>
      <c r="C885" s="31" t="s">
        <v>3956</v>
      </c>
      <c r="D885" s="20" t="s">
        <v>1590</v>
      </c>
      <c r="E885" s="21" t="s">
        <v>3958</v>
      </c>
      <c r="F885" s="33" t="s">
        <v>53</v>
      </c>
      <c r="G885" s="23" t="s">
        <v>3959</v>
      </c>
      <c r="H885" s="34" t="s">
        <v>20</v>
      </c>
      <c r="J885" s="284" t="str">
        <f t="shared" ref="J885:J886" si="92">CONCATENATE(C885," │  ISSN:  ",D885," *")</f>
        <v>日本菌學會會報 │  ISSN:  0029-0289 *</v>
      </c>
      <c r="L885" s="243" t="s">
        <v>5492</v>
      </c>
    </row>
    <row r="886" spans="1:12" ht="26.25" customHeight="1">
      <c r="A886" s="17">
        <f t="shared" si="0"/>
        <v>883</v>
      </c>
      <c r="B886" s="18" t="s">
        <v>37</v>
      </c>
      <c r="C886" s="19" t="s">
        <v>3960</v>
      </c>
      <c r="D886" s="20" t="s">
        <v>3961</v>
      </c>
      <c r="E886" s="32" t="s">
        <v>4144</v>
      </c>
      <c r="F886" s="33" t="s">
        <v>53</v>
      </c>
      <c r="G886" s="23" t="s">
        <v>3962</v>
      </c>
      <c r="H886" s="24" t="s">
        <v>20</v>
      </c>
      <c r="J886" s="284" t="str">
        <f t="shared" si="92"/>
        <v>日本金屬學會會報 │  ISSN:  1340-2625 *</v>
      </c>
      <c r="L886" s="243" t="s">
        <v>5493</v>
      </c>
    </row>
    <row r="887" spans="1:12" ht="26.25" hidden="1" customHeight="1">
      <c r="A887" s="17">
        <f t="shared" si="0"/>
        <v>884</v>
      </c>
      <c r="B887" s="18" t="s">
        <v>132</v>
      </c>
      <c r="C887" s="31" t="s">
        <v>3963</v>
      </c>
      <c r="D887" s="20" t="s">
        <v>3965</v>
      </c>
      <c r="E887" s="32" t="s">
        <v>1461</v>
      </c>
      <c r="F887" s="33" t="s">
        <v>53</v>
      </c>
      <c r="G887" s="23" t="s">
        <v>3966</v>
      </c>
      <c r="H887" s="24" t="s">
        <v>55</v>
      </c>
    </row>
    <row r="888" spans="1:12" ht="26.25" hidden="1" customHeight="1">
      <c r="A888" s="17">
        <f t="shared" si="0"/>
        <v>885</v>
      </c>
      <c r="B888" s="18" t="s">
        <v>132</v>
      </c>
      <c r="C888" s="31" t="s">
        <v>3967</v>
      </c>
      <c r="D888" s="20" t="s">
        <v>3968</v>
      </c>
      <c r="E888" s="32" t="s">
        <v>1461</v>
      </c>
      <c r="F888" s="33" t="s">
        <v>53</v>
      </c>
      <c r="G888" s="23" t="s">
        <v>3969</v>
      </c>
      <c r="H888" s="24" t="s">
        <v>55</v>
      </c>
    </row>
    <row r="889" spans="1:12" ht="26.25" hidden="1" customHeight="1">
      <c r="A889" s="17">
        <f t="shared" si="0"/>
        <v>886</v>
      </c>
      <c r="B889" s="18" t="s">
        <v>132</v>
      </c>
      <c r="C889" s="31" t="s">
        <v>3970</v>
      </c>
      <c r="D889" s="20" t="s">
        <v>3971</v>
      </c>
      <c r="E889" s="32" t="s">
        <v>1461</v>
      </c>
      <c r="F889" s="33" t="s">
        <v>53</v>
      </c>
      <c r="G889" s="23" t="s">
        <v>3972</v>
      </c>
      <c r="H889" s="24" t="s">
        <v>55</v>
      </c>
    </row>
    <row r="890" spans="1:12" ht="26.25" customHeight="1">
      <c r="A890" s="17">
        <f t="shared" si="0"/>
        <v>887</v>
      </c>
      <c r="B890" s="18" t="s">
        <v>132</v>
      </c>
      <c r="C890" s="19" t="s">
        <v>3973</v>
      </c>
      <c r="D890" s="20" t="s">
        <v>3974</v>
      </c>
      <c r="E890" s="32" t="s">
        <v>4996</v>
      </c>
      <c r="F890" s="33" t="s">
        <v>53</v>
      </c>
      <c r="G890" s="23" t="s">
        <v>3976</v>
      </c>
      <c r="H890" s="24" t="s">
        <v>20</v>
      </c>
      <c r="J890" s="284" t="str">
        <f t="shared" ref="J890:J895" si="93">CONCATENATE(C890," │  ISSN:  ",D890," *")</f>
        <v>日本機械学会誌 │  ISSN:  0021-4728 *</v>
      </c>
      <c r="L890" s="243" t="s">
        <v>5494</v>
      </c>
    </row>
    <row r="891" spans="1:12" ht="26.25" customHeight="1">
      <c r="A891" s="17">
        <f t="shared" si="0"/>
        <v>888</v>
      </c>
      <c r="B891" s="18" t="s">
        <v>37</v>
      </c>
      <c r="C891" s="19" t="s">
        <v>3977</v>
      </c>
      <c r="D891" s="20" t="s">
        <v>3979</v>
      </c>
      <c r="E891" s="32" t="s">
        <v>5027</v>
      </c>
      <c r="F891" s="33" t="s">
        <v>53</v>
      </c>
      <c r="G891" s="23" t="s">
        <v>3981</v>
      </c>
      <c r="H891" s="24" t="s">
        <v>20</v>
      </c>
      <c r="J891" s="284" t="str">
        <f t="shared" si="93"/>
        <v>日本複合材料學會誌 │  ISSN:  0385-2563 *</v>
      </c>
      <c r="L891" s="243" t="s">
        <v>5495</v>
      </c>
    </row>
    <row r="892" spans="1:12" ht="26.25" customHeight="1">
      <c r="A892" s="17">
        <f t="shared" si="0"/>
        <v>889</v>
      </c>
      <c r="B892" s="18" t="s">
        <v>175</v>
      </c>
      <c r="C892" s="31" t="s">
        <v>3982</v>
      </c>
      <c r="D892" s="20" t="s">
        <v>3984</v>
      </c>
      <c r="E892" s="21" t="s">
        <v>5067</v>
      </c>
      <c r="F892" s="33" t="s">
        <v>63</v>
      </c>
      <c r="G892" s="23" t="s">
        <v>3986</v>
      </c>
      <c r="H892" s="34" t="s">
        <v>20</v>
      </c>
      <c r="J892" s="284" t="str">
        <f t="shared" si="93"/>
        <v>日本生態學會誌 │  ISSN:  0021-5007 *</v>
      </c>
      <c r="L892" s="243" t="s">
        <v>5496</v>
      </c>
    </row>
    <row r="893" spans="1:12" ht="26.25" customHeight="1">
      <c r="A893" s="17">
        <f t="shared" si="0"/>
        <v>890</v>
      </c>
      <c r="B893" s="18" t="s">
        <v>1375</v>
      </c>
      <c r="C893" s="19" t="s">
        <v>3987</v>
      </c>
      <c r="D893" s="20" t="s">
        <v>3988</v>
      </c>
      <c r="E893" s="32" t="s">
        <v>2504</v>
      </c>
      <c r="F893" s="33" t="s">
        <v>53</v>
      </c>
      <c r="G893" s="23" t="s">
        <v>3989</v>
      </c>
      <c r="H893" s="24" t="s">
        <v>20</v>
      </c>
      <c r="J893" s="284" t="str">
        <f t="shared" si="93"/>
        <v>日本船舶海洋工學會論文集 │  ISSN:  1880-3717 *</v>
      </c>
      <c r="L893" s="243" t="s">
        <v>5497</v>
      </c>
    </row>
    <row r="894" spans="1:12" ht="26.25" customHeight="1">
      <c r="A894" s="17">
        <f t="shared" si="0"/>
        <v>891</v>
      </c>
      <c r="B894" s="18" t="s">
        <v>867</v>
      </c>
      <c r="C894" s="19" t="s">
        <v>3990</v>
      </c>
      <c r="D894" s="20" t="s">
        <v>3992</v>
      </c>
      <c r="E894" s="32" t="s">
        <v>178</v>
      </c>
      <c r="F894" s="33" t="s">
        <v>42</v>
      </c>
      <c r="G894" s="23" t="s">
        <v>3993</v>
      </c>
      <c r="H894" s="24" t="s">
        <v>20</v>
      </c>
      <c r="J894" s="284" t="str">
        <f t="shared" si="93"/>
        <v>日本水産学会誌 │  ISSN:  0021-5392 *</v>
      </c>
      <c r="L894" s="243" t="s">
        <v>5498</v>
      </c>
    </row>
    <row r="895" spans="1:12" ht="26.25" customHeight="1">
      <c r="A895" s="17">
        <f t="shared" si="0"/>
        <v>892</v>
      </c>
      <c r="B895" s="18" t="s">
        <v>105</v>
      </c>
      <c r="C895" s="31" t="s">
        <v>3994</v>
      </c>
      <c r="D895" s="20" t="s">
        <v>3996</v>
      </c>
      <c r="E895" s="21" t="s">
        <v>4992</v>
      </c>
      <c r="F895" s="33" t="s">
        <v>53</v>
      </c>
      <c r="G895" s="23" t="s">
        <v>3997</v>
      </c>
      <c r="H895" s="34" t="s">
        <v>20</v>
      </c>
      <c r="J895" s="284" t="str">
        <f t="shared" si="93"/>
        <v>日本數學敎育學會誌 : 數學敎育 │  ISSN:  0021-471X *</v>
      </c>
      <c r="L895" s="243" t="s">
        <v>5499</v>
      </c>
    </row>
    <row r="896" spans="1:12" ht="26.25" hidden="1" customHeight="1">
      <c r="A896" s="17">
        <f t="shared" si="0"/>
        <v>893</v>
      </c>
      <c r="B896" s="18" t="s">
        <v>867</v>
      </c>
      <c r="C896" s="31" t="s">
        <v>3998</v>
      </c>
      <c r="D896" s="20" t="s">
        <v>4000</v>
      </c>
      <c r="E896" s="32" t="s">
        <v>3258</v>
      </c>
      <c r="F896" s="33" t="s">
        <v>31</v>
      </c>
      <c r="G896" s="23" t="s">
        <v>4001</v>
      </c>
      <c r="H896" s="24" t="s">
        <v>55</v>
      </c>
    </row>
    <row r="897" spans="1:12" ht="26.25" customHeight="1">
      <c r="A897" s="17">
        <f t="shared" si="0"/>
        <v>894</v>
      </c>
      <c r="B897" s="18" t="s">
        <v>867</v>
      </c>
      <c r="C897" s="31" t="s">
        <v>4002</v>
      </c>
      <c r="D897" s="20" t="s">
        <v>4004</v>
      </c>
      <c r="E897" s="21" t="s">
        <v>4966</v>
      </c>
      <c r="F897" s="33" t="s">
        <v>53</v>
      </c>
      <c r="G897" s="23" t="s">
        <v>4005</v>
      </c>
      <c r="H897" s="34" t="s">
        <v>20</v>
      </c>
      <c r="J897" s="284" t="str">
        <f>CONCATENATE(C897," │  ISSN:  ",D897," *")</f>
        <v>日本榮養 食糧學會誌 │  ISSN:  0287-3516 *</v>
      </c>
      <c r="L897" s="243" t="s">
        <v>5500</v>
      </c>
    </row>
    <row r="898" spans="1:12" ht="26.25" hidden="1" customHeight="1">
      <c r="A898" s="17">
        <f t="shared" si="0"/>
        <v>895</v>
      </c>
      <c r="B898" s="18" t="s">
        <v>27</v>
      </c>
      <c r="C898" s="31" t="s">
        <v>4006</v>
      </c>
      <c r="D898" s="20" t="s">
        <v>486</v>
      </c>
      <c r="E898" s="32" t="s">
        <v>603</v>
      </c>
      <c r="F898" s="33" t="s">
        <v>53</v>
      </c>
      <c r="G898" s="23" t="s">
        <v>4008</v>
      </c>
      <c r="H898" s="24" t="s">
        <v>55</v>
      </c>
    </row>
    <row r="899" spans="1:12" ht="26.25" hidden="1" customHeight="1">
      <c r="A899" s="17">
        <f t="shared" si="0"/>
        <v>896</v>
      </c>
      <c r="B899" s="18" t="s">
        <v>867</v>
      </c>
      <c r="C899" s="31" t="s">
        <v>4009</v>
      </c>
      <c r="D899" s="20" t="s">
        <v>4011</v>
      </c>
      <c r="E899" s="32" t="s">
        <v>2546</v>
      </c>
      <c r="F899" s="33" t="s">
        <v>53</v>
      </c>
      <c r="G899" s="23" t="s">
        <v>4012</v>
      </c>
      <c r="H899" s="24" t="s">
        <v>55</v>
      </c>
    </row>
    <row r="900" spans="1:12" ht="26.25" customHeight="1">
      <c r="A900" s="17">
        <f t="shared" si="0"/>
        <v>897</v>
      </c>
      <c r="B900" s="18" t="s">
        <v>37</v>
      </c>
      <c r="C900" s="19" t="s">
        <v>4013</v>
      </c>
      <c r="D900" s="20" t="s">
        <v>1819</v>
      </c>
      <c r="E900" s="32" t="s">
        <v>4015</v>
      </c>
      <c r="F900" s="33" t="s">
        <v>53</v>
      </c>
      <c r="G900" s="23" t="s">
        <v>4016</v>
      </c>
      <c r="H900" s="24" t="s">
        <v>20</v>
      </c>
      <c r="J900" s="284" t="str">
        <f>CONCATENATE(C900," │  ISSN:  ",D900," *")</f>
        <v>日本材料强度學會誌 │  ISSN:  0286-4010 *</v>
      </c>
      <c r="L900" s="243" t="s">
        <v>5501</v>
      </c>
    </row>
    <row r="901" spans="1:12" ht="26.25" hidden="1" customHeight="1">
      <c r="A901" s="17">
        <f t="shared" si="0"/>
        <v>898</v>
      </c>
      <c r="B901" s="18" t="s">
        <v>867</v>
      </c>
      <c r="C901" s="31" t="s">
        <v>4017</v>
      </c>
      <c r="D901" s="20" t="s">
        <v>4019</v>
      </c>
      <c r="E901" s="32" t="s">
        <v>1393</v>
      </c>
      <c r="F901" s="70" t="s">
        <v>53</v>
      </c>
      <c r="G901" s="23" t="s">
        <v>4020</v>
      </c>
      <c r="H901" s="24" t="s">
        <v>55</v>
      </c>
    </row>
    <row r="902" spans="1:12" ht="26.25" customHeight="1">
      <c r="A902" s="17">
        <f t="shared" si="0"/>
        <v>899</v>
      </c>
      <c r="B902" s="18" t="s">
        <v>233</v>
      </c>
      <c r="C902" s="19" t="s">
        <v>4021</v>
      </c>
      <c r="D902" s="20" t="s">
        <v>4023</v>
      </c>
      <c r="E902" s="32" t="s">
        <v>5035</v>
      </c>
      <c r="F902" s="33" t="s">
        <v>53</v>
      </c>
      <c r="G902" s="23" t="s">
        <v>4025</v>
      </c>
      <c r="H902" s="24" t="s">
        <v>20</v>
      </c>
      <c r="J902" s="284" t="str">
        <f>CONCATENATE(C902," │  ISSN:  ",D902," *")</f>
        <v>日本航空宇宙學會誌 │  ISSN:  0021-4663 *</v>
      </c>
      <c r="L902" s="243" t="s">
        <v>5502</v>
      </c>
    </row>
    <row r="903" spans="1:12" ht="26.25" hidden="1" customHeight="1">
      <c r="A903" s="17">
        <f t="shared" si="0"/>
        <v>900</v>
      </c>
      <c r="B903" s="18" t="s">
        <v>1375</v>
      </c>
      <c r="C903" s="31" t="s">
        <v>4026</v>
      </c>
      <c r="D903" s="20" t="s">
        <v>4027</v>
      </c>
      <c r="E903" s="32" t="s">
        <v>222</v>
      </c>
      <c r="F903" s="33" t="s">
        <v>53</v>
      </c>
      <c r="G903" s="23" t="s">
        <v>4028</v>
      </c>
      <c r="H903" s="24" t="s">
        <v>55</v>
      </c>
    </row>
    <row r="904" spans="1:12" ht="26.25" customHeight="1">
      <c r="A904" s="17">
        <f t="shared" si="0"/>
        <v>901</v>
      </c>
      <c r="B904" s="18" t="s">
        <v>1375</v>
      </c>
      <c r="C904" s="31" t="s">
        <v>4029</v>
      </c>
      <c r="D904" s="20" t="s">
        <v>1597</v>
      </c>
      <c r="E904" s="21" t="s">
        <v>2705</v>
      </c>
      <c r="F904" s="33" t="s">
        <v>53</v>
      </c>
      <c r="G904" s="23" t="s">
        <v>4031</v>
      </c>
      <c r="H904" s="34" t="s">
        <v>20</v>
      </c>
      <c r="J904" s="284" t="str">
        <f>CONCATENATE(C904," │  ISSN:  ",D904," *")</f>
        <v>日本海事協會會誌 │  ISSN:  0287-0274 *</v>
      </c>
      <c r="L904" s="243" t="s">
        <v>5503</v>
      </c>
    </row>
    <row r="905" spans="1:12" ht="26.25" hidden="1" customHeight="1">
      <c r="A905" s="17">
        <f t="shared" si="0"/>
        <v>902</v>
      </c>
      <c r="B905" s="18" t="s">
        <v>105</v>
      </c>
      <c r="C905" s="31" t="s">
        <v>4032</v>
      </c>
      <c r="D905" s="20" t="s">
        <v>4034</v>
      </c>
      <c r="E905" s="32" t="s">
        <v>4035</v>
      </c>
      <c r="F905" s="33" t="s">
        <v>53</v>
      </c>
      <c r="G905" s="23" t="s">
        <v>4036</v>
      </c>
      <c r="H905" s="24" t="s">
        <v>55</v>
      </c>
    </row>
    <row r="906" spans="1:12" ht="26.25" hidden="1" customHeight="1">
      <c r="A906" s="17">
        <f t="shared" si="0"/>
        <v>903</v>
      </c>
      <c r="B906" s="18" t="s">
        <v>2181</v>
      </c>
      <c r="C906" s="31" t="s">
        <v>4037</v>
      </c>
      <c r="D906" s="20" t="s">
        <v>4038</v>
      </c>
      <c r="E906" s="32" t="s">
        <v>4039</v>
      </c>
      <c r="F906" s="33" t="s">
        <v>53</v>
      </c>
      <c r="G906" s="23" t="s">
        <v>4040</v>
      </c>
      <c r="H906" s="24" t="s">
        <v>55</v>
      </c>
    </row>
    <row r="907" spans="1:12" ht="26.25" hidden="1" customHeight="1">
      <c r="A907" s="17">
        <f t="shared" si="0"/>
        <v>904</v>
      </c>
      <c r="B907" s="18" t="s">
        <v>132</v>
      </c>
      <c r="C907" s="31" t="s">
        <v>4041</v>
      </c>
      <c r="D907" s="20"/>
      <c r="E907" s="32" t="s">
        <v>1280</v>
      </c>
      <c r="F907" s="33" t="s">
        <v>53</v>
      </c>
      <c r="G907" s="23" t="s">
        <v>4043</v>
      </c>
      <c r="H907" s="24" t="s">
        <v>55</v>
      </c>
    </row>
    <row r="908" spans="1:12" ht="26.25" hidden="1" customHeight="1">
      <c r="A908" s="17">
        <f t="shared" si="0"/>
        <v>905</v>
      </c>
      <c r="B908" s="18" t="s">
        <v>132</v>
      </c>
      <c r="C908" s="31" t="s">
        <v>4044</v>
      </c>
      <c r="D908" s="20" t="s">
        <v>305</v>
      </c>
      <c r="E908" s="32" t="s">
        <v>62</v>
      </c>
      <c r="F908" s="22" t="s">
        <v>53</v>
      </c>
      <c r="G908" s="23" t="s">
        <v>4046</v>
      </c>
      <c r="H908" s="24" t="s">
        <v>55</v>
      </c>
    </row>
    <row r="909" spans="1:12" ht="26.25" customHeight="1">
      <c r="A909" s="17">
        <f t="shared" si="0"/>
        <v>906</v>
      </c>
      <c r="B909" s="18" t="s">
        <v>132</v>
      </c>
      <c r="C909" s="19" t="s">
        <v>4047</v>
      </c>
      <c r="D909" s="20" t="s">
        <v>4048</v>
      </c>
      <c r="E909" s="32" t="s">
        <v>52</v>
      </c>
      <c r="F909" s="22" t="s">
        <v>53</v>
      </c>
      <c r="G909" s="23" t="s">
        <v>4049</v>
      </c>
      <c r="H909" s="24" t="s">
        <v>20</v>
      </c>
      <c r="J909" s="284" t="str">
        <f>CONCATENATE(C909," │  ISSN:  ",D909," *")</f>
        <v>自動車技術 │  ISSN:  0385-7298 *</v>
      </c>
      <c r="L909" s="243" t="s">
        <v>5504</v>
      </c>
    </row>
    <row r="910" spans="1:12" ht="26.25" hidden="1" customHeight="1">
      <c r="A910" s="17">
        <f t="shared" si="0"/>
        <v>907</v>
      </c>
      <c r="B910" s="18" t="s">
        <v>132</v>
      </c>
      <c r="C910" s="31" t="s">
        <v>4050</v>
      </c>
      <c r="D910" s="20" t="s">
        <v>538</v>
      </c>
      <c r="E910" s="32" t="s">
        <v>496</v>
      </c>
      <c r="F910" s="22" t="s">
        <v>53</v>
      </c>
      <c r="G910" s="23" t="s">
        <v>4051</v>
      </c>
      <c r="H910" s="24" t="s">
        <v>55</v>
      </c>
    </row>
    <row r="911" spans="1:12" ht="26.25" hidden="1" customHeight="1">
      <c r="A911" s="17">
        <f t="shared" si="0"/>
        <v>908</v>
      </c>
      <c r="B911" s="18" t="s">
        <v>37</v>
      </c>
      <c r="C911" s="31" t="s">
        <v>771</v>
      </c>
      <c r="D911" s="20" t="s">
        <v>773</v>
      </c>
      <c r="E911" s="32" t="s">
        <v>4053</v>
      </c>
      <c r="F911" s="22" t="s">
        <v>53</v>
      </c>
      <c r="G911" s="23" t="s">
        <v>4054</v>
      </c>
      <c r="H911" s="24" t="s">
        <v>55</v>
      </c>
    </row>
    <row r="912" spans="1:12" ht="26.25" hidden="1" customHeight="1">
      <c r="A912" s="17">
        <f t="shared" si="0"/>
        <v>909</v>
      </c>
      <c r="B912" s="18" t="s">
        <v>37</v>
      </c>
      <c r="C912" s="31" t="s">
        <v>4055</v>
      </c>
      <c r="D912" s="20" t="s">
        <v>4057</v>
      </c>
      <c r="E912" s="32" t="s">
        <v>4058</v>
      </c>
      <c r="F912" s="22" t="s">
        <v>53</v>
      </c>
      <c r="G912" s="23" t="s">
        <v>4059</v>
      </c>
      <c r="H912" s="24" t="s">
        <v>55</v>
      </c>
    </row>
    <row r="913" spans="1:12" ht="26.25" hidden="1" customHeight="1">
      <c r="A913" s="17">
        <f t="shared" si="0"/>
        <v>910</v>
      </c>
      <c r="B913" s="18" t="s">
        <v>48</v>
      </c>
      <c r="C913" s="31" t="s">
        <v>4060</v>
      </c>
      <c r="D913" s="20" t="s">
        <v>438</v>
      </c>
      <c r="E913" s="32" t="s">
        <v>4062</v>
      </c>
      <c r="F913" s="33" t="s">
        <v>63</v>
      </c>
      <c r="G913" s="23" t="s">
        <v>4063</v>
      </c>
      <c r="H913" s="24" t="s">
        <v>55</v>
      </c>
    </row>
    <row r="914" spans="1:12" ht="26.25" hidden="1" customHeight="1">
      <c r="A914" s="17">
        <f t="shared" si="0"/>
        <v>911</v>
      </c>
      <c r="B914" s="18" t="s">
        <v>48</v>
      </c>
      <c r="C914" s="31" t="s">
        <v>4064</v>
      </c>
      <c r="D914" s="20" t="s">
        <v>445</v>
      </c>
      <c r="E914" s="32" t="s">
        <v>4062</v>
      </c>
      <c r="F914" s="33" t="s">
        <v>63</v>
      </c>
      <c r="G914" s="23" t="s">
        <v>4065</v>
      </c>
      <c r="H914" s="24" t="s">
        <v>55</v>
      </c>
    </row>
    <row r="915" spans="1:12" ht="26.25" hidden="1" customHeight="1">
      <c r="A915" s="17">
        <f t="shared" si="0"/>
        <v>912</v>
      </c>
      <c r="B915" s="18" t="s">
        <v>48</v>
      </c>
      <c r="C915" s="31" t="s">
        <v>4066</v>
      </c>
      <c r="D915" s="20" t="s">
        <v>452</v>
      </c>
      <c r="E915" s="32" t="s">
        <v>4067</v>
      </c>
      <c r="F915" s="33" t="s">
        <v>63</v>
      </c>
      <c r="G915" s="23" t="s">
        <v>4068</v>
      </c>
      <c r="H915" s="24" t="s">
        <v>55</v>
      </c>
    </row>
    <row r="916" spans="1:12" ht="26.25" hidden="1" customHeight="1">
      <c r="A916" s="17">
        <f t="shared" si="0"/>
        <v>913</v>
      </c>
      <c r="B916" s="18" t="s">
        <v>48</v>
      </c>
      <c r="C916" s="31" t="s">
        <v>4069</v>
      </c>
      <c r="D916" s="20" t="s">
        <v>458</v>
      </c>
      <c r="E916" s="32" t="s">
        <v>4070</v>
      </c>
      <c r="F916" s="33" t="s">
        <v>63</v>
      </c>
      <c r="G916" s="23" t="s">
        <v>4071</v>
      </c>
      <c r="H916" s="24" t="s">
        <v>55</v>
      </c>
    </row>
    <row r="917" spans="1:12" ht="26.25" customHeight="1">
      <c r="A917" s="17">
        <f t="shared" si="0"/>
        <v>914</v>
      </c>
      <c r="B917" s="18" t="s">
        <v>48</v>
      </c>
      <c r="C917" s="31" t="s">
        <v>4072</v>
      </c>
      <c r="D917" s="20" t="s">
        <v>1619</v>
      </c>
      <c r="E917" s="21" t="s">
        <v>2434</v>
      </c>
      <c r="F917" s="33" t="s">
        <v>63</v>
      </c>
      <c r="G917" s="23" t="s">
        <v>4073</v>
      </c>
      <c r="H917" s="34" t="s">
        <v>20</v>
      </c>
      <c r="J917" s="284" t="str">
        <f t="shared" ref="J917:J918" si="94">CONCATENATE(C917," │  ISSN:  ",D917," *")</f>
        <v>電氣學會誌 │  ISSN:  1340-5551 *</v>
      </c>
      <c r="L917" s="243" t="s">
        <v>5505</v>
      </c>
    </row>
    <row r="918" spans="1:12" ht="26.25" customHeight="1">
      <c r="A918" s="17">
        <f t="shared" si="0"/>
        <v>915</v>
      </c>
      <c r="B918" s="18" t="s">
        <v>48</v>
      </c>
      <c r="C918" s="31" t="s">
        <v>4074</v>
      </c>
      <c r="D918" s="20" t="s">
        <v>4076</v>
      </c>
      <c r="E918" s="21" t="s">
        <v>5034</v>
      </c>
      <c r="F918" s="33" t="s">
        <v>53</v>
      </c>
      <c r="G918" s="23" t="s">
        <v>4077</v>
      </c>
      <c r="H918" s="34" t="s">
        <v>20</v>
      </c>
      <c r="J918" s="284" t="str">
        <f t="shared" si="94"/>
        <v>電設技術 │  ISSN:  1344-1450 *</v>
      </c>
      <c r="L918" s="243" t="s">
        <v>5506</v>
      </c>
    </row>
    <row r="919" spans="1:12" ht="26.25" hidden="1" customHeight="1">
      <c r="A919" s="17">
        <f t="shared" si="0"/>
        <v>916</v>
      </c>
      <c r="B919" s="18" t="s">
        <v>48</v>
      </c>
      <c r="C919" s="31" t="s">
        <v>4078</v>
      </c>
      <c r="D919" s="20" t="s">
        <v>4080</v>
      </c>
      <c r="E919" s="32" t="s">
        <v>4081</v>
      </c>
      <c r="F919" s="33" t="s">
        <v>53</v>
      </c>
      <c r="G919" s="23" t="s">
        <v>4082</v>
      </c>
      <c r="H919" s="24" t="s">
        <v>55</v>
      </c>
    </row>
    <row r="920" spans="1:12" ht="26.25" hidden="1" customHeight="1">
      <c r="A920" s="17">
        <f t="shared" si="0"/>
        <v>917</v>
      </c>
      <c r="B920" s="18" t="s">
        <v>48</v>
      </c>
      <c r="C920" s="31" t="s">
        <v>4083</v>
      </c>
      <c r="D920" s="20" t="s">
        <v>4085</v>
      </c>
      <c r="E920" s="32" t="s">
        <v>4086</v>
      </c>
      <c r="F920" s="33" t="s">
        <v>53</v>
      </c>
      <c r="G920" s="23" t="s">
        <v>4087</v>
      </c>
      <c r="H920" s="24" t="s">
        <v>55</v>
      </c>
    </row>
    <row r="921" spans="1:12" ht="26.25" hidden="1" customHeight="1">
      <c r="A921" s="17">
        <f t="shared" si="0"/>
        <v>918</v>
      </c>
      <c r="B921" s="18" t="s">
        <v>48</v>
      </c>
      <c r="C921" s="31" t="s">
        <v>4088</v>
      </c>
      <c r="D921" s="20" t="s">
        <v>4089</v>
      </c>
      <c r="E921" s="32" t="s">
        <v>4090</v>
      </c>
      <c r="F921" s="33" t="s">
        <v>53</v>
      </c>
      <c r="G921" s="23" t="s">
        <v>4091</v>
      </c>
      <c r="H921" s="24" t="s">
        <v>55</v>
      </c>
    </row>
    <row r="922" spans="1:12" ht="26.25" hidden="1" customHeight="1">
      <c r="A922" s="17">
        <f t="shared" si="0"/>
        <v>919</v>
      </c>
      <c r="B922" s="18" t="s">
        <v>48</v>
      </c>
      <c r="C922" s="31" t="s">
        <v>4092</v>
      </c>
      <c r="D922" s="20" t="s">
        <v>4093</v>
      </c>
      <c r="E922" s="32" t="s">
        <v>4081</v>
      </c>
      <c r="F922" s="33" t="s">
        <v>53</v>
      </c>
      <c r="G922" s="23" t="s">
        <v>4094</v>
      </c>
      <c r="H922" s="24" t="s">
        <v>55</v>
      </c>
    </row>
    <row r="923" spans="1:12" ht="26.25" hidden="1" customHeight="1">
      <c r="A923" s="17">
        <f t="shared" si="0"/>
        <v>920</v>
      </c>
      <c r="B923" s="18" t="s">
        <v>48</v>
      </c>
      <c r="C923" s="31" t="s">
        <v>4095</v>
      </c>
      <c r="D923" s="20" t="s">
        <v>408</v>
      </c>
      <c r="E923" s="32" t="s">
        <v>4096</v>
      </c>
      <c r="F923" s="33" t="s">
        <v>53</v>
      </c>
      <c r="G923" s="23" t="s">
        <v>4097</v>
      </c>
      <c r="H923" s="24" t="s">
        <v>55</v>
      </c>
    </row>
    <row r="924" spans="1:12" ht="26.25" hidden="1" customHeight="1">
      <c r="A924" s="17">
        <f t="shared" si="0"/>
        <v>921</v>
      </c>
      <c r="B924" s="18" t="s">
        <v>48</v>
      </c>
      <c r="C924" s="31" t="s">
        <v>4098</v>
      </c>
      <c r="D924" s="20" t="s">
        <v>413</v>
      </c>
      <c r="E924" s="32" t="s">
        <v>4099</v>
      </c>
      <c r="F924" s="33" t="s">
        <v>53</v>
      </c>
      <c r="G924" s="23" t="s">
        <v>4100</v>
      </c>
      <c r="H924" s="24" t="s">
        <v>55</v>
      </c>
    </row>
    <row r="925" spans="1:12" ht="26.25" hidden="1" customHeight="1">
      <c r="A925" s="17">
        <f t="shared" si="0"/>
        <v>922</v>
      </c>
      <c r="B925" s="18" t="s">
        <v>48</v>
      </c>
      <c r="C925" s="31" t="s">
        <v>4101</v>
      </c>
      <c r="D925" s="20" t="s">
        <v>419</v>
      </c>
      <c r="E925" s="32" t="s">
        <v>4102</v>
      </c>
      <c r="F925" s="33" t="s">
        <v>53</v>
      </c>
      <c r="G925" s="23" t="s">
        <v>4103</v>
      </c>
      <c r="H925" s="24" t="s">
        <v>55</v>
      </c>
    </row>
    <row r="926" spans="1:12" ht="26.25" hidden="1" customHeight="1">
      <c r="A926" s="17">
        <f t="shared" si="0"/>
        <v>923</v>
      </c>
      <c r="B926" s="18" t="s">
        <v>48</v>
      </c>
      <c r="C926" s="31" t="s">
        <v>4104</v>
      </c>
      <c r="D926" s="20" t="s">
        <v>425</v>
      </c>
      <c r="E926" s="32" t="s">
        <v>4105</v>
      </c>
      <c r="F926" s="33" t="s">
        <v>53</v>
      </c>
      <c r="G926" s="23" t="s">
        <v>4106</v>
      </c>
      <c r="H926" s="24" t="s">
        <v>55</v>
      </c>
    </row>
    <row r="927" spans="1:12" ht="26.25" customHeight="1">
      <c r="A927" s="17">
        <f t="shared" si="0"/>
        <v>924</v>
      </c>
      <c r="B927" s="18" t="s">
        <v>48</v>
      </c>
      <c r="C927" s="31" t="s">
        <v>4107</v>
      </c>
      <c r="D927" s="20" t="s">
        <v>4108</v>
      </c>
      <c r="E927" s="21" t="s">
        <v>5044</v>
      </c>
      <c r="F927" s="33" t="s">
        <v>53</v>
      </c>
      <c r="G927" s="23" t="s">
        <v>4109</v>
      </c>
      <c r="H927" s="34" t="s">
        <v>20</v>
      </c>
      <c r="J927" s="284" t="str">
        <f>CONCATENATE(C927," │  ISSN:  ",D927," *")</f>
        <v>電子情報通信學會誌 │  ISSN:  0913-5693 *</v>
      </c>
      <c r="L927" s="243" t="s">
        <v>5507</v>
      </c>
    </row>
    <row r="928" spans="1:12" ht="26.25" hidden="1" customHeight="1">
      <c r="A928" s="17">
        <f t="shared" si="0"/>
        <v>925</v>
      </c>
      <c r="B928" s="18" t="s">
        <v>13</v>
      </c>
      <c r="C928" s="22" t="s">
        <v>4110</v>
      </c>
      <c r="D928" s="104" t="s">
        <v>4112</v>
      </c>
      <c r="E928" s="32" t="s">
        <v>2718</v>
      </c>
      <c r="F928" s="22" t="s">
        <v>53</v>
      </c>
      <c r="G928" s="23" t="s">
        <v>4113</v>
      </c>
      <c r="H928" s="24" t="s">
        <v>55</v>
      </c>
    </row>
    <row r="929" spans="1:12" ht="26.25" customHeight="1">
      <c r="A929" s="17">
        <f t="shared" si="0"/>
        <v>926</v>
      </c>
      <c r="B929" s="18" t="s">
        <v>132</v>
      </c>
      <c r="C929" s="19" t="s">
        <v>4114</v>
      </c>
      <c r="D929" s="20" t="s">
        <v>4116</v>
      </c>
      <c r="E929" s="32" t="s">
        <v>4997</v>
      </c>
      <c r="F929" s="22" t="s">
        <v>63</v>
      </c>
      <c r="G929" s="23" t="s">
        <v>4117</v>
      </c>
      <c r="H929" s="24" t="s">
        <v>20</v>
      </c>
      <c r="J929" s="284" t="str">
        <f t="shared" ref="J929:J932" si="95">CONCATENATE(C929," │  ISSN:  ",D929," *")</f>
        <v>精密工學會誌 │  ISSN:  0912-0289 *</v>
      </c>
      <c r="L929" s="243" t="s">
        <v>5508</v>
      </c>
    </row>
    <row r="930" spans="1:12" ht="26.25" customHeight="1">
      <c r="A930" s="17">
        <f t="shared" si="0"/>
        <v>927</v>
      </c>
      <c r="B930" s="18" t="s">
        <v>105</v>
      </c>
      <c r="C930" s="31" t="s">
        <v>4118</v>
      </c>
      <c r="D930" s="20" t="s">
        <v>4120</v>
      </c>
      <c r="E930" s="21" t="s">
        <v>5034</v>
      </c>
      <c r="F930" s="33" t="s">
        <v>53</v>
      </c>
      <c r="G930" s="23" t="s">
        <v>4121</v>
      </c>
      <c r="H930" s="34" t="s">
        <v>20</v>
      </c>
      <c r="J930" s="284" t="str">
        <f t="shared" si="95"/>
        <v>第四紀硏究 │  ISSN:  0418-2642 *</v>
      </c>
      <c r="L930" s="243" t="s">
        <v>5509</v>
      </c>
    </row>
    <row r="931" spans="1:12" ht="26.25" customHeight="1">
      <c r="A931" s="17">
        <f t="shared" si="0"/>
        <v>928</v>
      </c>
      <c r="B931" s="18" t="s">
        <v>37</v>
      </c>
      <c r="C931" s="19" t="s">
        <v>4122</v>
      </c>
      <c r="D931" s="20" t="s">
        <v>4124</v>
      </c>
      <c r="E931" s="32" t="s">
        <v>4985</v>
      </c>
      <c r="F931" s="33" t="s">
        <v>53</v>
      </c>
      <c r="G931" s="23" t="s">
        <v>4125</v>
      </c>
      <c r="H931" s="24" t="s">
        <v>20</v>
      </c>
      <c r="J931" s="284" t="str">
        <f t="shared" si="95"/>
        <v>鑄造工學 │  ISSN:  1342-0429 *</v>
      </c>
      <c r="L931" s="243" t="s">
        <v>5510</v>
      </c>
    </row>
    <row r="932" spans="1:12" ht="26.25" customHeight="1">
      <c r="A932" s="17">
        <f t="shared" si="0"/>
        <v>929</v>
      </c>
      <c r="B932" s="18" t="s">
        <v>13</v>
      </c>
      <c r="C932" s="19" t="s">
        <v>4126</v>
      </c>
      <c r="D932" s="20" t="s">
        <v>4128</v>
      </c>
      <c r="E932" s="32" t="s">
        <v>3736</v>
      </c>
      <c r="F932" s="33" t="s">
        <v>53</v>
      </c>
      <c r="G932" s="23" t="s">
        <v>4129</v>
      </c>
      <c r="H932" s="24" t="s">
        <v>20</v>
      </c>
      <c r="J932" s="284" t="str">
        <f t="shared" si="95"/>
        <v>住宅建築 │  ISSN:  0389-6358 *</v>
      </c>
      <c r="L932" s="243" t="s">
        <v>5511</v>
      </c>
    </row>
    <row r="933" spans="1:12" ht="26.25" hidden="1" customHeight="1">
      <c r="A933" s="17">
        <f t="shared" si="0"/>
        <v>930</v>
      </c>
      <c r="B933" s="18" t="s">
        <v>105</v>
      </c>
      <c r="C933" s="31" t="s">
        <v>464</v>
      </c>
      <c r="D933" s="20" t="s">
        <v>466</v>
      </c>
      <c r="E933" s="32" t="s">
        <v>4131</v>
      </c>
      <c r="F933" s="33" t="s">
        <v>53</v>
      </c>
      <c r="G933" s="23" t="s">
        <v>4132</v>
      </c>
      <c r="H933" s="24" t="s">
        <v>55</v>
      </c>
    </row>
    <row r="934" spans="1:12" ht="26.25" hidden="1" customHeight="1">
      <c r="A934" s="17">
        <f t="shared" si="0"/>
        <v>931</v>
      </c>
      <c r="B934" s="18" t="s">
        <v>105</v>
      </c>
      <c r="C934" s="31" t="s">
        <v>4133</v>
      </c>
      <c r="D934" s="20" t="s">
        <v>4135</v>
      </c>
      <c r="E934" s="32" t="s">
        <v>4136</v>
      </c>
      <c r="F934" s="33" t="s">
        <v>53</v>
      </c>
      <c r="G934" s="23" t="s">
        <v>4137</v>
      </c>
      <c r="H934" s="24" t="s">
        <v>55</v>
      </c>
    </row>
    <row r="935" spans="1:12" ht="26.25" hidden="1" customHeight="1">
      <c r="A935" s="17">
        <f t="shared" si="0"/>
        <v>932</v>
      </c>
      <c r="B935" s="18" t="s">
        <v>13</v>
      </c>
      <c r="C935" s="31" t="s">
        <v>4138</v>
      </c>
      <c r="D935" s="20" t="s">
        <v>4140</v>
      </c>
      <c r="E935" s="32" t="s">
        <v>4141</v>
      </c>
      <c r="F935" s="33" t="s">
        <v>53</v>
      </c>
      <c r="G935" s="23" t="s">
        <v>4142</v>
      </c>
      <c r="H935" s="24" t="s">
        <v>55</v>
      </c>
    </row>
    <row r="936" spans="1:12" ht="26.25" customHeight="1">
      <c r="A936" s="17">
        <f t="shared" si="0"/>
        <v>933</v>
      </c>
      <c r="B936" s="18" t="s">
        <v>13</v>
      </c>
      <c r="C936" s="19" t="s">
        <v>4143</v>
      </c>
      <c r="D936" s="20" t="s">
        <v>1760</v>
      </c>
      <c r="E936" s="32" t="s">
        <v>4144</v>
      </c>
      <c r="F936" s="33" t="s">
        <v>53</v>
      </c>
      <c r="G936" s="23" t="s">
        <v>4145</v>
      </c>
      <c r="H936" s="24" t="s">
        <v>20</v>
      </c>
      <c r="J936" s="284" t="str">
        <f>CONCATENATE(C936," │  ISSN:  ",D936," *")</f>
        <v>地盤工學會誌 │  ISSN:  1882-7276 *</v>
      </c>
      <c r="L936" s="243" t="s">
        <v>5512</v>
      </c>
    </row>
    <row r="937" spans="1:12" ht="26.25" hidden="1" customHeight="1">
      <c r="A937" s="17">
        <f t="shared" si="0"/>
        <v>934</v>
      </c>
      <c r="B937" s="18" t="s">
        <v>105</v>
      </c>
      <c r="C937" s="31" t="s">
        <v>4146</v>
      </c>
      <c r="D937" s="20" t="s">
        <v>4148</v>
      </c>
      <c r="E937" s="32" t="s">
        <v>4149</v>
      </c>
      <c r="F937" s="33" t="s">
        <v>53</v>
      </c>
      <c r="G937" s="23" t="s">
        <v>4150</v>
      </c>
      <c r="H937" s="24" t="s">
        <v>55</v>
      </c>
    </row>
    <row r="938" spans="1:12" ht="26.25" customHeight="1">
      <c r="A938" s="17">
        <f t="shared" si="0"/>
        <v>935</v>
      </c>
      <c r="B938" s="18" t="s">
        <v>105</v>
      </c>
      <c r="C938" s="31" t="s">
        <v>4151</v>
      </c>
      <c r="D938" s="20" t="s">
        <v>1624</v>
      </c>
      <c r="E938" s="21" t="s">
        <v>1990</v>
      </c>
      <c r="F938" s="33" t="s">
        <v>53</v>
      </c>
      <c r="G938" s="23" t="s">
        <v>4152</v>
      </c>
      <c r="H938" s="34" t="s">
        <v>20</v>
      </c>
      <c r="J938" s="284" t="str">
        <f>CONCATENATE(C938," │  ISSN:  ",D938," *")</f>
        <v>天氣 │  ISSN:  0546-0921 *</v>
      </c>
      <c r="L938" s="243" t="s">
        <v>5513</v>
      </c>
    </row>
    <row r="939" spans="1:12" ht="26.25" hidden="1" customHeight="1">
      <c r="A939" s="17">
        <f t="shared" si="0"/>
        <v>936</v>
      </c>
      <c r="B939" s="18" t="s">
        <v>37</v>
      </c>
      <c r="C939" s="31" t="s">
        <v>4153</v>
      </c>
      <c r="D939" s="20" t="s">
        <v>780</v>
      </c>
      <c r="E939" s="32" t="s">
        <v>4154</v>
      </c>
      <c r="F939" s="22" t="s">
        <v>31</v>
      </c>
      <c r="G939" s="23" t="s">
        <v>4155</v>
      </c>
      <c r="H939" s="24" t="s">
        <v>55</v>
      </c>
    </row>
    <row r="940" spans="1:12" ht="26.25" hidden="1" customHeight="1">
      <c r="A940" s="17">
        <f t="shared" si="0"/>
        <v>937</v>
      </c>
      <c r="B940" s="18" t="s">
        <v>105</v>
      </c>
      <c r="C940" s="31" t="s">
        <v>4156</v>
      </c>
      <c r="D940" s="20" t="s">
        <v>4158</v>
      </c>
      <c r="E940" s="32" t="s">
        <v>4159</v>
      </c>
      <c r="F940" s="33" t="s">
        <v>53</v>
      </c>
      <c r="G940" s="23" t="s">
        <v>4160</v>
      </c>
      <c r="H940" s="24" t="s">
        <v>55</v>
      </c>
    </row>
    <row r="941" spans="1:12" ht="26.25" customHeight="1">
      <c r="A941" s="17">
        <f t="shared" si="0"/>
        <v>938</v>
      </c>
      <c r="B941" s="18" t="s">
        <v>146</v>
      </c>
      <c r="C941" s="19" t="s">
        <v>4161</v>
      </c>
      <c r="D941" s="20" t="s">
        <v>4163</v>
      </c>
      <c r="E941" s="32" t="s">
        <v>52</v>
      </c>
      <c r="F941" s="33" t="s">
        <v>53</v>
      </c>
      <c r="G941" s="23" t="s">
        <v>4164</v>
      </c>
      <c r="H941" s="24" t="s">
        <v>20</v>
      </c>
      <c r="J941" s="284" t="str">
        <f t="shared" ref="J941:J943" si="96">CONCATENATE(C941," │  ISSN:  ",D941," *")</f>
        <v>太陽エネルギ― │  ISSN:  0388-9564 *</v>
      </c>
      <c r="L941" s="243" t="s">
        <v>5514</v>
      </c>
    </row>
    <row r="942" spans="1:12" ht="26.25" customHeight="1">
      <c r="A942" s="17">
        <f t="shared" si="0"/>
        <v>939</v>
      </c>
      <c r="B942" s="18" t="s">
        <v>13</v>
      </c>
      <c r="C942" s="19" t="s">
        <v>4165</v>
      </c>
      <c r="D942" s="20" t="s">
        <v>4167</v>
      </c>
      <c r="E942" s="32" t="s">
        <v>4971</v>
      </c>
      <c r="F942" s="33" t="s">
        <v>53</v>
      </c>
      <c r="G942" s="23" t="s">
        <v>4169</v>
      </c>
      <c r="H942" s="24" t="s">
        <v>20</v>
      </c>
      <c r="J942" s="284" t="str">
        <f t="shared" si="96"/>
        <v>土木技術 │  ISSN:  0285-5046 *</v>
      </c>
      <c r="L942" s="243" t="s">
        <v>5515</v>
      </c>
    </row>
    <row r="943" spans="1:12" ht="26.25" customHeight="1">
      <c r="A943" s="17">
        <f t="shared" si="0"/>
        <v>940</v>
      </c>
      <c r="B943" s="18" t="s">
        <v>13</v>
      </c>
      <c r="C943" s="19" t="s">
        <v>4170</v>
      </c>
      <c r="D943" s="20" t="s">
        <v>4172</v>
      </c>
      <c r="E943" s="32" t="s">
        <v>52</v>
      </c>
      <c r="F943" s="33" t="s">
        <v>53</v>
      </c>
      <c r="G943" s="23" t="s">
        <v>4173</v>
      </c>
      <c r="H943" s="24" t="s">
        <v>20</v>
      </c>
      <c r="J943" s="284" t="str">
        <f t="shared" si="96"/>
        <v>土木技術資料 │  ISSN:  0386-5886 *</v>
      </c>
      <c r="L943" s="243" t="s">
        <v>5516</v>
      </c>
    </row>
    <row r="944" spans="1:12" ht="26.25" hidden="1" customHeight="1">
      <c r="A944" s="17">
        <f t="shared" si="0"/>
        <v>941</v>
      </c>
      <c r="B944" s="18" t="s">
        <v>13</v>
      </c>
      <c r="C944" s="31" t="s">
        <v>4174</v>
      </c>
      <c r="D944" s="20" t="s">
        <v>4176</v>
      </c>
      <c r="E944" s="32" t="s">
        <v>4177</v>
      </c>
      <c r="F944" s="33" t="s">
        <v>53</v>
      </c>
      <c r="G944" s="23" t="s">
        <v>4178</v>
      </c>
      <c r="H944" s="24" t="s">
        <v>55</v>
      </c>
    </row>
    <row r="945" spans="1:25" ht="26.25" hidden="1" customHeight="1">
      <c r="A945" s="17">
        <f t="shared" si="0"/>
        <v>942</v>
      </c>
      <c r="B945" s="18" t="s">
        <v>13</v>
      </c>
      <c r="C945" s="31" t="s">
        <v>4179</v>
      </c>
      <c r="D945" s="20" t="s">
        <v>4181</v>
      </c>
      <c r="E945" s="32" t="s">
        <v>4182</v>
      </c>
      <c r="F945" s="33" t="s">
        <v>53</v>
      </c>
      <c r="G945" s="23" t="s">
        <v>4183</v>
      </c>
      <c r="H945" s="24" t="s">
        <v>55</v>
      </c>
    </row>
    <row r="946" spans="1:25" ht="26.25" hidden="1" customHeight="1">
      <c r="A946" s="17">
        <f t="shared" si="0"/>
        <v>943</v>
      </c>
      <c r="B946" s="18" t="s">
        <v>13</v>
      </c>
      <c r="C946" s="31" t="s">
        <v>4184</v>
      </c>
      <c r="D946" s="20" t="s">
        <v>4185</v>
      </c>
      <c r="E946" s="32" t="s">
        <v>4186</v>
      </c>
      <c r="F946" s="33" t="s">
        <v>53</v>
      </c>
      <c r="G946" s="23" t="s">
        <v>4187</v>
      </c>
      <c r="H946" s="24" t="s">
        <v>55</v>
      </c>
    </row>
    <row r="947" spans="1:25" ht="26.25" customHeight="1">
      <c r="A947" s="17">
        <f t="shared" si="0"/>
        <v>944</v>
      </c>
      <c r="B947" s="18" t="s">
        <v>13</v>
      </c>
      <c r="C947" s="19" t="s">
        <v>4188</v>
      </c>
      <c r="D947" s="20" t="s">
        <v>4189</v>
      </c>
      <c r="E947" s="32" t="s">
        <v>4972</v>
      </c>
      <c r="F947" s="33" t="s">
        <v>53</v>
      </c>
      <c r="G947" s="23" t="s">
        <v>4191</v>
      </c>
      <c r="H947" s="24" t="s">
        <v>20</v>
      </c>
      <c r="J947" s="284" t="str">
        <f t="shared" ref="J947:J948" si="97">CONCATENATE(C947," │  ISSN:  ",D947," *")</f>
        <v>土木學會誌 │  ISSN:  0021-468X *</v>
      </c>
      <c r="L947" s="243" t="s">
        <v>5517</v>
      </c>
    </row>
    <row r="948" spans="1:25" ht="26.25" customHeight="1">
      <c r="A948" s="17">
        <f t="shared" si="0"/>
        <v>945</v>
      </c>
      <c r="B948" s="18" t="s">
        <v>37</v>
      </c>
      <c r="C948" s="19" t="s">
        <v>4192</v>
      </c>
      <c r="D948" s="20" t="s">
        <v>4194</v>
      </c>
      <c r="E948" s="32" t="s">
        <v>5028</v>
      </c>
      <c r="F948" s="33" t="s">
        <v>53</v>
      </c>
      <c r="G948" s="23" t="s">
        <v>4196</v>
      </c>
      <c r="H948" s="24" t="s">
        <v>20</v>
      </c>
      <c r="J948" s="284" t="str">
        <f t="shared" si="97"/>
        <v>特殊鋼 │  ISSN:  0495-7644 *</v>
      </c>
      <c r="L948" s="243" t="s">
        <v>5518</v>
      </c>
    </row>
    <row r="949" spans="1:25" ht="26.25" hidden="1" customHeight="1">
      <c r="A949" s="17">
        <f t="shared" si="0"/>
        <v>946</v>
      </c>
      <c r="B949" s="18" t="s">
        <v>1197</v>
      </c>
      <c r="C949" s="92" t="s">
        <v>4197</v>
      </c>
      <c r="D949" s="90" t="s">
        <v>4199</v>
      </c>
      <c r="E949" s="91" t="s">
        <v>4200</v>
      </c>
      <c r="F949" s="93" t="s">
        <v>53</v>
      </c>
      <c r="G949" s="94" t="s">
        <v>4201</v>
      </c>
      <c r="H949" s="95" t="s">
        <v>55</v>
      </c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</row>
    <row r="950" spans="1:25" ht="26.25" hidden="1" customHeight="1">
      <c r="A950" s="17">
        <f t="shared" si="0"/>
        <v>947</v>
      </c>
      <c r="B950" s="18" t="s">
        <v>27</v>
      </c>
      <c r="C950" s="31" t="s">
        <v>4202</v>
      </c>
      <c r="D950" s="20" t="s">
        <v>4204</v>
      </c>
      <c r="E950" s="32" t="s">
        <v>4205</v>
      </c>
      <c r="F950" s="33" t="s">
        <v>53</v>
      </c>
      <c r="G950" s="23" t="s">
        <v>4206</v>
      </c>
      <c r="H950" s="24" t="s">
        <v>55</v>
      </c>
    </row>
    <row r="951" spans="1:25" ht="26.25" customHeight="1">
      <c r="A951" s="17">
        <f t="shared" si="0"/>
        <v>948</v>
      </c>
      <c r="B951" s="18" t="s">
        <v>27</v>
      </c>
      <c r="C951" s="19" t="s">
        <v>5051</v>
      </c>
      <c r="D951" s="20" t="s">
        <v>5053</v>
      </c>
      <c r="E951" s="32" t="s">
        <v>170</v>
      </c>
      <c r="F951" s="33" t="s">
        <v>53</v>
      </c>
      <c r="G951" s="23" t="s">
        <v>4210</v>
      </c>
      <c r="H951" s="24" t="s">
        <v>20</v>
      </c>
      <c r="J951" s="284" t="str">
        <f t="shared" ref="J951:J953" si="98">CONCATENATE(C951," │  ISSN:  ",D951," *")</f>
        <v>表面科學 │  ISSN:  0388-5321 *</v>
      </c>
      <c r="L951" s="243" t="s">
        <v>5519</v>
      </c>
    </row>
    <row r="952" spans="1:25" ht="26.25" customHeight="1">
      <c r="A952" s="17">
        <f t="shared" si="0"/>
        <v>949</v>
      </c>
      <c r="B952" s="18" t="s">
        <v>27</v>
      </c>
      <c r="C952" s="19" t="s">
        <v>4211</v>
      </c>
      <c r="D952" s="20" t="s">
        <v>4213</v>
      </c>
      <c r="E952" s="32" t="s">
        <v>5054</v>
      </c>
      <c r="F952" s="33" t="s">
        <v>53</v>
      </c>
      <c r="G952" s="23" t="s">
        <v>4215</v>
      </c>
      <c r="H952" s="24" t="s">
        <v>20</v>
      </c>
      <c r="J952" s="284" t="str">
        <f t="shared" si="98"/>
        <v>表面技術 │  ISSN:  0915-1869 *</v>
      </c>
      <c r="L952" s="243" t="s">
        <v>5520</v>
      </c>
    </row>
    <row r="953" spans="1:25" ht="26.25" customHeight="1">
      <c r="A953" s="17">
        <f t="shared" si="0"/>
        <v>950</v>
      </c>
      <c r="B953" s="18" t="s">
        <v>1197</v>
      </c>
      <c r="C953" s="19" t="s">
        <v>1824</v>
      </c>
      <c r="D953" s="20" t="s">
        <v>1826</v>
      </c>
      <c r="E953" s="32" t="s">
        <v>3823</v>
      </c>
      <c r="F953" s="33" t="s">
        <v>53</v>
      </c>
      <c r="G953" s="23" t="s">
        <v>4216</v>
      </c>
      <c r="H953" s="24" t="s">
        <v>20</v>
      </c>
      <c r="J953" s="284" t="str">
        <f t="shared" si="98"/>
        <v>下水道 │  ISSN:  0387-6926 *</v>
      </c>
      <c r="L953" s="243" t="s">
        <v>5521</v>
      </c>
    </row>
    <row r="954" spans="1:25" ht="26.25" hidden="1" customHeight="1">
      <c r="A954" s="17">
        <f t="shared" si="0"/>
        <v>951</v>
      </c>
      <c r="B954" s="18" t="s">
        <v>1197</v>
      </c>
      <c r="C954" s="31" t="s">
        <v>4217</v>
      </c>
      <c r="D954" s="20" t="s">
        <v>4219</v>
      </c>
      <c r="E954" s="32" t="s">
        <v>4220</v>
      </c>
      <c r="F954" s="33" t="s">
        <v>53</v>
      </c>
      <c r="G954" s="23" t="s">
        <v>4221</v>
      </c>
      <c r="H954" s="24" t="s">
        <v>55</v>
      </c>
    </row>
    <row r="955" spans="1:25" ht="26.25" hidden="1" customHeight="1">
      <c r="A955" s="17">
        <f t="shared" si="0"/>
        <v>952</v>
      </c>
      <c r="B955" s="18" t="s">
        <v>13</v>
      </c>
      <c r="C955" s="31" t="s">
        <v>4222</v>
      </c>
      <c r="D955" s="20" t="s">
        <v>4224</v>
      </c>
      <c r="E955" s="32" t="s">
        <v>4225</v>
      </c>
      <c r="F955" s="22" t="s">
        <v>53</v>
      </c>
      <c r="G955" s="23" t="s">
        <v>4226</v>
      </c>
      <c r="H955" s="24" t="s">
        <v>55</v>
      </c>
    </row>
    <row r="956" spans="1:25" ht="26.25" hidden="1" customHeight="1">
      <c r="A956" s="17">
        <f t="shared" si="0"/>
        <v>953</v>
      </c>
      <c r="B956" s="18" t="s">
        <v>13</v>
      </c>
      <c r="C956" s="31" t="s">
        <v>4227</v>
      </c>
      <c r="D956" s="20" t="s">
        <v>4228</v>
      </c>
      <c r="E956" s="32" t="s">
        <v>4225</v>
      </c>
      <c r="F956" s="22" t="s">
        <v>53</v>
      </c>
      <c r="G956" s="23" t="s">
        <v>4229</v>
      </c>
      <c r="H956" s="24" t="s">
        <v>55</v>
      </c>
    </row>
    <row r="957" spans="1:25" ht="26.25" hidden="1" customHeight="1">
      <c r="A957" s="17">
        <f t="shared" si="0"/>
        <v>954</v>
      </c>
      <c r="B957" s="18" t="s">
        <v>13</v>
      </c>
      <c r="C957" s="31" t="s">
        <v>4230</v>
      </c>
      <c r="D957" s="20" t="s">
        <v>4231</v>
      </c>
      <c r="E957" s="32" t="s">
        <v>4225</v>
      </c>
      <c r="F957" s="22" t="s">
        <v>53</v>
      </c>
      <c r="G957" s="23" t="s">
        <v>4232</v>
      </c>
      <c r="H957" s="24" t="s">
        <v>55</v>
      </c>
    </row>
    <row r="958" spans="1:25" ht="26.25" hidden="1" customHeight="1">
      <c r="A958" s="17">
        <f t="shared" si="0"/>
        <v>955</v>
      </c>
      <c r="B958" s="18" t="s">
        <v>13</v>
      </c>
      <c r="C958" s="31" t="s">
        <v>4233</v>
      </c>
      <c r="D958" s="20" t="s">
        <v>4234</v>
      </c>
      <c r="E958" s="32" t="s">
        <v>4225</v>
      </c>
      <c r="F958" s="22" t="s">
        <v>53</v>
      </c>
      <c r="G958" s="23" t="s">
        <v>4235</v>
      </c>
      <c r="H958" s="24" t="s">
        <v>55</v>
      </c>
    </row>
    <row r="959" spans="1:25" ht="26.25" hidden="1" customHeight="1">
      <c r="A959" s="17">
        <f t="shared" si="0"/>
        <v>956</v>
      </c>
      <c r="B959" s="18" t="s">
        <v>13</v>
      </c>
      <c r="C959" s="31" t="s">
        <v>4236</v>
      </c>
      <c r="D959" s="20" t="s">
        <v>4237</v>
      </c>
      <c r="E959" s="32" t="s">
        <v>4238</v>
      </c>
      <c r="F959" s="22" t="s">
        <v>53</v>
      </c>
      <c r="G959" s="23" t="s">
        <v>4239</v>
      </c>
      <c r="H959" s="24" t="s">
        <v>55</v>
      </c>
    </row>
    <row r="960" spans="1:25" ht="26.25" hidden="1" customHeight="1">
      <c r="A960" s="17">
        <f t="shared" si="0"/>
        <v>957</v>
      </c>
      <c r="B960" s="18" t="s">
        <v>13</v>
      </c>
      <c r="C960" s="31" t="s">
        <v>4240</v>
      </c>
      <c r="D960" s="20" t="s">
        <v>4241</v>
      </c>
      <c r="E960" s="32" t="s">
        <v>4225</v>
      </c>
      <c r="F960" s="22" t="s">
        <v>53</v>
      </c>
      <c r="G960" s="23" t="s">
        <v>4242</v>
      </c>
      <c r="H960" s="24" t="s">
        <v>55</v>
      </c>
    </row>
    <row r="961" spans="1:12" ht="26.25" hidden="1" customHeight="1">
      <c r="A961" s="17">
        <f t="shared" si="0"/>
        <v>958</v>
      </c>
      <c r="B961" s="18" t="s">
        <v>13</v>
      </c>
      <c r="C961" s="31" t="s">
        <v>4243</v>
      </c>
      <c r="D961" s="20" t="s">
        <v>4244</v>
      </c>
      <c r="E961" s="32" t="s">
        <v>4225</v>
      </c>
      <c r="F961" s="22" t="s">
        <v>53</v>
      </c>
      <c r="G961" s="23" t="s">
        <v>4245</v>
      </c>
      <c r="H961" s="24" t="s">
        <v>55</v>
      </c>
    </row>
    <row r="962" spans="1:12" ht="26.25" hidden="1" customHeight="1">
      <c r="A962" s="17">
        <f t="shared" si="0"/>
        <v>959</v>
      </c>
      <c r="B962" s="18" t="s">
        <v>13</v>
      </c>
      <c r="C962" s="31" t="s">
        <v>4246</v>
      </c>
      <c r="D962" s="20" t="s">
        <v>4247</v>
      </c>
      <c r="E962" s="32" t="s">
        <v>4248</v>
      </c>
      <c r="F962" s="22" t="s">
        <v>53</v>
      </c>
      <c r="G962" s="23" t="s">
        <v>4249</v>
      </c>
      <c r="H962" s="24" t="s">
        <v>55</v>
      </c>
    </row>
    <row r="963" spans="1:12" ht="26.25" hidden="1" customHeight="1">
      <c r="A963" s="17">
        <f t="shared" si="0"/>
        <v>960</v>
      </c>
      <c r="B963" s="18" t="s">
        <v>13</v>
      </c>
      <c r="C963" s="31" t="s">
        <v>4250</v>
      </c>
      <c r="D963" s="20" t="s">
        <v>4251</v>
      </c>
      <c r="E963" s="32" t="s">
        <v>4225</v>
      </c>
      <c r="F963" s="22" t="s">
        <v>53</v>
      </c>
      <c r="G963" s="23" t="s">
        <v>4252</v>
      </c>
      <c r="H963" s="24" t="s">
        <v>55</v>
      </c>
    </row>
    <row r="964" spans="1:12" ht="26.25" hidden="1" customHeight="1">
      <c r="A964" s="17">
        <f t="shared" si="0"/>
        <v>961</v>
      </c>
      <c r="B964" s="18" t="s">
        <v>13</v>
      </c>
      <c r="C964" s="31" t="s">
        <v>4253</v>
      </c>
      <c r="D964" s="20" t="s">
        <v>4254</v>
      </c>
      <c r="E964" s="32" t="s">
        <v>4255</v>
      </c>
      <c r="F964" s="22" t="s">
        <v>53</v>
      </c>
      <c r="G964" s="23" t="s">
        <v>4256</v>
      </c>
      <c r="H964" s="24" t="s">
        <v>55</v>
      </c>
    </row>
    <row r="965" spans="1:12" ht="26.25" hidden="1" customHeight="1">
      <c r="A965" s="17">
        <f t="shared" si="0"/>
        <v>962</v>
      </c>
      <c r="B965" s="18" t="s">
        <v>13</v>
      </c>
      <c r="C965" s="31" t="s">
        <v>4257</v>
      </c>
      <c r="D965" s="20" t="s">
        <v>4258</v>
      </c>
      <c r="E965" s="32" t="s">
        <v>4225</v>
      </c>
      <c r="F965" s="22" t="s">
        <v>53</v>
      </c>
      <c r="G965" s="23" t="s">
        <v>4259</v>
      </c>
      <c r="H965" s="24" t="s">
        <v>55</v>
      </c>
    </row>
    <row r="966" spans="1:12" ht="26.25" hidden="1" customHeight="1">
      <c r="A966" s="17">
        <f t="shared" si="0"/>
        <v>963</v>
      </c>
      <c r="B966" s="18" t="s">
        <v>13</v>
      </c>
      <c r="C966" s="31" t="s">
        <v>4260</v>
      </c>
      <c r="D966" s="20" t="s">
        <v>4261</v>
      </c>
      <c r="E966" s="32" t="s">
        <v>4225</v>
      </c>
      <c r="F966" s="22" t="s">
        <v>53</v>
      </c>
      <c r="G966" s="23" t="s">
        <v>4262</v>
      </c>
      <c r="H966" s="24" t="s">
        <v>55</v>
      </c>
    </row>
    <row r="967" spans="1:12" ht="26.25" hidden="1" customHeight="1">
      <c r="A967" s="17">
        <f t="shared" si="0"/>
        <v>964</v>
      </c>
      <c r="B967" s="18" t="s">
        <v>13</v>
      </c>
      <c r="C967" s="31" t="s">
        <v>4263</v>
      </c>
      <c r="D967" s="1" t="s">
        <v>4264</v>
      </c>
      <c r="E967" s="32" t="s">
        <v>4225</v>
      </c>
      <c r="F967" s="22" t="s">
        <v>53</v>
      </c>
      <c r="G967" s="23" t="s">
        <v>4265</v>
      </c>
      <c r="H967" s="24" t="s">
        <v>55</v>
      </c>
    </row>
    <row r="968" spans="1:12" ht="26.25" customHeight="1">
      <c r="A968" s="17">
        <f t="shared" si="0"/>
        <v>965</v>
      </c>
      <c r="B968" s="18" t="s">
        <v>233</v>
      </c>
      <c r="C968" s="42" t="s">
        <v>4266</v>
      </c>
      <c r="D968" s="43" t="s">
        <v>1830</v>
      </c>
      <c r="E968" s="44" t="s">
        <v>178</v>
      </c>
      <c r="F968" s="22" t="s">
        <v>53</v>
      </c>
      <c r="G968" s="41" t="s">
        <v>4268</v>
      </c>
      <c r="H968" s="45" t="s">
        <v>20</v>
      </c>
      <c r="J968" s="284" t="str">
        <f t="shared" ref="J968:J969" si="99">CONCATENATE(C968," │  ISSN:  ",D968," *")</f>
        <v>航空技術(Avigagtion Engineering) │  ISSN:  0023-284X *</v>
      </c>
      <c r="L968" s="243" t="s">
        <v>5522</v>
      </c>
    </row>
    <row r="969" spans="1:12" ht="26.25" customHeight="1">
      <c r="A969" s="17">
        <f t="shared" si="0"/>
        <v>966</v>
      </c>
      <c r="B969" s="18" t="s">
        <v>233</v>
      </c>
      <c r="C969" s="19" t="s">
        <v>4269</v>
      </c>
      <c r="D969" s="20" t="s">
        <v>1836</v>
      </c>
      <c r="E969" s="105" t="s">
        <v>178</v>
      </c>
      <c r="F969" s="22" t="s">
        <v>53</v>
      </c>
      <c r="G969" s="23" t="s">
        <v>4271</v>
      </c>
      <c r="H969" s="24" t="s">
        <v>20</v>
      </c>
      <c r="J969" s="284" t="str">
        <f t="shared" si="99"/>
        <v>航空情報 │  ISSN:  0450-6669 *</v>
      </c>
      <c r="L969" s="243" t="s">
        <v>5523</v>
      </c>
    </row>
    <row r="970" spans="1:12" ht="26.25" hidden="1" customHeight="1">
      <c r="A970" s="17">
        <f t="shared" si="0"/>
        <v>967</v>
      </c>
      <c r="B970" s="18" t="s">
        <v>105</v>
      </c>
      <c r="C970" s="106" t="s">
        <v>4272</v>
      </c>
      <c r="D970" s="1" t="s">
        <v>4274</v>
      </c>
      <c r="E970" s="32" t="s">
        <v>4275</v>
      </c>
      <c r="F970" s="33" t="s">
        <v>53</v>
      </c>
      <c r="G970" s="108" t="s">
        <v>4276</v>
      </c>
      <c r="H970" s="109" t="s">
        <v>55</v>
      </c>
    </row>
    <row r="971" spans="1:12" ht="26.25" hidden="1" customHeight="1">
      <c r="A971" s="17">
        <f t="shared" si="0"/>
        <v>968</v>
      </c>
      <c r="B971" s="18" t="s">
        <v>105</v>
      </c>
      <c r="C971" s="31" t="s">
        <v>4277</v>
      </c>
      <c r="D971" s="110" t="s">
        <v>4278</v>
      </c>
      <c r="E971" s="32" t="s">
        <v>4279</v>
      </c>
      <c r="F971" s="33" t="s">
        <v>53</v>
      </c>
      <c r="G971" s="23" t="s">
        <v>4280</v>
      </c>
      <c r="H971" s="24" t="s">
        <v>55</v>
      </c>
    </row>
    <row r="972" spans="1:12" ht="26.25" customHeight="1">
      <c r="A972" s="17">
        <f t="shared" si="0"/>
        <v>969</v>
      </c>
      <c r="B972" s="18" t="s">
        <v>175</v>
      </c>
      <c r="C972" s="31" t="s">
        <v>4281</v>
      </c>
      <c r="D972" s="110" t="s">
        <v>4283</v>
      </c>
      <c r="E972" s="21" t="s">
        <v>1990</v>
      </c>
      <c r="F972" s="33" t="s">
        <v>53</v>
      </c>
      <c r="G972" s="23" t="s">
        <v>4284</v>
      </c>
      <c r="H972" s="34" t="s">
        <v>20</v>
      </c>
      <c r="J972" s="284" t="str">
        <f>CONCATENATE(C972," │  ISSN:  ",D972," *")</f>
        <v>解剖學雜誌 │  ISSN:  0022-7722 *</v>
      </c>
      <c r="L972" s="243" t="s">
        <v>5524</v>
      </c>
    </row>
    <row r="973" spans="1:12" ht="26.25" hidden="1" customHeight="1">
      <c r="A973" s="17">
        <f t="shared" si="0"/>
        <v>970</v>
      </c>
      <c r="B973" s="18" t="s">
        <v>1375</v>
      </c>
      <c r="C973" s="31" t="s">
        <v>4285</v>
      </c>
      <c r="D973" s="20" t="s">
        <v>4287</v>
      </c>
      <c r="E973" s="111" t="s">
        <v>4288</v>
      </c>
      <c r="F973" s="33" t="s">
        <v>53</v>
      </c>
      <c r="G973" s="23" t="s">
        <v>4289</v>
      </c>
      <c r="H973" s="24" t="s">
        <v>55</v>
      </c>
    </row>
    <row r="974" spans="1:12" ht="26.25" customHeight="1">
      <c r="A974" s="17">
        <f t="shared" si="0"/>
        <v>971</v>
      </c>
      <c r="B974" s="18" t="s">
        <v>105</v>
      </c>
      <c r="C974" s="31" t="s">
        <v>4290</v>
      </c>
      <c r="D974" s="20" t="s">
        <v>4292</v>
      </c>
      <c r="E974" s="112" t="s">
        <v>5000</v>
      </c>
      <c r="F974" s="33" t="s">
        <v>53</v>
      </c>
      <c r="G974" s="23" t="s">
        <v>4293</v>
      </c>
      <c r="H974" s="34" t="s">
        <v>20</v>
      </c>
      <c r="J974" s="284" t="str">
        <f>CONCATENATE(C974," │  ISSN:  ",D974," *")</f>
        <v>海洋水産エンジニアリング │  ISSN:  1346-9800 *</v>
      </c>
      <c r="L974" s="243" t="s">
        <v>5525</v>
      </c>
    </row>
    <row r="975" spans="1:12" ht="26.25" hidden="1" customHeight="1">
      <c r="A975" s="17">
        <f t="shared" si="0"/>
        <v>972</v>
      </c>
      <c r="B975" s="18" t="s">
        <v>132</v>
      </c>
      <c r="C975" s="31" t="s">
        <v>4294</v>
      </c>
      <c r="D975" s="20"/>
      <c r="E975" s="32" t="s">
        <v>4296</v>
      </c>
      <c r="F975" s="33" t="s">
        <v>53</v>
      </c>
      <c r="G975" s="23" t="s">
        <v>4297</v>
      </c>
      <c r="H975" s="24" t="s">
        <v>55</v>
      </c>
    </row>
    <row r="976" spans="1:12" ht="26.25" hidden="1" customHeight="1">
      <c r="A976" s="17">
        <f t="shared" si="0"/>
        <v>973</v>
      </c>
      <c r="B976" s="18" t="s">
        <v>867</v>
      </c>
      <c r="C976" s="31" t="s">
        <v>4298</v>
      </c>
      <c r="D976" s="20" t="s">
        <v>4300</v>
      </c>
      <c r="E976" s="32" t="s">
        <v>614</v>
      </c>
      <c r="F976" s="33" t="s">
        <v>53</v>
      </c>
      <c r="G976" s="23" t="s">
        <v>4301</v>
      </c>
      <c r="H976" s="24" t="s">
        <v>55</v>
      </c>
    </row>
    <row r="977" spans="1:12" ht="26.25" customHeight="1">
      <c r="A977" s="17">
        <f t="shared" si="0"/>
        <v>974</v>
      </c>
      <c r="B977" s="18" t="s">
        <v>27</v>
      </c>
      <c r="C977" s="19" t="s">
        <v>4302</v>
      </c>
      <c r="D977" s="20" t="s">
        <v>4304</v>
      </c>
      <c r="E977" s="32" t="s">
        <v>1990</v>
      </c>
      <c r="F977" s="33" t="s">
        <v>53</v>
      </c>
      <c r="G977" s="23" t="s">
        <v>4305</v>
      </c>
      <c r="H977" s="24" t="s">
        <v>20</v>
      </c>
      <c r="J977" s="284" t="str">
        <f t="shared" ref="J977:J978" si="100">CONCATENATE(C977," │  ISSN:  ",D977," *")</f>
        <v>現代化學 │  ISSN:  0386-961X *</v>
      </c>
      <c r="L977" s="243" t="s">
        <v>5526</v>
      </c>
    </row>
    <row r="978" spans="1:12" ht="26.25" customHeight="1">
      <c r="A978" s="17">
        <f t="shared" si="0"/>
        <v>975</v>
      </c>
      <c r="B978" s="18" t="s">
        <v>105</v>
      </c>
      <c r="C978" s="31" t="s">
        <v>4306</v>
      </c>
      <c r="D978" s="113" t="s">
        <v>4308</v>
      </c>
      <c r="E978" s="114" t="s">
        <v>5084</v>
      </c>
      <c r="F978" s="33" t="s">
        <v>53</v>
      </c>
      <c r="G978" s="23" t="s">
        <v>4310</v>
      </c>
      <c r="H978" s="34" t="s">
        <v>20</v>
      </c>
      <c r="J978" s="284" t="str">
        <f t="shared" si="100"/>
        <v>火山 │  ISSN:  0453-4360 *</v>
      </c>
      <c r="L978" s="243" t="s">
        <v>5527</v>
      </c>
    </row>
    <row r="979" spans="1:12" ht="26.25" hidden="1" customHeight="1">
      <c r="A979" s="17">
        <f t="shared" si="0"/>
        <v>976</v>
      </c>
      <c r="B979" s="18" t="s">
        <v>175</v>
      </c>
      <c r="C979" s="31" t="s">
        <v>4311</v>
      </c>
      <c r="D979" s="20" t="s">
        <v>473</v>
      </c>
      <c r="E979" s="32" t="s">
        <v>4313</v>
      </c>
      <c r="F979" s="33" t="s">
        <v>53</v>
      </c>
      <c r="G979" s="23" t="s">
        <v>4314</v>
      </c>
      <c r="H979" s="24" t="s">
        <v>55</v>
      </c>
    </row>
    <row r="980" spans="1:12" ht="26.25" customHeight="1">
      <c r="A980" s="17">
        <f t="shared" si="0"/>
        <v>977</v>
      </c>
      <c r="B980" s="18" t="s">
        <v>27</v>
      </c>
      <c r="C980" s="19" t="s">
        <v>4315</v>
      </c>
      <c r="D980" s="20" t="s">
        <v>4316</v>
      </c>
      <c r="E980" s="32" t="s">
        <v>5055</v>
      </c>
      <c r="F980" s="33" t="s">
        <v>53</v>
      </c>
      <c r="G980" s="23" t="s">
        <v>4318</v>
      </c>
      <c r="H980" s="24" t="s">
        <v>20</v>
      </c>
      <c r="J980" s="284" t="str">
        <f t="shared" ref="J980:J982" si="101">CONCATENATE(C980," │  ISSN:  ",D980," *")</f>
        <v>化學工學 │  ISSN:  0375-9253 *</v>
      </c>
      <c r="L980" s="243" t="s">
        <v>5528</v>
      </c>
    </row>
    <row r="981" spans="1:12" ht="26.25" customHeight="1">
      <c r="A981" s="17">
        <f t="shared" si="0"/>
        <v>978</v>
      </c>
      <c r="B981" s="18" t="s">
        <v>27</v>
      </c>
      <c r="C981" s="19" t="s">
        <v>4319</v>
      </c>
      <c r="D981" s="20" t="s">
        <v>4320</v>
      </c>
      <c r="E981" s="32" t="s">
        <v>4969</v>
      </c>
      <c r="F981" s="22" t="s">
        <v>42</v>
      </c>
      <c r="G981" s="23" t="s">
        <v>4321</v>
      </c>
      <c r="H981" s="24" t="s">
        <v>20</v>
      </c>
      <c r="J981" s="284" t="str">
        <f t="shared" si="101"/>
        <v>化學工學論文集 │  ISSN:  0386-216X *</v>
      </c>
      <c r="L981" s="243" t="s">
        <v>5529</v>
      </c>
    </row>
    <row r="982" spans="1:12" ht="26.25" customHeight="1">
      <c r="A982" s="285">
        <f t="shared" si="0"/>
        <v>979</v>
      </c>
      <c r="B982" s="117" t="s">
        <v>27</v>
      </c>
      <c r="C982" s="118" t="s">
        <v>4322</v>
      </c>
      <c r="D982" s="119" t="s">
        <v>1843</v>
      </c>
      <c r="E982" s="162" t="s">
        <v>4324</v>
      </c>
      <c r="F982" s="186" t="s">
        <v>53</v>
      </c>
      <c r="G982" s="187" t="s">
        <v>4325</v>
      </c>
      <c r="H982" s="165" t="s">
        <v>20</v>
      </c>
      <c r="J982" s="284" t="str">
        <f t="shared" si="101"/>
        <v>化學裝置 │  ISSN:  0368-4849 *</v>
      </c>
      <c r="L982" s="243" t="s">
        <v>5530</v>
      </c>
    </row>
    <row r="983" spans="1:12" ht="16.5" customHeight="1">
      <c r="B983" s="125"/>
      <c r="E983" s="6"/>
      <c r="J983" s="284"/>
    </row>
    <row r="984" spans="1:12" ht="16.5" customHeight="1">
      <c r="B984" s="125"/>
      <c r="E984" s="6"/>
      <c r="J984" s="284"/>
    </row>
    <row r="985" spans="1:12" ht="16.5" customHeight="1">
      <c r="B985" s="125"/>
      <c r="E985" s="6"/>
      <c r="J985" s="284"/>
    </row>
    <row r="986" spans="1:12" ht="16.5" customHeight="1">
      <c r="B986" s="125"/>
      <c r="E986" s="6"/>
      <c r="J986" s="284"/>
    </row>
    <row r="987" spans="1:12" ht="16.5" customHeight="1">
      <c r="B987" s="125"/>
      <c r="E987" s="6"/>
      <c r="J987" s="284"/>
    </row>
    <row r="988" spans="1:12" ht="16.5" customHeight="1">
      <c r="B988" s="125"/>
      <c r="E988" s="6"/>
      <c r="J988" s="284"/>
    </row>
    <row r="989" spans="1:12" ht="16.5" customHeight="1">
      <c r="B989" s="125"/>
      <c r="E989" s="6"/>
      <c r="J989" s="284"/>
    </row>
    <row r="990" spans="1:12" ht="16.5" customHeight="1">
      <c r="B990" s="125"/>
      <c r="E990" s="6"/>
      <c r="J990" s="284"/>
    </row>
    <row r="991" spans="1:12" ht="16.5" customHeight="1">
      <c r="B991" s="125"/>
      <c r="E991" s="6"/>
      <c r="J991" s="284"/>
    </row>
    <row r="992" spans="1:12" ht="16.5" customHeight="1">
      <c r="B992" s="125"/>
      <c r="E992" s="6"/>
      <c r="J992" s="284"/>
    </row>
    <row r="993" spans="2:10" ht="16.5" customHeight="1">
      <c r="B993" s="125"/>
      <c r="E993" s="6"/>
      <c r="J993" s="284"/>
    </row>
    <row r="994" spans="2:10" ht="16.5" customHeight="1">
      <c r="B994" s="125"/>
      <c r="E994" s="6"/>
      <c r="J994" s="284"/>
    </row>
    <row r="995" spans="2:10" ht="16.5" customHeight="1">
      <c r="B995" s="125"/>
      <c r="E995" s="6"/>
      <c r="J995" s="284"/>
    </row>
    <row r="996" spans="2:10" ht="16.5" customHeight="1">
      <c r="B996" s="125"/>
      <c r="E996" s="6"/>
      <c r="J996" s="284"/>
    </row>
    <row r="997" spans="2:10" ht="16.5" customHeight="1">
      <c r="B997" s="125"/>
      <c r="E997" s="6"/>
      <c r="J997" s="284"/>
    </row>
    <row r="998" spans="2:10" ht="16.5" customHeight="1">
      <c r="B998" s="125"/>
      <c r="E998" s="6"/>
      <c r="J998" s="284"/>
    </row>
    <row r="999" spans="2:10" ht="16.5" customHeight="1">
      <c r="B999" s="125"/>
      <c r="E999" s="6"/>
      <c r="J999" s="284"/>
    </row>
    <row r="1000" spans="2:10" ht="16.5" customHeight="1">
      <c r="B1000" s="125"/>
      <c r="E1000" s="6"/>
      <c r="J1000" s="284"/>
    </row>
  </sheetData>
  <autoFilter ref="A3:H982">
    <filterColumn colId="7">
      <filters>
        <filter val="O"/>
      </filters>
    </filterColumn>
  </autoFilter>
  <mergeCells count="2">
    <mergeCell ref="A1:H1"/>
    <mergeCell ref="G2:H2"/>
  </mergeCells>
  <phoneticPr fontId="65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  <hyperlink ref="G137" r:id="rId134"/>
    <hyperlink ref="G138" r:id="rId135"/>
    <hyperlink ref="G139" r:id="rId136"/>
    <hyperlink ref="G140" r:id="rId137"/>
    <hyperlink ref="G141" r:id="rId138"/>
    <hyperlink ref="G142" r:id="rId139"/>
    <hyperlink ref="G143" r:id="rId140"/>
    <hyperlink ref="G144" r:id="rId141"/>
    <hyperlink ref="G145" r:id="rId142"/>
    <hyperlink ref="G146" r:id="rId143"/>
    <hyperlink ref="G147" r:id="rId144"/>
    <hyperlink ref="G148" r:id="rId145"/>
    <hyperlink ref="G149" r:id="rId146"/>
    <hyperlink ref="G150" r:id="rId147"/>
    <hyperlink ref="G151" r:id="rId148"/>
    <hyperlink ref="G152" r:id="rId149"/>
    <hyperlink ref="G153" r:id="rId150"/>
    <hyperlink ref="G154" r:id="rId151"/>
    <hyperlink ref="G155" r:id="rId152"/>
    <hyperlink ref="G156" r:id="rId153"/>
    <hyperlink ref="G157" r:id="rId154"/>
    <hyperlink ref="G158" r:id="rId155"/>
    <hyperlink ref="G159" r:id="rId156"/>
    <hyperlink ref="G160" r:id="rId157"/>
    <hyperlink ref="G161" r:id="rId158"/>
    <hyperlink ref="G162" r:id="rId159"/>
    <hyperlink ref="G163" r:id="rId160"/>
    <hyperlink ref="G164" r:id="rId161"/>
    <hyperlink ref="G165" r:id="rId162"/>
    <hyperlink ref="G166" r:id="rId163"/>
    <hyperlink ref="G167" r:id="rId164"/>
    <hyperlink ref="G168" r:id="rId165"/>
    <hyperlink ref="G169" r:id="rId166"/>
    <hyperlink ref="G170" r:id="rId167"/>
    <hyperlink ref="G171" r:id="rId168"/>
    <hyperlink ref="G172" r:id="rId169"/>
    <hyperlink ref="G173" r:id="rId170"/>
    <hyperlink ref="G174" r:id="rId171"/>
    <hyperlink ref="G175" r:id="rId172"/>
    <hyperlink ref="G176" r:id="rId173"/>
    <hyperlink ref="G177" r:id="rId174"/>
    <hyperlink ref="G178" r:id="rId175"/>
    <hyperlink ref="G179" r:id="rId176"/>
    <hyperlink ref="G180" r:id="rId177"/>
    <hyperlink ref="G181" r:id="rId178"/>
    <hyperlink ref="G182" r:id="rId179"/>
    <hyperlink ref="G183" r:id="rId180"/>
    <hyperlink ref="G184" r:id="rId181"/>
    <hyperlink ref="G185" r:id="rId182"/>
    <hyperlink ref="G186" r:id="rId183"/>
    <hyperlink ref="G187" r:id="rId184"/>
    <hyperlink ref="G188" r:id="rId185"/>
    <hyperlink ref="G189" r:id="rId186"/>
    <hyperlink ref="G190" r:id="rId187"/>
    <hyperlink ref="G191" r:id="rId188"/>
    <hyperlink ref="G192" r:id="rId189"/>
    <hyperlink ref="G193" r:id="rId190"/>
    <hyperlink ref="G194" r:id="rId191"/>
    <hyperlink ref="G195" r:id="rId192"/>
    <hyperlink ref="G196" r:id="rId193"/>
    <hyperlink ref="G197" r:id="rId194"/>
    <hyperlink ref="G198" r:id="rId195"/>
    <hyperlink ref="G199" r:id="rId196"/>
    <hyperlink ref="G200" r:id="rId197"/>
    <hyperlink ref="G201" r:id="rId198"/>
    <hyperlink ref="G202" r:id="rId199"/>
    <hyperlink ref="G203" r:id="rId200"/>
    <hyperlink ref="G204" r:id="rId201"/>
    <hyperlink ref="G205" r:id="rId202"/>
    <hyperlink ref="G206" r:id="rId203"/>
    <hyperlink ref="G207" r:id="rId204"/>
    <hyperlink ref="G208" r:id="rId205"/>
    <hyperlink ref="G209" r:id="rId206"/>
    <hyperlink ref="G210" r:id="rId207"/>
    <hyperlink ref="G211" r:id="rId208"/>
    <hyperlink ref="G212" r:id="rId209"/>
    <hyperlink ref="G213" r:id="rId210"/>
    <hyperlink ref="G214" r:id="rId211"/>
    <hyperlink ref="G215" r:id="rId212"/>
    <hyperlink ref="G216" r:id="rId213"/>
    <hyperlink ref="G217" r:id="rId214"/>
    <hyperlink ref="G218" r:id="rId215"/>
    <hyperlink ref="G219" r:id="rId216"/>
    <hyperlink ref="G220" r:id="rId217"/>
    <hyperlink ref="G221" r:id="rId218"/>
    <hyperlink ref="G222" r:id="rId219"/>
    <hyperlink ref="G223" r:id="rId220"/>
    <hyperlink ref="G224" r:id="rId221"/>
    <hyperlink ref="G225" r:id="rId222"/>
    <hyperlink ref="G226" r:id="rId223"/>
    <hyperlink ref="G227" r:id="rId224"/>
    <hyperlink ref="G228" r:id="rId225"/>
    <hyperlink ref="G229" r:id="rId226"/>
    <hyperlink ref="G230" r:id="rId227"/>
    <hyperlink ref="G231" r:id="rId228"/>
    <hyperlink ref="G232" r:id="rId229"/>
    <hyperlink ref="G233" r:id="rId230"/>
    <hyperlink ref="G234" r:id="rId231"/>
    <hyperlink ref="G235" r:id="rId232"/>
    <hyperlink ref="G236" r:id="rId233"/>
    <hyperlink ref="G237" r:id="rId234"/>
    <hyperlink ref="G238" r:id="rId235"/>
    <hyperlink ref="G239" r:id="rId236"/>
    <hyperlink ref="G240" r:id="rId237"/>
    <hyperlink ref="G241" r:id="rId238"/>
    <hyperlink ref="G242" r:id="rId239"/>
    <hyperlink ref="G243" r:id="rId240"/>
    <hyperlink ref="G244" r:id="rId241"/>
    <hyperlink ref="G245" r:id="rId242"/>
    <hyperlink ref="G246" r:id="rId243"/>
    <hyperlink ref="G247" r:id="rId244"/>
    <hyperlink ref="G248" r:id="rId245"/>
    <hyperlink ref="G249" r:id="rId246"/>
    <hyperlink ref="G250" r:id="rId247"/>
    <hyperlink ref="G251" r:id="rId248"/>
    <hyperlink ref="G252" r:id="rId249"/>
    <hyperlink ref="G253" r:id="rId250"/>
    <hyperlink ref="G254" r:id="rId251"/>
    <hyperlink ref="G255" r:id="rId252"/>
    <hyperlink ref="G256" r:id="rId253"/>
    <hyperlink ref="G257" r:id="rId254"/>
    <hyperlink ref="G258" r:id="rId255"/>
    <hyperlink ref="G259" r:id="rId256"/>
    <hyperlink ref="G260" r:id="rId257"/>
    <hyperlink ref="G261" r:id="rId258"/>
    <hyperlink ref="G262" r:id="rId259"/>
    <hyperlink ref="G263" r:id="rId260"/>
    <hyperlink ref="G264" r:id="rId261"/>
    <hyperlink ref="G265" r:id="rId262"/>
    <hyperlink ref="G266" r:id="rId263"/>
    <hyperlink ref="G267" r:id="rId264"/>
    <hyperlink ref="G268" r:id="rId265"/>
    <hyperlink ref="G269" r:id="rId266"/>
    <hyperlink ref="G270" r:id="rId267"/>
    <hyperlink ref="G271" r:id="rId268"/>
    <hyperlink ref="G272" r:id="rId269"/>
    <hyperlink ref="G273" r:id="rId270"/>
    <hyperlink ref="G274" r:id="rId271"/>
    <hyperlink ref="G275" r:id="rId272"/>
    <hyperlink ref="G276" r:id="rId273"/>
    <hyperlink ref="G277" r:id="rId274"/>
    <hyperlink ref="G278" r:id="rId275"/>
    <hyperlink ref="G279" r:id="rId276"/>
    <hyperlink ref="G280" r:id="rId277"/>
    <hyperlink ref="G281" r:id="rId278"/>
    <hyperlink ref="G282" r:id="rId279"/>
    <hyperlink ref="G283" r:id="rId280"/>
    <hyperlink ref="G284" r:id="rId281"/>
    <hyperlink ref="G285" r:id="rId282"/>
    <hyperlink ref="G286" r:id="rId283"/>
    <hyperlink ref="G287" r:id="rId284"/>
    <hyperlink ref="G288" r:id="rId285"/>
    <hyperlink ref="G289" r:id="rId286"/>
    <hyperlink ref="G290" r:id="rId287"/>
    <hyperlink ref="G291" r:id="rId288"/>
    <hyperlink ref="G292" r:id="rId289"/>
    <hyperlink ref="G293" r:id="rId290"/>
    <hyperlink ref="G294" r:id="rId291"/>
    <hyperlink ref="G295" r:id="rId292"/>
    <hyperlink ref="G296" r:id="rId293"/>
    <hyperlink ref="G297" r:id="rId294"/>
    <hyperlink ref="G298" r:id="rId295"/>
    <hyperlink ref="G299" r:id="rId296"/>
    <hyperlink ref="G300" r:id="rId297"/>
    <hyperlink ref="G301" r:id="rId298"/>
    <hyperlink ref="G302" r:id="rId299"/>
    <hyperlink ref="G303" r:id="rId300"/>
    <hyperlink ref="G304" r:id="rId301"/>
    <hyperlink ref="G305" r:id="rId302"/>
    <hyperlink ref="G306" r:id="rId303"/>
    <hyperlink ref="G307" r:id="rId304"/>
    <hyperlink ref="G308" r:id="rId305"/>
    <hyperlink ref="G309" r:id="rId306"/>
    <hyperlink ref="G310" r:id="rId307"/>
    <hyperlink ref="G311" r:id="rId308"/>
    <hyperlink ref="G312" r:id="rId309"/>
    <hyperlink ref="G313" r:id="rId310"/>
    <hyperlink ref="G314" r:id="rId311"/>
    <hyperlink ref="G315" r:id="rId312"/>
    <hyperlink ref="G316" r:id="rId313"/>
    <hyperlink ref="G317" r:id="rId314"/>
    <hyperlink ref="G318" r:id="rId315"/>
    <hyperlink ref="G319" r:id="rId316"/>
    <hyperlink ref="G320" r:id="rId317"/>
    <hyperlink ref="G321" r:id="rId318"/>
    <hyperlink ref="G322" r:id="rId319"/>
    <hyperlink ref="G323" r:id="rId320"/>
    <hyperlink ref="G324" r:id="rId321"/>
    <hyperlink ref="G325" r:id="rId322"/>
    <hyperlink ref="G326" r:id="rId323"/>
    <hyperlink ref="G327" r:id="rId324"/>
    <hyperlink ref="G328" r:id="rId325"/>
    <hyperlink ref="G329" r:id="rId326"/>
    <hyperlink ref="G330" r:id="rId327"/>
    <hyperlink ref="G331" r:id="rId328"/>
    <hyperlink ref="G332" r:id="rId329"/>
    <hyperlink ref="G333" r:id="rId330"/>
    <hyperlink ref="G334" r:id="rId331"/>
    <hyperlink ref="G335" r:id="rId332"/>
    <hyperlink ref="G336" r:id="rId333"/>
    <hyperlink ref="G337" r:id="rId334"/>
    <hyperlink ref="G338" r:id="rId335"/>
    <hyperlink ref="G339" r:id="rId336"/>
    <hyperlink ref="G340" r:id="rId337"/>
    <hyperlink ref="G341" r:id="rId338"/>
    <hyperlink ref="G342" r:id="rId339"/>
    <hyperlink ref="G343" r:id="rId340"/>
    <hyperlink ref="G344" r:id="rId341"/>
    <hyperlink ref="G345" r:id="rId342"/>
    <hyperlink ref="G346" r:id="rId343"/>
    <hyperlink ref="G347" r:id="rId344"/>
    <hyperlink ref="G348" r:id="rId345"/>
    <hyperlink ref="G349" r:id="rId346"/>
    <hyperlink ref="G350" r:id="rId347"/>
    <hyperlink ref="G351" r:id="rId348"/>
    <hyperlink ref="G352" r:id="rId349"/>
    <hyperlink ref="G353" r:id="rId350"/>
    <hyperlink ref="G354" r:id="rId351"/>
    <hyperlink ref="G355" r:id="rId352"/>
    <hyperlink ref="G356" r:id="rId353"/>
    <hyperlink ref="G357" r:id="rId354"/>
    <hyperlink ref="G358" r:id="rId355"/>
    <hyperlink ref="G359" r:id="rId356"/>
    <hyperlink ref="G360" r:id="rId357"/>
    <hyperlink ref="G361" r:id="rId358"/>
    <hyperlink ref="G362" r:id="rId359"/>
    <hyperlink ref="G363" r:id="rId360"/>
    <hyperlink ref="G364" r:id="rId361"/>
    <hyperlink ref="G365" r:id="rId362"/>
    <hyperlink ref="G366" r:id="rId363"/>
    <hyperlink ref="G367" r:id="rId364"/>
    <hyperlink ref="G368" r:id="rId365"/>
    <hyperlink ref="G369" r:id="rId366"/>
    <hyperlink ref="G370" r:id="rId367"/>
    <hyperlink ref="G371" r:id="rId368"/>
    <hyperlink ref="G372" r:id="rId369"/>
    <hyperlink ref="G373" r:id="rId370"/>
    <hyperlink ref="G374" r:id="rId371"/>
    <hyperlink ref="G375" r:id="rId372"/>
    <hyperlink ref="G376" r:id="rId373"/>
    <hyperlink ref="G377" r:id="rId374"/>
    <hyperlink ref="G378" r:id="rId375"/>
    <hyperlink ref="G379" r:id="rId376"/>
    <hyperlink ref="G380" r:id="rId377"/>
    <hyperlink ref="G381" r:id="rId378"/>
    <hyperlink ref="G382" r:id="rId379"/>
    <hyperlink ref="G383" r:id="rId380"/>
    <hyperlink ref="G384" r:id="rId381"/>
    <hyperlink ref="G385" r:id="rId382"/>
    <hyperlink ref="G386" r:id="rId383"/>
    <hyperlink ref="G387" r:id="rId384"/>
    <hyperlink ref="G388" r:id="rId385"/>
    <hyperlink ref="G389" r:id="rId386"/>
    <hyperlink ref="G390" r:id="rId387"/>
    <hyperlink ref="G391" r:id="rId388"/>
    <hyperlink ref="G392" r:id="rId389"/>
    <hyperlink ref="G393" r:id="rId390"/>
    <hyperlink ref="G394" r:id="rId391"/>
    <hyperlink ref="G395" r:id="rId392"/>
    <hyperlink ref="G396" r:id="rId393"/>
    <hyperlink ref="G397" r:id="rId394"/>
    <hyperlink ref="G398" r:id="rId395"/>
    <hyperlink ref="G399" r:id="rId396"/>
    <hyperlink ref="G400" r:id="rId397"/>
    <hyperlink ref="G401" r:id="rId398"/>
    <hyperlink ref="G402" r:id="rId399"/>
    <hyperlink ref="G403" r:id="rId400"/>
    <hyperlink ref="G404" r:id="rId401"/>
    <hyperlink ref="G405" r:id="rId402"/>
    <hyperlink ref="G406" r:id="rId403"/>
    <hyperlink ref="G407" r:id="rId404"/>
    <hyperlink ref="G408" r:id="rId405"/>
    <hyperlink ref="G409" r:id="rId406"/>
    <hyperlink ref="G410" r:id="rId407"/>
    <hyperlink ref="G411" r:id="rId408"/>
    <hyperlink ref="G412" r:id="rId409"/>
    <hyperlink ref="G413" r:id="rId410"/>
    <hyperlink ref="G414" r:id="rId411"/>
    <hyperlink ref="G415" r:id="rId412"/>
    <hyperlink ref="G416" r:id="rId413"/>
    <hyperlink ref="G417" r:id="rId414"/>
    <hyperlink ref="G418" r:id="rId415"/>
    <hyperlink ref="G419" r:id="rId416"/>
    <hyperlink ref="G420" r:id="rId417"/>
    <hyperlink ref="G421" r:id="rId418"/>
    <hyperlink ref="G422" r:id="rId419"/>
    <hyperlink ref="G423" r:id="rId420"/>
    <hyperlink ref="G424" r:id="rId421"/>
    <hyperlink ref="G425" r:id="rId422"/>
    <hyperlink ref="G426" r:id="rId423"/>
    <hyperlink ref="G427" r:id="rId424"/>
    <hyperlink ref="G428" r:id="rId425"/>
    <hyperlink ref="G429" r:id="rId426"/>
    <hyperlink ref="G430" r:id="rId427"/>
    <hyperlink ref="G431" r:id="rId428"/>
    <hyperlink ref="G432" r:id="rId429"/>
    <hyperlink ref="G433" r:id="rId430"/>
    <hyperlink ref="G434" r:id="rId431"/>
    <hyperlink ref="G435" r:id="rId432"/>
    <hyperlink ref="G436" r:id="rId433"/>
    <hyperlink ref="G437" r:id="rId434"/>
    <hyperlink ref="G438" r:id="rId435"/>
    <hyperlink ref="G439" r:id="rId436"/>
    <hyperlink ref="G440" r:id="rId437"/>
    <hyperlink ref="G441" r:id="rId438"/>
    <hyperlink ref="G442" r:id="rId439"/>
    <hyperlink ref="G443" r:id="rId440"/>
    <hyperlink ref="G444" r:id="rId441"/>
    <hyperlink ref="G445" r:id="rId442"/>
    <hyperlink ref="G446" r:id="rId443"/>
    <hyperlink ref="G447" r:id="rId444"/>
    <hyperlink ref="G448" r:id="rId445"/>
    <hyperlink ref="G449" r:id="rId446"/>
    <hyperlink ref="G450" r:id="rId447"/>
    <hyperlink ref="G451" r:id="rId448"/>
    <hyperlink ref="G452" r:id="rId449"/>
    <hyperlink ref="G453" r:id="rId450"/>
    <hyperlink ref="G454" r:id="rId451"/>
    <hyperlink ref="G455" r:id="rId452"/>
    <hyperlink ref="G456" r:id="rId453"/>
    <hyperlink ref="G457" r:id="rId454"/>
    <hyperlink ref="G458" r:id="rId455"/>
    <hyperlink ref="G459" r:id="rId456"/>
    <hyperlink ref="G460" r:id="rId457"/>
    <hyperlink ref="G461" r:id="rId458"/>
    <hyperlink ref="G462" r:id="rId459"/>
    <hyperlink ref="G463" r:id="rId460"/>
    <hyperlink ref="G464" r:id="rId461"/>
    <hyperlink ref="G465" r:id="rId462"/>
    <hyperlink ref="G466" r:id="rId463"/>
    <hyperlink ref="G467" r:id="rId464"/>
    <hyperlink ref="G468" r:id="rId465"/>
    <hyperlink ref="G469" r:id="rId466"/>
    <hyperlink ref="G470" r:id="rId467"/>
    <hyperlink ref="G471" r:id="rId468"/>
    <hyperlink ref="G472" r:id="rId469"/>
    <hyperlink ref="G473" r:id="rId470"/>
    <hyperlink ref="G474" r:id="rId471"/>
    <hyperlink ref="G475" r:id="rId472"/>
    <hyperlink ref="G476" r:id="rId473"/>
    <hyperlink ref="G477" r:id="rId474"/>
    <hyperlink ref="G478" r:id="rId475"/>
    <hyperlink ref="G479" r:id="rId476"/>
    <hyperlink ref="G480" r:id="rId477"/>
    <hyperlink ref="G481" r:id="rId478"/>
    <hyperlink ref="G482" r:id="rId479"/>
    <hyperlink ref="G483" r:id="rId480"/>
    <hyperlink ref="G484" r:id="rId481"/>
    <hyperlink ref="G485" r:id="rId482"/>
    <hyperlink ref="G486" r:id="rId483"/>
    <hyperlink ref="G487" r:id="rId484"/>
    <hyperlink ref="G488" r:id="rId485"/>
    <hyperlink ref="G489" r:id="rId486"/>
    <hyperlink ref="G490" r:id="rId487"/>
    <hyperlink ref="G491" r:id="rId488"/>
    <hyperlink ref="G492" r:id="rId489"/>
    <hyperlink ref="G493" r:id="rId490"/>
    <hyperlink ref="G494" r:id="rId491"/>
    <hyperlink ref="G495" r:id="rId492"/>
    <hyperlink ref="G496" r:id="rId493"/>
    <hyperlink ref="G497" r:id="rId494"/>
    <hyperlink ref="G498" r:id="rId495"/>
    <hyperlink ref="G499" r:id="rId496"/>
    <hyperlink ref="G500" r:id="rId497"/>
    <hyperlink ref="G501" r:id="rId498"/>
    <hyperlink ref="G502" r:id="rId499"/>
    <hyperlink ref="G503" r:id="rId500"/>
    <hyperlink ref="G504" r:id="rId501"/>
    <hyperlink ref="G505" r:id="rId502"/>
    <hyperlink ref="G506" r:id="rId503"/>
    <hyperlink ref="G507" r:id="rId504"/>
    <hyperlink ref="G508" r:id="rId505"/>
    <hyperlink ref="G509" r:id="rId506"/>
    <hyperlink ref="G510" r:id="rId507"/>
    <hyperlink ref="G511" r:id="rId508"/>
    <hyperlink ref="G512" r:id="rId509"/>
    <hyperlink ref="G513" r:id="rId510"/>
    <hyperlink ref="G514" r:id="rId511"/>
    <hyperlink ref="G515" r:id="rId512"/>
    <hyperlink ref="G516" r:id="rId513"/>
    <hyperlink ref="G517" r:id="rId514"/>
    <hyperlink ref="G518" r:id="rId515"/>
    <hyperlink ref="G519" r:id="rId516"/>
    <hyperlink ref="G520" r:id="rId517"/>
    <hyperlink ref="G521" r:id="rId518"/>
    <hyperlink ref="G522" r:id="rId519"/>
    <hyperlink ref="G523" r:id="rId520"/>
    <hyperlink ref="G524" r:id="rId521"/>
    <hyperlink ref="G525" r:id="rId522"/>
    <hyperlink ref="G526" r:id="rId523"/>
    <hyperlink ref="G527" r:id="rId524"/>
    <hyperlink ref="G528" r:id="rId525"/>
    <hyperlink ref="G529" r:id="rId526"/>
    <hyperlink ref="G530" r:id="rId527"/>
    <hyperlink ref="G531" r:id="rId528"/>
    <hyperlink ref="G532" r:id="rId529"/>
    <hyperlink ref="G533" r:id="rId530"/>
    <hyperlink ref="G534" r:id="rId531"/>
    <hyperlink ref="G535" r:id="rId532"/>
    <hyperlink ref="G536" r:id="rId533"/>
    <hyperlink ref="G537" r:id="rId534"/>
    <hyperlink ref="G538" r:id="rId535"/>
    <hyperlink ref="G539" r:id="rId536"/>
    <hyperlink ref="G540" r:id="rId537"/>
    <hyperlink ref="G541" r:id="rId538"/>
    <hyperlink ref="G542" r:id="rId539"/>
    <hyperlink ref="G543" r:id="rId540"/>
    <hyperlink ref="G545" r:id="rId541"/>
    <hyperlink ref="G546" r:id="rId542"/>
    <hyperlink ref="G547" r:id="rId543"/>
    <hyperlink ref="G548" r:id="rId544"/>
    <hyperlink ref="G549" r:id="rId545"/>
    <hyperlink ref="G550" r:id="rId546"/>
    <hyperlink ref="G551" r:id="rId547"/>
    <hyperlink ref="G552" r:id="rId548"/>
    <hyperlink ref="G553" r:id="rId549"/>
    <hyperlink ref="G554" r:id="rId550"/>
    <hyperlink ref="G555" r:id="rId551"/>
    <hyperlink ref="G556" r:id="rId552"/>
    <hyperlink ref="G557" r:id="rId553"/>
    <hyperlink ref="G558" r:id="rId554"/>
    <hyperlink ref="G559" r:id="rId555"/>
    <hyperlink ref="G560" r:id="rId556"/>
    <hyperlink ref="G561" r:id="rId557"/>
    <hyperlink ref="G562" r:id="rId558"/>
    <hyperlink ref="G563" r:id="rId559"/>
    <hyperlink ref="G564" r:id="rId560"/>
    <hyperlink ref="G565" r:id="rId561"/>
    <hyperlink ref="G566" r:id="rId562"/>
    <hyperlink ref="G567" r:id="rId563"/>
    <hyperlink ref="G568" r:id="rId564"/>
    <hyperlink ref="G569" r:id="rId565"/>
    <hyperlink ref="G570" r:id="rId566"/>
    <hyperlink ref="G571" r:id="rId567"/>
    <hyperlink ref="G572" r:id="rId568"/>
    <hyperlink ref="G573" r:id="rId569"/>
    <hyperlink ref="G574" r:id="rId570"/>
    <hyperlink ref="G575" r:id="rId571"/>
    <hyperlink ref="G576" r:id="rId572"/>
    <hyperlink ref="G577" r:id="rId573"/>
    <hyperlink ref="G578" r:id="rId574"/>
    <hyperlink ref="G579" r:id="rId575"/>
    <hyperlink ref="G580" r:id="rId576"/>
    <hyperlink ref="G581" r:id="rId577"/>
    <hyperlink ref="G582" r:id="rId578"/>
    <hyperlink ref="G583" r:id="rId579"/>
    <hyperlink ref="G584" r:id="rId580"/>
    <hyperlink ref="G585" r:id="rId581"/>
    <hyperlink ref="G586" r:id="rId582"/>
    <hyperlink ref="G587" r:id="rId583"/>
    <hyperlink ref="G588" r:id="rId584"/>
    <hyperlink ref="G589" r:id="rId585"/>
    <hyperlink ref="G590" r:id="rId586"/>
    <hyperlink ref="G591" r:id="rId587"/>
    <hyperlink ref="G592" r:id="rId588"/>
    <hyperlink ref="G593" r:id="rId589"/>
    <hyperlink ref="G594" r:id="rId590"/>
    <hyperlink ref="G595" r:id="rId591"/>
    <hyperlink ref="G596" r:id="rId592"/>
    <hyperlink ref="G597" r:id="rId593"/>
    <hyperlink ref="G598" r:id="rId594"/>
    <hyperlink ref="G599" r:id="rId595"/>
    <hyperlink ref="G600" r:id="rId596"/>
    <hyperlink ref="G601" r:id="rId597"/>
    <hyperlink ref="G602" r:id="rId598"/>
    <hyperlink ref="G603" r:id="rId599"/>
    <hyperlink ref="G604" r:id="rId600"/>
    <hyperlink ref="G605" r:id="rId601"/>
    <hyperlink ref="G606" r:id="rId602"/>
    <hyperlink ref="G607" r:id="rId603"/>
    <hyperlink ref="G608" r:id="rId604"/>
    <hyperlink ref="G609" r:id="rId605"/>
    <hyperlink ref="G610" r:id="rId606"/>
    <hyperlink ref="G611" r:id="rId607"/>
    <hyperlink ref="G612" r:id="rId608"/>
    <hyperlink ref="G613" r:id="rId609"/>
    <hyperlink ref="G614" r:id="rId610"/>
    <hyperlink ref="G615" r:id="rId611"/>
    <hyperlink ref="G616" r:id="rId612"/>
    <hyperlink ref="G617" r:id="rId613"/>
    <hyperlink ref="G618" r:id="rId614"/>
    <hyperlink ref="G619" r:id="rId615"/>
    <hyperlink ref="G620" r:id="rId616"/>
    <hyperlink ref="G621" r:id="rId617"/>
    <hyperlink ref="G622" r:id="rId618"/>
    <hyperlink ref="G623" r:id="rId619"/>
    <hyperlink ref="G624" r:id="rId620"/>
    <hyperlink ref="G625" r:id="rId621"/>
    <hyperlink ref="G626" r:id="rId622"/>
    <hyperlink ref="G627" r:id="rId623"/>
    <hyperlink ref="G628" r:id="rId624"/>
    <hyperlink ref="G629" r:id="rId625"/>
    <hyperlink ref="G630" r:id="rId626"/>
    <hyperlink ref="G631" r:id="rId627"/>
    <hyperlink ref="G632" r:id="rId628"/>
    <hyperlink ref="G633" r:id="rId629"/>
    <hyperlink ref="G634" r:id="rId630"/>
    <hyperlink ref="G635" r:id="rId631"/>
    <hyperlink ref="G636" r:id="rId632"/>
    <hyperlink ref="G637" r:id="rId633"/>
    <hyperlink ref="G638" r:id="rId634"/>
    <hyperlink ref="G639" r:id="rId635"/>
    <hyperlink ref="G640" r:id="rId636"/>
    <hyperlink ref="G641" r:id="rId637"/>
    <hyperlink ref="G642" r:id="rId638"/>
    <hyperlink ref="G643" r:id="rId639"/>
    <hyperlink ref="G644" r:id="rId640"/>
    <hyperlink ref="G645" r:id="rId641"/>
    <hyperlink ref="G646" r:id="rId642"/>
    <hyperlink ref="G647" r:id="rId643"/>
    <hyperlink ref="G648" r:id="rId644"/>
    <hyperlink ref="G649" r:id="rId645"/>
    <hyperlink ref="G650" r:id="rId646"/>
    <hyperlink ref="G651" r:id="rId647"/>
    <hyperlink ref="G652" r:id="rId648"/>
    <hyperlink ref="G653" r:id="rId649"/>
    <hyperlink ref="G654" r:id="rId650"/>
    <hyperlink ref="G655" r:id="rId651"/>
    <hyperlink ref="G656" r:id="rId652"/>
    <hyperlink ref="G657" r:id="rId653"/>
    <hyperlink ref="G658" r:id="rId654"/>
    <hyperlink ref="G659" r:id="rId655"/>
    <hyperlink ref="G660" r:id="rId656"/>
    <hyperlink ref="G661" r:id="rId657"/>
    <hyperlink ref="G662" r:id="rId658"/>
    <hyperlink ref="G663" r:id="rId659"/>
    <hyperlink ref="G664" r:id="rId660"/>
    <hyperlink ref="G665" r:id="rId661"/>
    <hyperlink ref="G666" r:id="rId662"/>
    <hyperlink ref="G667" r:id="rId663"/>
    <hyperlink ref="G668" r:id="rId664"/>
    <hyperlink ref="G669" r:id="rId665"/>
    <hyperlink ref="G670" r:id="rId666"/>
    <hyperlink ref="G671" r:id="rId667"/>
    <hyperlink ref="G672" r:id="rId668"/>
    <hyperlink ref="G673" r:id="rId669"/>
    <hyperlink ref="G674" r:id="rId670"/>
    <hyperlink ref="G675" r:id="rId671"/>
    <hyperlink ref="G676" r:id="rId672"/>
    <hyperlink ref="G677" r:id="rId673"/>
    <hyperlink ref="G678" r:id="rId674"/>
    <hyperlink ref="G679" r:id="rId675"/>
    <hyperlink ref="G680" r:id="rId676"/>
    <hyperlink ref="G681" r:id="rId677"/>
    <hyperlink ref="G682" r:id="rId678"/>
    <hyperlink ref="G683" r:id="rId679"/>
    <hyperlink ref="G684" r:id="rId680"/>
    <hyperlink ref="G685" r:id="rId681"/>
    <hyperlink ref="G686" r:id="rId682"/>
    <hyperlink ref="G687" r:id="rId683"/>
    <hyperlink ref="G688" r:id="rId684"/>
    <hyperlink ref="G689" r:id="rId685"/>
    <hyperlink ref="G690" r:id="rId686"/>
    <hyperlink ref="G691" r:id="rId687"/>
    <hyperlink ref="G692" r:id="rId688"/>
    <hyperlink ref="G693" r:id="rId689"/>
    <hyperlink ref="G694" r:id="rId690"/>
    <hyperlink ref="G695" r:id="rId691"/>
    <hyperlink ref="G696" r:id="rId692"/>
    <hyperlink ref="G697" r:id="rId693"/>
    <hyperlink ref="G698" r:id="rId694"/>
    <hyperlink ref="G699" r:id="rId695"/>
    <hyperlink ref="G700" r:id="rId696"/>
    <hyperlink ref="G701" r:id="rId697"/>
    <hyperlink ref="G702" r:id="rId698"/>
    <hyperlink ref="G703" r:id="rId699"/>
    <hyperlink ref="G704" r:id="rId700"/>
    <hyperlink ref="G705" r:id="rId701"/>
    <hyperlink ref="G706" r:id="rId702"/>
    <hyperlink ref="G707" r:id="rId703"/>
    <hyperlink ref="G708" r:id="rId704"/>
    <hyperlink ref="G709" r:id="rId705"/>
    <hyperlink ref="G710" r:id="rId706"/>
    <hyperlink ref="G711" r:id="rId707"/>
    <hyperlink ref="G712" r:id="rId708"/>
    <hyperlink ref="G713" r:id="rId709"/>
    <hyperlink ref="G714" r:id="rId710"/>
    <hyperlink ref="G715" r:id="rId711"/>
    <hyperlink ref="G716" r:id="rId712"/>
    <hyperlink ref="G717" r:id="rId713"/>
    <hyperlink ref="G718" r:id="rId714"/>
    <hyperlink ref="G719" r:id="rId715"/>
    <hyperlink ref="G720" r:id="rId716"/>
    <hyperlink ref="G721" r:id="rId717"/>
    <hyperlink ref="G722" r:id="rId718"/>
    <hyperlink ref="G723" r:id="rId719"/>
    <hyperlink ref="G724" r:id="rId720"/>
    <hyperlink ref="G725" r:id="rId721"/>
    <hyperlink ref="G726" r:id="rId722"/>
    <hyperlink ref="G727" r:id="rId723"/>
    <hyperlink ref="G728" r:id="rId724"/>
    <hyperlink ref="G729" r:id="rId725"/>
    <hyperlink ref="G730" r:id="rId726"/>
    <hyperlink ref="G731" r:id="rId727"/>
    <hyperlink ref="G732" r:id="rId728"/>
    <hyperlink ref="G733" r:id="rId729"/>
    <hyperlink ref="G734" r:id="rId730"/>
    <hyperlink ref="G735" r:id="rId731"/>
    <hyperlink ref="G736" r:id="rId732"/>
    <hyperlink ref="G737" r:id="rId733"/>
    <hyperlink ref="G738" r:id="rId734"/>
    <hyperlink ref="G739" r:id="rId735"/>
    <hyperlink ref="G740" r:id="rId736"/>
    <hyperlink ref="G741" r:id="rId737"/>
    <hyperlink ref="G742" r:id="rId738"/>
    <hyperlink ref="G743" r:id="rId739"/>
    <hyperlink ref="G744" r:id="rId740"/>
    <hyperlink ref="G745" r:id="rId741"/>
    <hyperlink ref="G746" r:id="rId742"/>
    <hyperlink ref="G747" r:id="rId743"/>
    <hyperlink ref="G748" r:id="rId744"/>
    <hyperlink ref="G749" r:id="rId745"/>
    <hyperlink ref="G750" r:id="rId746"/>
    <hyperlink ref="G751" r:id="rId747"/>
    <hyperlink ref="G752" r:id="rId748"/>
    <hyperlink ref="G753" r:id="rId749"/>
    <hyperlink ref="G754" r:id="rId750"/>
    <hyperlink ref="G755" r:id="rId751"/>
    <hyperlink ref="G756" r:id="rId752"/>
    <hyperlink ref="G757" r:id="rId753"/>
    <hyperlink ref="G758" r:id="rId754"/>
    <hyperlink ref="G759" r:id="rId755"/>
    <hyperlink ref="G760" r:id="rId756"/>
    <hyperlink ref="G761" r:id="rId757"/>
    <hyperlink ref="G762" r:id="rId758"/>
    <hyperlink ref="G763" r:id="rId759"/>
    <hyperlink ref="G764" r:id="rId760"/>
    <hyperlink ref="G765" r:id="rId761"/>
    <hyperlink ref="G766" r:id="rId762"/>
    <hyperlink ref="G767" r:id="rId763"/>
    <hyperlink ref="G768" r:id="rId764"/>
    <hyperlink ref="G769" r:id="rId765"/>
    <hyperlink ref="G770" r:id="rId766"/>
    <hyperlink ref="G771" r:id="rId767"/>
    <hyperlink ref="G772" r:id="rId768"/>
    <hyperlink ref="G773" r:id="rId769"/>
    <hyperlink ref="G774" r:id="rId770"/>
    <hyperlink ref="G775" r:id="rId771"/>
    <hyperlink ref="G776" r:id="rId772"/>
    <hyperlink ref="G777" r:id="rId773"/>
    <hyperlink ref="G778" r:id="rId774"/>
    <hyperlink ref="G779" r:id="rId775"/>
    <hyperlink ref="G780" r:id="rId776"/>
    <hyperlink ref="G781" r:id="rId777"/>
    <hyperlink ref="G782" r:id="rId778"/>
    <hyperlink ref="G783" r:id="rId779"/>
    <hyperlink ref="G784" r:id="rId780"/>
    <hyperlink ref="G785" r:id="rId781"/>
    <hyperlink ref="G786" r:id="rId782"/>
    <hyperlink ref="G787" r:id="rId783"/>
    <hyperlink ref="G788" r:id="rId784"/>
    <hyperlink ref="G789" r:id="rId785"/>
    <hyperlink ref="G790" r:id="rId786"/>
    <hyperlink ref="G791" r:id="rId787"/>
    <hyperlink ref="G792" r:id="rId788"/>
    <hyperlink ref="G793" r:id="rId789"/>
    <hyperlink ref="G794" r:id="rId790"/>
    <hyperlink ref="G795" r:id="rId791"/>
    <hyperlink ref="G796" r:id="rId792"/>
    <hyperlink ref="G797" r:id="rId793"/>
    <hyperlink ref="G798" r:id="rId794"/>
    <hyperlink ref="G799" r:id="rId795"/>
    <hyperlink ref="G800" r:id="rId796"/>
    <hyperlink ref="G801" r:id="rId797"/>
    <hyperlink ref="G802" r:id="rId798"/>
    <hyperlink ref="G803" r:id="rId799"/>
    <hyperlink ref="G804" r:id="rId800"/>
    <hyperlink ref="G805" r:id="rId801"/>
    <hyperlink ref="G806" r:id="rId802"/>
    <hyperlink ref="G807" r:id="rId803"/>
    <hyperlink ref="G808" r:id="rId804"/>
    <hyperlink ref="G809" r:id="rId805"/>
    <hyperlink ref="G810" r:id="rId806"/>
    <hyperlink ref="G811" r:id="rId807"/>
    <hyperlink ref="G812" r:id="rId808"/>
    <hyperlink ref="G813" r:id="rId809"/>
    <hyperlink ref="G814" r:id="rId810"/>
    <hyperlink ref="G815" r:id="rId811"/>
    <hyperlink ref="G816" r:id="rId812"/>
    <hyperlink ref="G817" r:id="rId813"/>
    <hyperlink ref="G818" r:id="rId814"/>
    <hyperlink ref="G819" r:id="rId815"/>
    <hyperlink ref="G820" r:id="rId816"/>
    <hyperlink ref="G821" r:id="rId817"/>
    <hyperlink ref="G822" r:id="rId818"/>
    <hyperlink ref="G823" r:id="rId819"/>
    <hyperlink ref="G824" r:id="rId820"/>
    <hyperlink ref="G825" r:id="rId821"/>
    <hyperlink ref="G826" r:id="rId822"/>
    <hyperlink ref="G827" r:id="rId823"/>
    <hyperlink ref="G828" r:id="rId824"/>
    <hyperlink ref="G829" r:id="rId825"/>
    <hyperlink ref="G830" r:id="rId826"/>
    <hyperlink ref="G831" r:id="rId827"/>
    <hyperlink ref="G832" r:id="rId828"/>
    <hyperlink ref="G833" r:id="rId829"/>
    <hyperlink ref="G834" r:id="rId830"/>
    <hyperlink ref="G835" r:id="rId831"/>
    <hyperlink ref="G836" r:id="rId832"/>
    <hyperlink ref="G837" r:id="rId833"/>
    <hyperlink ref="G838" r:id="rId834"/>
    <hyperlink ref="G839" r:id="rId835"/>
    <hyperlink ref="G840" r:id="rId836"/>
    <hyperlink ref="G841" r:id="rId837"/>
    <hyperlink ref="G842" r:id="rId838"/>
    <hyperlink ref="G843" r:id="rId839"/>
    <hyperlink ref="G844" r:id="rId840"/>
    <hyperlink ref="G845" r:id="rId841"/>
    <hyperlink ref="G846" r:id="rId842"/>
    <hyperlink ref="G847" r:id="rId843"/>
    <hyperlink ref="G848" r:id="rId844"/>
    <hyperlink ref="G849" r:id="rId845"/>
    <hyperlink ref="G850" r:id="rId846"/>
    <hyperlink ref="G851" r:id="rId847"/>
    <hyperlink ref="G852" r:id="rId848"/>
    <hyperlink ref="G853" r:id="rId849"/>
    <hyperlink ref="G854" r:id="rId850"/>
    <hyperlink ref="G855" r:id="rId851"/>
    <hyperlink ref="G856" r:id="rId852"/>
    <hyperlink ref="G857" r:id="rId853"/>
    <hyperlink ref="G858" r:id="rId854"/>
    <hyperlink ref="G859" r:id="rId855"/>
    <hyperlink ref="G860" r:id="rId856"/>
    <hyperlink ref="G861" r:id="rId857"/>
    <hyperlink ref="G862" r:id="rId858"/>
    <hyperlink ref="G863" r:id="rId859"/>
    <hyperlink ref="G864" r:id="rId860"/>
    <hyperlink ref="G865" r:id="rId861"/>
    <hyperlink ref="G866" r:id="rId862"/>
    <hyperlink ref="G867" r:id="rId863"/>
    <hyperlink ref="G868" r:id="rId864"/>
    <hyperlink ref="G869" r:id="rId865"/>
    <hyperlink ref="G870" r:id="rId866"/>
    <hyperlink ref="G871" r:id="rId867"/>
    <hyperlink ref="G872" r:id="rId868"/>
    <hyperlink ref="G873" r:id="rId869"/>
    <hyperlink ref="G874" r:id="rId870"/>
    <hyperlink ref="G875" r:id="rId871"/>
    <hyperlink ref="G876" r:id="rId872"/>
    <hyperlink ref="G877" r:id="rId873"/>
    <hyperlink ref="G878" r:id="rId874"/>
    <hyperlink ref="G879" r:id="rId875"/>
    <hyperlink ref="G880" r:id="rId876"/>
    <hyperlink ref="G881" r:id="rId877"/>
    <hyperlink ref="G882" r:id="rId878"/>
    <hyperlink ref="G883" r:id="rId879"/>
    <hyperlink ref="G884" r:id="rId880"/>
    <hyperlink ref="G885" r:id="rId881"/>
    <hyperlink ref="G886" r:id="rId882"/>
    <hyperlink ref="G887" r:id="rId883"/>
    <hyperlink ref="G888" r:id="rId884"/>
    <hyperlink ref="G889" r:id="rId885"/>
    <hyperlink ref="G890" r:id="rId886"/>
    <hyperlink ref="G891" r:id="rId887"/>
    <hyperlink ref="G892" r:id="rId888"/>
    <hyperlink ref="G893" r:id="rId889"/>
    <hyperlink ref="G894" r:id="rId890"/>
    <hyperlink ref="G895" r:id="rId891"/>
    <hyperlink ref="G896" r:id="rId892"/>
    <hyperlink ref="G897" r:id="rId893"/>
    <hyperlink ref="G898" r:id="rId894"/>
    <hyperlink ref="G899" r:id="rId895"/>
    <hyperlink ref="G900" r:id="rId896"/>
    <hyperlink ref="G901" r:id="rId897"/>
    <hyperlink ref="G902" r:id="rId898"/>
    <hyperlink ref="G903" r:id="rId899"/>
    <hyperlink ref="G904" r:id="rId900"/>
    <hyperlink ref="G905" r:id="rId901"/>
    <hyperlink ref="G906" r:id="rId902"/>
    <hyperlink ref="G907" r:id="rId903"/>
    <hyperlink ref="G908" r:id="rId904"/>
    <hyperlink ref="G909" r:id="rId905"/>
    <hyperlink ref="G910" r:id="rId906"/>
    <hyperlink ref="G911" r:id="rId907"/>
    <hyperlink ref="G912" r:id="rId908"/>
    <hyperlink ref="G913" r:id="rId909"/>
    <hyperlink ref="G914" r:id="rId910"/>
    <hyperlink ref="G915" r:id="rId911"/>
    <hyperlink ref="G916" r:id="rId912"/>
    <hyperlink ref="G917" r:id="rId913"/>
    <hyperlink ref="G918" r:id="rId914"/>
    <hyperlink ref="G919" r:id="rId915"/>
    <hyperlink ref="G920" r:id="rId916"/>
    <hyperlink ref="G921" r:id="rId917"/>
    <hyperlink ref="G922" r:id="rId918"/>
    <hyperlink ref="G923" r:id="rId919"/>
    <hyperlink ref="G924" r:id="rId920"/>
    <hyperlink ref="G925" r:id="rId921"/>
    <hyperlink ref="G926" r:id="rId922"/>
    <hyperlink ref="G927" r:id="rId923"/>
    <hyperlink ref="G928" r:id="rId924"/>
    <hyperlink ref="G929" r:id="rId925"/>
    <hyperlink ref="G930" r:id="rId926"/>
    <hyperlink ref="G931" r:id="rId927"/>
    <hyperlink ref="G932" r:id="rId928"/>
    <hyperlink ref="G933" r:id="rId929"/>
    <hyperlink ref="G934" r:id="rId930"/>
    <hyperlink ref="G935" r:id="rId931"/>
    <hyperlink ref="G936" r:id="rId932"/>
    <hyperlink ref="G937" r:id="rId933"/>
    <hyperlink ref="G938" r:id="rId934"/>
    <hyperlink ref="G939" r:id="rId935"/>
    <hyperlink ref="G940" r:id="rId936"/>
    <hyperlink ref="G941" r:id="rId937"/>
    <hyperlink ref="G942" r:id="rId938"/>
    <hyperlink ref="G943" r:id="rId939"/>
    <hyperlink ref="G944" r:id="rId940"/>
    <hyperlink ref="G945" r:id="rId941"/>
    <hyperlink ref="G946" r:id="rId942"/>
    <hyperlink ref="G947" r:id="rId943"/>
    <hyperlink ref="G948" r:id="rId944"/>
    <hyperlink ref="G949" r:id="rId945"/>
    <hyperlink ref="G950" r:id="rId946"/>
    <hyperlink ref="G951" r:id="rId947"/>
    <hyperlink ref="G952" r:id="rId948"/>
    <hyperlink ref="G953" r:id="rId949"/>
    <hyperlink ref="G954" r:id="rId950"/>
    <hyperlink ref="G955" r:id="rId951"/>
    <hyperlink ref="G956" r:id="rId952"/>
    <hyperlink ref="G957" r:id="rId953"/>
    <hyperlink ref="G958" r:id="rId954"/>
    <hyperlink ref="G959" r:id="rId955"/>
    <hyperlink ref="G960" r:id="rId956"/>
    <hyperlink ref="G961" r:id="rId957"/>
    <hyperlink ref="G962" r:id="rId958"/>
    <hyperlink ref="G963" r:id="rId959"/>
    <hyperlink ref="G964" r:id="rId960"/>
    <hyperlink ref="G965" r:id="rId961"/>
    <hyperlink ref="G966" r:id="rId962"/>
    <hyperlink ref="G967" r:id="rId963"/>
    <hyperlink ref="G968" r:id="rId964"/>
    <hyperlink ref="G969" r:id="rId965"/>
    <hyperlink ref="G970" r:id="rId966"/>
    <hyperlink ref="G971" r:id="rId967"/>
    <hyperlink ref="G972" r:id="rId968"/>
    <hyperlink ref="G973" r:id="rId969"/>
    <hyperlink ref="G974" r:id="rId970"/>
    <hyperlink ref="G975" r:id="rId971"/>
    <hyperlink ref="G976" r:id="rId972"/>
    <hyperlink ref="G977" r:id="rId973"/>
    <hyperlink ref="G978" r:id="rId974"/>
    <hyperlink ref="G979" r:id="rId975"/>
    <hyperlink ref="G980" r:id="rId976"/>
    <hyperlink ref="G981" r:id="rId977"/>
    <hyperlink ref="G982" r:id="rId978"/>
  </hyperlink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9.5" customWidth="1"/>
    <col min="3" max="3" width="34.125" customWidth="1"/>
    <col min="4" max="4" width="25.125" customWidth="1"/>
    <col min="5" max="5" width="10.75" customWidth="1"/>
    <col min="6" max="6" width="13.875" customWidth="1"/>
    <col min="7" max="7" width="12.5" customWidth="1"/>
    <col min="8" max="8" width="25" customWidth="1"/>
    <col min="9" max="10" width="7.625" customWidth="1"/>
    <col min="11" max="24" width="7.625" hidden="1" customWidth="1"/>
  </cols>
  <sheetData>
    <row r="1" spans="1:24" ht="36" customHeight="1">
      <c r="A1" s="292" t="s">
        <v>0</v>
      </c>
      <c r="B1" s="290"/>
      <c r="C1" s="290"/>
      <c r="D1" s="290"/>
      <c r="E1" s="290"/>
      <c r="F1" s="290"/>
      <c r="G1" s="290"/>
      <c r="H1" s="290"/>
      <c r="I1" s="290"/>
      <c r="J1" s="1" t="str">
        <f t="shared" ref="J1:J1000" si="0">IFERROR(VLOOKUP(E1,$Q$4:$X$353,8,FALSE),"")</f>
        <v/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3"/>
      <c r="B2" s="4"/>
      <c r="C2" s="5"/>
      <c r="D2" s="5"/>
      <c r="E2" s="5"/>
      <c r="F2" s="6"/>
      <c r="G2" s="5"/>
      <c r="H2" s="291" t="str">
        <f>CONCATENATE("2021년 구독종수: ", COUNTIF(I4:I1995,"O"))</f>
        <v>2021년 구독종수: 348</v>
      </c>
      <c r="I2" s="290"/>
      <c r="J2" s="1" t="str">
        <f t="shared" si="0"/>
        <v/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7.7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4" t="s">
        <v>10</v>
      </c>
      <c r="J3" s="1">
        <f t="shared" si="0"/>
        <v>0</v>
      </c>
      <c r="K3" s="16"/>
      <c r="L3" s="16"/>
      <c r="M3" s="126" t="s">
        <v>4330</v>
      </c>
      <c r="N3" s="127" t="s">
        <v>4331</v>
      </c>
      <c r="O3" s="128" t="s">
        <v>4</v>
      </c>
      <c r="P3" s="127" t="s">
        <v>4332</v>
      </c>
      <c r="Q3" s="127" t="s">
        <v>6</v>
      </c>
      <c r="R3" s="127" t="s">
        <v>4333</v>
      </c>
      <c r="S3" s="127" t="s">
        <v>4334</v>
      </c>
      <c r="T3" s="127" t="s">
        <v>4335</v>
      </c>
      <c r="U3" s="127" t="s">
        <v>4336</v>
      </c>
      <c r="V3" s="129"/>
      <c r="W3" s="129"/>
      <c r="X3" s="129"/>
    </row>
    <row r="4" spans="1:24" ht="26.25" hidden="1" customHeight="1">
      <c r="A4" s="17">
        <f t="shared" ref="A4:A982" si="1">IF(B4="","",ROW(B4)-3)</f>
        <v>1</v>
      </c>
      <c r="B4" s="18" t="s">
        <v>13</v>
      </c>
      <c r="C4" s="19" t="s">
        <v>14</v>
      </c>
      <c r="D4" s="19" t="s">
        <v>15</v>
      </c>
      <c r="E4" s="20" t="s">
        <v>16</v>
      </c>
      <c r="F4" s="21" t="s">
        <v>17</v>
      </c>
      <c r="G4" s="22" t="s">
        <v>18</v>
      </c>
      <c r="H4" s="23" t="s">
        <v>19</v>
      </c>
      <c r="I4" s="24" t="s">
        <v>20</v>
      </c>
      <c r="J4" s="1" t="str">
        <f t="shared" si="0"/>
        <v>FRIC</v>
      </c>
      <c r="K4" s="1"/>
      <c r="L4" s="1"/>
      <c r="M4" s="130">
        <v>1</v>
      </c>
      <c r="N4" s="130" t="s">
        <v>4337</v>
      </c>
      <c r="O4" s="131" t="s">
        <v>28</v>
      </c>
      <c r="P4" s="130" t="s">
        <v>4338</v>
      </c>
      <c r="Q4" s="130" t="s">
        <v>30</v>
      </c>
      <c r="R4" s="130">
        <v>12</v>
      </c>
      <c r="S4" s="130"/>
      <c r="T4" s="130" t="s">
        <v>4339</v>
      </c>
      <c r="U4" s="130" t="s">
        <v>20</v>
      </c>
      <c r="V4" s="129"/>
      <c r="W4" s="129"/>
      <c r="X4" s="129" t="s">
        <v>21</v>
      </c>
    </row>
    <row r="5" spans="1:24" ht="26.25" hidden="1" customHeight="1">
      <c r="A5" s="17">
        <f t="shared" si="1"/>
        <v>2</v>
      </c>
      <c r="B5" s="18" t="s">
        <v>27</v>
      </c>
      <c r="C5" s="19" t="s">
        <v>28</v>
      </c>
      <c r="D5" s="19" t="s">
        <v>29</v>
      </c>
      <c r="E5" s="20" t="s">
        <v>30</v>
      </c>
      <c r="F5" s="21" t="s">
        <v>17</v>
      </c>
      <c r="G5" s="22" t="s">
        <v>31</v>
      </c>
      <c r="H5" s="23" t="s">
        <v>32</v>
      </c>
      <c r="I5" s="24" t="s">
        <v>20</v>
      </c>
      <c r="J5" s="1" t="str">
        <f t="shared" si="0"/>
        <v>FRIC</v>
      </c>
      <c r="K5" s="1"/>
      <c r="L5" s="1"/>
      <c r="M5" s="130">
        <v>2</v>
      </c>
      <c r="N5" s="130" t="s">
        <v>4337</v>
      </c>
      <c r="O5" s="131" t="s">
        <v>38</v>
      </c>
      <c r="P5" s="130" t="s">
        <v>4340</v>
      </c>
      <c r="Q5" s="130" t="s">
        <v>40</v>
      </c>
      <c r="R5" s="130">
        <v>6</v>
      </c>
      <c r="S5" s="130"/>
      <c r="T5" s="130" t="s">
        <v>4341</v>
      </c>
      <c r="U5" s="130" t="s">
        <v>53</v>
      </c>
      <c r="V5" s="129" t="s">
        <v>4342</v>
      </c>
      <c r="W5" s="129"/>
      <c r="X5" s="129" t="s">
        <v>21</v>
      </c>
    </row>
    <row r="6" spans="1:24" ht="26.25" hidden="1" customHeight="1">
      <c r="A6" s="17">
        <f t="shared" si="1"/>
        <v>3</v>
      </c>
      <c r="B6" s="18" t="s">
        <v>37</v>
      </c>
      <c r="C6" s="19" t="s">
        <v>38</v>
      </c>
      <c r="D6" s="19" t="s">
        <v>39</v>
      </c>
      <c r="E6" s="20" t="s">
        <v>40</v>
      </c>
      <c r="F6" s="21" t="s">
        <v>41</v>
      </c>
      <c r="G6" s="22" t="s">
        <v>42</v>
      </c>
      <c r="H6" s="23" t="s">
        <v>43</v>
      </c>
      <c r="I6" s="24" t="s">
        <v>20</v>
      </c>
      <c r="J6" s="1" t="str">
        <f t="shared" si="0"/>
        <v>FRIC</v>
      </c>
      <c r="K6" s="1"/>
      <c r="L6" s="1"/>
      <c r="M6" s="130">
        <v>3</v>
      </c>
      <c r="N6" s="130" t="s">
        <v>4337</v>
      </c>
      <c r="O6" s="131" t="s">
        <v>74</v>
      </c>
      <c r="P6" s="130" t="s">
        <v>60</v>
      </c>
      <c r="Q6" s="130" t="s">
        <v>75</v>
      </c>
      <c r="R6" s="132">
        <v>6</v>
      </c>
      <c r="S6" s="130"/>
      <c r="T6" s="130" t="s">
        <v>4343</v>
      </c>
      <c r="U6" s="130" t="s">
        <v>20</v>
      </c>
      <c r="V6" s="129"/>
      <c r="W6" s="129"/>
      <c r="X6" s="129" t="s">
        <v>21</v>
      </c>
    </row>
    <row r="7" spans="1:24" ht="26.25" hidden="1" customHeight="1">
      <c r="A7" s="17">
        <f t="shared" si="1"/>
        <v>4</v>
      </c>
      <c r="B7" s="18" t="s">
        <v>48</v>
      </c>
      <c r="C7" s="31" t="s">
        <v>49</v>
      </c>
      <c r="D7" s="19" t="s">
        <v>50</v>
      </c>
      <c r="E7" s="20" t="s">
        <v>51</v>
      </c>
      <c r="F7" s="32" t="s">
        <v>52</v>
      </c>
      <c r="G7" s="33" t="s">
        <v>53</v>
      </c>
      <c r="H7" s="23" t="s">
        <v>54</v>
      </c>
      <c r="I7" s="34" t="s">
        <v>55</v>
      </c>
      <c r="J7" s="1" t="str">
        <f t="shared" si="0"/>
        <v/>
      </c>
      <c r="K7" s="25"/>
      <c r="L7" s="25"/>
      <c r="M7" s="133">
        <v>4</v>
      </c>
      <c r="N7" s="133" t="s">
        <v>4337</v>
      </c>
      <c r="O7" s="134" t="s">
        <v>133</v>
      </c>
      <c r="P7" s="133" t="s">
        <v>255</v>
      </c>
      <c r="Q7" s="133" t="s">
        <v>134</v>
      </c>
      <c r="R7" s="133">
        <v>6</v>
      </c>
      <c r="S7" s="135"/>
      <c r="T7" s="133" t="s">
        <v>4344</v>
      </c>
      <c r="U7" s="135"/>
      <c r="V7" s="135"/>
      <c r="W7" s="135"/>
      <c r="X7" s="135" t="s">
        <v>21</v>
      </c>
    </row>
    <row r="8" spans="1:24" ht="26.25" hidden="1" customHeight="1">
      <c r="A8" s="17">
        <f t="shared" si="1"/>
        <v>5</v>
      </c>
      <c r="B8" s="18" t="s">
        <v>37</v>
      </c>
      <c r="C8" s="31" t="s">
        <v>59</v>
      </c>
      <c r="D8" s="19" t="s">
        <v>60</v>
      </c>
      <c r="E8" s="20" t="s">
        <v>61</v>
      </c>
      <c r="F8" s="32" t="s">
        <v>62</v>
      </c>
      <c r="G8" s="22" t="s">
        <v>63</v>
      </c>
      <c r="H8" s="23" t="s">
        <v>64</v>
      </c>
      <c r="I8" s="24" t="s">
        <v>55</v>
      </c>
      <c r="J8" s="1" t="str">
        <f t="shared" si="0"/>
        <v/>
      </c>
      <c r="K8" s="1"/>
      <c r="L8" s="1"/>
      <c r="M8" s="130">
        <v>5</v>
      </c>
      <c r="N8" s="130" t="s">
        <v>4337</v>
      </c>
      <c r="O8" s="131" t="s">
        <v>153</v>
      </c>
      <c r="P8" s="130" t="s">
        <v>4345</v>
      </c>
      <c r="Q8" s="130" t="s">
        <v>155</v>
      </c>
      <c r="R8" s="130">
        <v>4</v>
      </c>
      <c r="S8" s="129"/>
      <c r="T8" s="130" t="s">
        <v>4346</v>
      </c>
      <c r="U8" s="130" t="s">
        <v>20</v>
      </c>
      <c r="V8" s="129"/>
      <c r="W8" s="129"/>
      <c r="X8" s="129" t="s">
        <v>21</v>
      </c>
    </row>
    <row r="9" spans="1:24" ht="26.25" hidden="1" customHeight="1">
      <c r="A9" s="17">
        <f t="shared" si="1"/>
        <v>6</v>
      </c>
      <c r="B9" s="18" t="s">
        <v>37</v>
      </c>
      <c r="C9" s="31" t="s">
        <v>67</v>
      </c>
      <c r="D9" s="19" t="s">
        <v>60</v>
      </c>
      <c r="E9" s="20" t="s">
        <v>68</v>
      </c>
      <c r="F9" s="32" t="s">
        <v>69</v>
      </c>
      <c r="G9" s="22" t="s">
        <v>42</v>
      </c>
      <c r="H9" s="23" t="s">
        <v>70</v>
      </c>
      <c r="I9" s="24" t="s">
        <v>55</v>
      </c>
      <c r="J9" s="1" t="str">
        <f t="shared" si="0"/>
        <v/>
      </c>
      <c r="K9" s="1"/>
      <c r="L9" s="1"/>
      <c r="M9" s="130">
        <v>6</v>
      </c>
      <c r="N9" s="130" t="s">
        <v>4337</v>
      </c>
      <c r="O9" s="131" t="s">
        <v>123</v>
      </c>
      <c r="P9" s="130" t="s">
        <v>361</v>
      </c>
      <c r="Q9" s="130" t="s">
        <v>125</v>
      </c>
      <c r="R9" s="130">
        <v>8</v>
      </c>
      <c r="S9" s="130" t="s">
        <v>4347</v>
      </c>
      <c r="T9" s="130" t="s">
        <v>4348</v>
      </c>
      <c r="U9" s="129"/>
      <c r="V9" s="129"/>
      <c r="W9" s="129"/>
      <c r="X9" s="129" t="s">
        <v>21</v>
      </c>
    </row>
    <row r="10" spans="1:24" ht="26.25" hidden="1" customHeight="1">
      <c r="A10" s="17">
        <f t="shared" si="1"/>
        <v>7</v>
      </c>
      <c r="B10" s="18" t="s">
        <v>13</v>
      </c>
      <c r="C10" s="19" t="s">
        <v>74</v>
      </c>
      <c r="D10" s="19" t="s">
        <v>60</v>
      </c>
      <c r="E10" s="20" t="s">
        <v>75</v>
      </c>
      <c r="F10" s="21" t="s">
        <v>76</v>
      </c>
      <c r="G10" s="22" t="s">
        <v>42</v>
      </c>
      <c r="H10" s="23" t="s">
        <v>77</v>
      </c>
      <c r="I10" s="24" t="s">
        <v>20</v>
      </c>
      <c r="J10" s="1" t="str">
        <f t="shared" si="0"/>
        <v>FRIC</v>
      </c>
      <c r="K10" s="1"/>
      <c r="L10" s="1"/>
      <c r="M10" s="130">
        <v>7</v>
      </c>
      <c r="N10" s="130" t="s">
        <v>4337</v>
      </c>
      <c r="O10" s="131" t="s">
        <v>4349</v>
      </c>
      <c r="P10" s="130" t="s">
        <v>4350</v>
      </c>
      <c r="Q10" s="130" t="s">
        <v>300</v>
      </c>
      <c r="R10" s="130">
        <v>9</v>
      </c>
      <c r="S10" s="130" t="s">
        <v>4347</v>
      </c>
      <c r="T10" s="130" t="s">
        <v>4351</v>
      </c>
      <c r="U10" s="130" t="s">
        <v>20</v>
      </c>
      <c r="V10" s="129"/>
      <c r="W10" s="129"/>
      <c r="X10" s="129" t="s">
        <v>21</v>
      </c>
    </row>
    <row r="11" spans="1:24" ht="26.25" customHeight="1">
      <c r="A11" s="17">
        <f t="shared" si="1"/>
        <v>8</v>
      </c>
      <c r="B11" s="18" t="s">
        <v>81</v>
      </c>
      <c r="C11" s="31" t="s">
        <v>82</v>
      </c>
      <c r="D11" s="19" t="s">
        <v>83</v>
      </c>
      <c r="E11" s="20" t="s">
        <v>84</v>
      </c>
      <c r="F11" s="21" t="s">
        <v>85</v>
      </c>
      <c r="G11" s="33" t="s">
        <v>42</v>
      </c>
      <c r="H11" s="23" t="s">
        <v>86</v>
      </c>
      <c r="I11" s="24" t="s">
        <v>20</v>
      </c>
      <c r="J11" s="1" t="str">
        <f t="shared" si="0"/>
        <v>과기</v>
      </c>
      <c r="K11" s="1"/>
      <c r="L11" s="1"/>
      <c r="M11" s="130">
        <v>8</v>
      </c>
      <c r="N11" s="130" t="s">
        <v>4337</v>
      </c>
      <c r="O11" s="131" t="s">
        <v>347</v>
      </c>
      <c r="P11" s="130" t="s">
        <v>4352</v>
      </c>
      <c r="Q11" s="130" t="s">
        <v>349</v>
      </c>
      <c r="R11" s="130">
        <v>6</v>
      </c>
      <c r="S11" s="130" t="s">
        <v>4347</v>
      </c>
      <c r="T11" s="130" t="s">
        <v>4353</v>
      </c>
      <c r="U11" s="130" t="s">
        <v>20</v>
      </c>
      <c r="V11" s="129"/>
      <c r="W11" s="129"/>
      <c r="X11" s="129" t="s">
        <v>21</v>
      </c>
    </row>
    <row r="12" spans="1:24" ht="26.25" hidden="1" customHeight="1">
      <c r="A12" s="17">
        <f t="shared" si="1"/>
        <v>9</v>
      </c>
      <c r="B12" s="18" t="s">
        <v>81</v>
      </c>
      <c r="C12" s="31" t="s">
        <v>91</v>
      </c>
      <c r="D12" s="19" t="s">
        <v>83</v>
      </c>
      <c r="E12" s="20" t="s">
        <v>92</v>
      </c>
      <c r="F12" s="32" t="s">
        <v>93</v>
      </c>
      <c r="G12" s="33" t="s">
        <v>42</v>
      </c>
      <c r="H12" s="23" t="s">
        <v>94</v>
      </c>
      <c r="I12" s="24" t="s">
        <v>55</v>
      </c>
      <c r="J12" s="1" t="str">
        <f t="shared" si="0"/>
        <v/>
      </c>
      <c r="K12" s="1"/>
      <c r="L12" s="1"/>
      <c r="M12" s="130">
        <v>9</v>
      </c>
      <c r="N12" s="130" t="s">
        <v>4337</v>
      </c>
      <c r="O12" s="131" t="s">
        <v>439</v>
      </c>
      <c r="P12" s="130" t="s">
        <v>4345</v>
      </c>
      <c r="Q12" s="130" t="s">
        <v>441</v>
      </c>
      <c r="R12" s="130">
        <v>20</v>
      </c>
      <c r="S12" s="129"/>
      <c r="T12" s="130" t="s">
        <v>4354</v>
      </c>
      <c r="U12" s="130" t="s">
        <v>20</v>
      </c>
      <c r="V12" s="129"/>
      <c r="W12" s="129"/>
      <c r="X12" s="129" t="s">
        <v>21</v>
      </c>
    </row>
    <row r="13" spans="1:24" ht="26.25" hidden="1" customHeight="1">
      <c r="A13" s="17">
        <f t="shared" si="1"/>
        <v>10</v>
      </c>
      <c r="B13" s="18" t="s">
        <v>81</v>
      </c>
      <c r="C13" s="31" t="s">
        <v>98</v>
      </c>
      <c r="D13" s="19" t="s">
        <v>83</v>
      </c>
      <c r="E13" s="20" t="s">
        <v>99</v>
      </c>
      <c r="F13" s="32" t="s">
        <v>100</v>
      </c>
      <c r="G13" s="33" t="s">
        <v>31</v>
      </c>
      <c r="H13" s="23" t="s">
        <v>101</v>
      </c>
      <c r="I13" s="24" t="s">
        <v>55</v>
      </c>
      <c r="J13" s="1" t="str">
        <f t="shared" si="0"/>
        <v/>
      </c>
      <c r="K13" s="1"/>
      <c r="L13" s="1"/>
      <c r="M13" s="130">
        <v>10</v>
      </c>
      <c r="N13" s="130" t="s">
        <v>4337</v>
      </c>
      <c r="O13" s="131" t="s">
        <v>4355</v>
      </c>
      <c r="P13" s="130" t="s">
        <v>4356</v>
      </c>
      <c r="Q13" s="130" t="s">
        <v>481</v>
      </c>
      <c r="R13" s="130">
        <v>12</v>
      </c>
      <c r="S13" s="129"/>
      <c r="T13" s="130" t="s">
        <v>4357</v>
      </c>
      <c r="U13" s="130" t="s">
        <v>20</v>
      </c>
      <c r="V13" s="129"/>
      <c r="W13" s="129"/>
      <c r="X13" s="129" t="s">
        <v>21</v>
      </c>
    </row>
    <row r="14" spans="1:24" ht="26.25" hidden="1" customHeight="1">
      <c r="A14" s="17">
        <f t="shared" si="1"/>
        <v>11</v>
      </c>
      <c r="B14" s="18" t="s">
        <v>105</v>
      </c>
      <c r="C14" s="31" t="s">
        <v>106</v>
      </c>
      <c r="D14" s="19" t="s">
        <v>107</v>
      </c>
      <c r="E14" s="20" t="s">
        <v>108</v>
      </c>
      <c r="F14" s="32" t="s">
        <v>109</v>
      </c>
      <c r="G14" s="33" t="s">
        <v>31</v>
      </c>
      <c r="H14" s="23" t="s">
        <v>110</v>
      </c>
      <c r="I14" s="24" t="s">
        <v>55</v>
      </c>
      <c r="J14" s="1" t="str">
        <f t="shared" si="0"/>
        <v/>
      </c>
      <c r="K14" s="1"/>
      <c r="L14" s="1"/>
      <c r="M14" s="130">
        <v>11</v>
      </c>
      <c r="N14" s="130" t="s">
        <v>4337</v>
      </c>
      <c r="O14" s="131" t="s">
        <v>487</v>
      </c>
      <c r="P14" s="130" t="s">
        <v>4358</v>
      </c>
      <c r="Q14" s="130" t="s">
        <v>489</v>
      </c>
      <c r="R14" s="130">
        <v>12</v>
      </c>
      <c r="S14" s="129"/>
      <c r="T14" s="130" t="s">
        <v>4359</v>
      </c>
      <c r="U14" s="130" t="s">
        <v>20</v>
      </c>
      <c r="V14" s="129"/>
      <c r="W14" s="129"/>
      <c r="X14" s="129" t="s">
        <v>21</v>
      </c>
    </row>
    <row r="15" spans="1:24" ht="26.25" customHeight="1">
      <c r="A15" s="17">
        <f t="shared" si="1"/>
        <v>12</v>
      </c>
      <c r="B15" s="18" t="s">
        <v>105</v>
      </c>
      <c r="C15" s="31" t="s">
        <v>115</v>
      </c>
      <c r="D15" s="19" t="s">
        <v>116</v>
      </c>
      <c r="E15" s="20" t="s">
        <v>117</v>
      </c>
      <c r="F15" s="21" t="s">
        <v>118</v>
      </c>
      <c r="G15" s="33" t="s">
        <v>42</v>
      </c>
      <c r="H15" s="23" t="s">
        <v>119</v>
      </c>
      <c r="I15" s="34" t="s">
        <v>20</v>
      </c>
      <c r="J15" s="1" t="str">
        <f t="shared" si="0"/>
        <v>과기</v>
      </c>
      <c r="K15" s="25"/>
      <c r="L15" s="25"/>
      <c r="M15" s="133">
        <v>12</v>
      </c>
      <c r="N15" s="133" t="s">
        <v>4337</v>
      </c>
      <c r="O15" s="134" t="s">
        <v>502</v>
      </c>
      <c r="P15" s="133" t="s">
        <v>4360</v>
      </c>
      <c r="Q15" s="133" t="s">
        <v>504</v>
      </c>
      <c r="R15" s="133">
        <v>12</v>
      </c>
      <c r="S15" s="135"/>
      <c r="T15" s="133" t="s">
        <v>4361</v>
      </c>
      <c r="U15" s="133" t="s">
        <v>20</v>
      </c>
      <c r="V15" s="135"/>
      <c r="W15" s="135"/>
      <c r="X15" s="135" t="s">
        <v>21</v>
      </c>
    </row>
    <row r="16" spans="1:24" ht="26.25" hidden="1" customHeight="1">
      <c r="A16" s="17">
        <f t="shared" si="1"/>
        <v>13</v>
      </c>
      <c r="B16" s="18" t="s">
        <v>37</v>
      </c>
      <c r="C16" s="19" t="s">
        <v>123</v>
      </c>
      <c r="D16" s="19" t="s">
        <v>124</v>
      </c>
      <c r="E16" s="20" t="s">
        <v>125</v>
      </c>
      <c r="F16" s="21" t="s">
        <v>126</v>
      </c>
      <c r="G16" s="22" t="s">
        <v>42</v>
      </c>
      <c r="H16" s="23" t="s">
        <v>127</v>
      </c>
      <c r="I16" s="24" t="s">
        <v>20</v>
      </c>
      <c r="J16" s="1" t="str">
        <f t="shared" si="0"/>
        <v>FRIC</v>
      </c>
      <c r="K16" s="1"/>
      <c r="L16" s="1"/>
      <c r="M16" s="130">
        <v>13</v>
      </c>
      <c r="N16" s="130" t="s">
        <v>4337</v>
      </c>
      <c r="O16" s="131" t="s">
        <v>4362</v>
      </c>
      <c r="P16" s="130" t="s">
        <v>1021</v>
      </c>
      <c r="Q16" s="130" t="s">
        <v>3324</v>
      </c>
      <c r="R16" s="130">
        <v>12</v>
      </c>
      <c r="S16" s="129"/>
      <c r="T16" s="130" t="s">
        <v>4363</v>
      </c>
      <c r="U16" s="130" t="s">
        <v>20</v>
      </c>
      <c r="V16" s="129"/>
      <c r="W16" s="129"/>
      <c r="X16" s="129" t="s">
        <v>21</v>
      </c>
    </row>
    <row r="17" spans="1:24" ht="26.25" hidden="1" customHeight="1">
      <c r="A17" s="17">
        <f t="shared" si="1"/>
        <v>14</v>
      </c>
      <c r="B17" s="18" t="s">
        <v>132</v>
      </c>
      <c r="C17" s="19" t="s">
        <v>133</v>
      </c>
      <c r="D17" s="19" t="s">
        <v>124</v>
      </c>
      <c r="E17" s="20" t="s">
        <v>134</v>
      </c>
      <c r="F17" s="21" t="s">
        <v>135</v>
      </c>
      <c r="G17" s="22" t="s">
        <v>42</v>
      </c>
      <c r="H17" s="23" t="s">
        <v>136</v>
      </c>
      <c r="I17" s="24" t="s">
        <v>20</v>
      </c>
      <c r="J17" s="1" t="str">
        <f t="shared" si="0"/>
        <v>FRIC</v>
      </c>
      <c r="K17" s="1"/>
      <c r="L17" s="1"/>
      <c r="M17" s="130">
        <v>14</v>
      </c>
      <c r="N17" s="130" t="s">
        <v>4337</v>
      </c>
      <c r="O17" s="131" t="s">
        <v>4364</v>
      </c>
      <c r="P17" s="130" t="s">
        <v>255</v>
      </c>
      <c r="Q17" s="130" t="s">
        <v>511</v>
      </c>
      <c r="R17" s="130">
        <v>6</v>
      </c>
      <c r="S17" s="130" t="s">
        <v>4347</v>
      </c>
      <c r="T17" s="130" t="s">
        <v>4365</v>
      </c>
      <c r="U17" s="129"/>
      <c r="V17" s="129"/>
      <c r="W17" s="129"/>
      <c r="X17" s="129" t="s">
        <v>21</v>
      </c>
    </row>
    <row r="18" spans="1:24" ht="26.25" hidden="1" customHeight="1">
      <c r="A18" s="17">
        <f t="shared" si="1"/>
        <v>15</v>
      </c>
      <c r="B18" s="18" t="s">
        <v>27</v>
      </c>
      <c r="C18" s="31" t="s">
        <v>22</v>
      </c>
      <c r="D18" s="19" t="s">
        <v>141</v>
      </c>
      <c r="E18" s="20" t="s">
        <v>24</v>
      </c>
      <c r="F18" s="32" t="s">
        <v>142</v>
      </c>
      <c r="G18" s="22" t="s">
        <v>42</v>
      </c>
      <c r="H18" s="23" t="s">
        <v>143</v>
      </c>
      <c r="I18" s="24" t="s">
        <v>55</v>
      </c>
      <c r="J18" s="1" t="str">
        <f t="shared" si="0"/>
        <v/>
      </c>
      <c r="K18" s="1"/>
      <c r="L18" s="1"/>
      <c r="M18" s="130">
        <v>15</v>
      </c>
      <c r="N18" s="130" t="s">
        <v>4337</v>
      </c>
      <c r="O18" s="131" t="s">
        <v>752</v>
      </c>
      <c r="P18" s="130" t="s">
        <v>753</v>
      </c>
      <c r="Q18" s="130" t="s">
        <v>754</v>
      </c>
      <c r="R18" s="132">
        <v>4</v>
      </c>
      <c r="S18" s="130" t="s">
        <v>4347</v>
      </c>
      <c r="T18" s="130" t="s">
        <v>4366</v>
      </c>
      <c r="U18" s="129"/>
      <c r="V18" s="129"/>
      <c r="W18" s="129"/>
      <c r="X18" s="129" t="s">
        <v>21</v>
      </c>
    </row>
    <row r="19" spans="1:24" ht="26.25" hidden="1" customHeight="1">
      <c r="A19" s="17">
        <f t="shared" si="1"/>
        <v>16</v>
      </c>
      <c r="B19" s="18" t="s">
        <v>146</v>
      </c>
      <c r="C19" s="31" t="s">
        <v>33</v>
      </c>
      <c r="D19" s="19" t="s">
        <v>147</v>
      </c>
      <c r="E19" s="20" t="s">
        <v>35</v>
      </c>
      <c r="F19" s="32" t="s">
        <v>148</v>
      </c>
      <c r="G19" s="33" t="s">
        <v>42</v>
      </c>
      <c r="H19" s="23" t="s">
        <v>149</v>
      </c>
      <c r="I19" s="24" t="s">
        <v>55</v>
      </c>
      <c r="J19" s="1" t="str">
        <f t="shared" si="0"/>
        <v/>
      </c>
      <c r="K19" s="1"/>
      <c r="L19" s="1"/>
      <c r="M19" s="130">
        <v>16</v>
      </c>
      <c r="N19" s="130" t="s">
        <v>4337</v>
      </c>
      <c r="O19" s="131" t="s">
        <v>810</v>
      </c>
      <c r="P19" s="130" t="s">
        <v>797</v>
      </c>
      <c r="Q19" s="130" t="s">
        <v>811</v>
      </c>
      <c r="R19" s="130">
        <v>12</v>
      </c>
      <c r="S19" s="129"/>
      <c r="T19" s="130" t="s">
        <v>4367</v>
      </c>
      <c r="U19" s="129"/>
      <c r="V19" s="129"/>
      <c r="W19" s="129"/>
      <c r="X19" s="129" t="s">
        <v>21</v>
      </c>
    </row>
    <row r="20" spans="1:24" ht="26.25" hidden="1" customHeight="1">
      <c r="A20" s="17">
        <f t="shared" si="1"/>
        <v>17</v>
      </c>
      <c r="B20" s="18" t="s">
        <v>37</v>
      </c>
      <c r="C20" s="19" t="s">
        <v>153</v>
      </c>
      <c r="D20" s="39" t="s">
        <v>154</v>
      </c>
      <c r="E20" s="20" t="s">
        <v>155</v>
      </c>
      <c r="F20" s="40" t="s">
        <v>4368</v>
      </c>
      <c r="G20" s="22" t="s">
        <v>53</v>
      </c>
      <c r="H20" s="41" t="s">
        <v>157</v>
      </c>
      <c r="I20" s="24" t="s">
        <v>20</v>
      </c>
      <c r="J20" s="1" t="str">
        <f t="shared" si="0"/>
        <v>FRIC</v>
      </c>
      <c r="K20" s="1"/>
      <c r="L20" s="1"/>
      <c r="M20" s="130">
        <v>17</v>
      </c>
      <c r="N20" s="130" t="s">
        <v>4337</v>
      </c>
      <c r="O20" s="131" t="s">
        <v>827</v>
      </c>
      <c r="P20" s="130" t="s">
        <v>361</v>
      </c>
      <c r="Q20" s="130" t="s">
        <v>828</v>
      </c>
      <c r="R20" s="130">
        <v>4</v>
      </c>
      <c r="S20" s="129"/>
      <c r="T20" s="130" t="s">
        <v>4369</v>
      </c>
      <c r="U20" s="129"/>
      <c r="V20" s="129"/>
      <c r="W20" s="129"/>
      <c r="X20" s="129" t="s">
        <v>21</v>
      </c>
    </row>
    <row r="21" spans="1:24" ht="26.25" hidden="1" customHeight="1">
      <c r="A21" s="17">
        <f t="shared" si="1"/>
        <v>18</v>
      </c>
      <c r="B21" s="18" t="s">
        <v>81</v>
      </c>
      <c r="C21" s="31" t="s">
        <v>160</v>
      </c>
      <c r="D21" s="19" t="s">
        <v>161</v>
      </c>
      <c r="E21" s="20" t="s">
        <v>162</v>
      </c>
      <c r="F21" s="32" t="s">
        <v>163</v>
      </c>
      <c r="G21" s="33" t="s">
        <v>42</v>
      </c>
      <c r="H21" s="23" t="s">
        <v>164</v>
      </c>
      <c r="I21" s="24" t="s">
        <v>55</v>
      </c>
      <c r="J21" s="1" t="str">
        <f t="shared" si="0"/>
        <v/>
      </c>
      <c r="K21" s="1"/>
      <c r="L21" s="1"/>
      <c r="M21" s="130">
        <v>18</v>
      </c>
      <c r="N21" s="130" t="s">
        <v>4337</v>
      </c>
      <c r="O21" s="131" t="s">
        <v>4370</v>
      </c>
      <c r="P21" s="130" t="s">
        <v>665</v>
      </c>
      <c r="Q21" s="130" t="s">
        <v>881</v>
      </c>
      <c r="R21" s="130">
        <v>51</v>
      </c>
      <c r="S21" s="129"/>
      <c r="T21" s="130" t="s">
        <v>4371</v>
      </c>
      <c r="U21" s="130" t="s">
        <v>20</v>
      </c>
      <c r="V21" s="129"/>
      <c r="W21" s="129"/>
      <c r="X21" s="129" t="s">
        <v>21</v>
      </c>
    </row>
    <row r="22" spans="1:24" ht="26.25" hidden="1" customHeight="1">
      <c r="A22" s="17">
        <f t="shared" si="1"/>
        <v>19</v>
      </c>
      <c r="B22" s="18" t="s">
        <v>105</v>
      </c>
      <c r="C22" s="31" t="s">
        <v>167</v>
      </c>
      <c r="D22" s="19" t="s">
        <v>168</v>
      </c>
      <c r="E22" s="20" t="s">
        <v>169</v>
      </c>
      <c r="F22" s="32" t="s">
        <v>170</v>
      </c>
      <c r="G22" s="33" t="s">
        <v>53</v>
      </c>
      <c r="H22" s="23" t="s">
        <v>171</v>
      </c>
      <c r="I22" s="24" t="s">
        <v>55</v>
      </c>
      <c r="J22" s="1" t="str">
        <f t="shared" si="0"/>
        <v/>
      </c>
      <c r="K22" s="1"/>
      <c r="L22" s="1"/>
      <c r="M22" s="130">
        <v>19</v>
      </c>
      <c r="N22" s="130" t="s">
        <v>4337</v>
      </c>
      <c r="O22" s="131" t="s">
        <v>890</v>
      </c>
      <c r="P22" s="130" t="s">
        <v>4372</v>
      </c>
      <c r="Q22" s="130" t="s">
        <v>892</v>
      </c>
      <c r="R22" s="130">
        <v>12</v>
      </c>
      <c r="S22" s="129"/>
      <c r="T22" s="130" t="s">
        <v>4373</v>
      </c>
      <c r="U22" s="130" t="s">
        <v>20</v>
      </c>
      <c r="V22" s="129"/>
      <c r="W22" s="129"/>
      <c r="X22" s="129" t="s">
        <v>21</v>
      </c>
    </row>
    <row r="23" spans="1:24" ht="26.25" hidden="1" customHeight="1">
      <c r="A23" s="17">
        <f t="shared" si="1"/>
        <v>20</v>
      </c>
      <c r="B23" s="18" t="s">
        <v>175</v>
      </c>
      <c r="C23" s="31" t="s">
        <v>176</v>
      </c>
      <c r="D23" s="19" t="s">
        <v>168</v>
      </c>
      <c r="E23" s="20" t="s">
        <v>177</v>
      </c>
      <c r="F23" s="32" t="s">
        <v>178</v>
      </c>
      <c r="G23" s="33" t="s">
        <v>53</v>
      </c>
      <c r="H23" s="23" t="s">
        <v>179</v>
      </c>
      <c r="I23" s="34" t="s">
        <v>55</v>
      </c>
      <c r="J23" s="1" t="str">
        <f t="shared" si="0"/>
        <v/>
      </c>
      <c r="K23" s="25"/>
      <c r="L23" s="25"/>
      <c r="M23" s="133">
        <v>20</v>
      </c>
      <c r="N23" s="133" t="s">
        <v>4337</v>
      </c>
      <c r="O23" s="134" t="s">
        <v>898</v>
      </c>
      <c r="P23" s="133" t="s">
        <v>4374</v>
      </c>
      <c r="Q23" s="133" t="s">
        <v>899</v>
      </c>
      <c r="R23" s="133">
        <v>12</v>
      </c>
      <c r="S23" s="135"/>
      <c r="T23" s="133" t="s">
        <v>4375</v>
      </c>
      <c r="U23" s="135"/>
      <c r="V23" s="135"/>
      <c r="W23" s="135"/>
      <c r="X23" s="135" t="s">
        <v>21</v>
      </c>
    </row>
    <row r="24" spans="1:24" ht="26.25" hidden="1" customHeight="1">
      <c r="A24" s="17">
        <f t="shared" si="1"/>
        <v>21</v>
      </c>
      <c r="B24" s="18" t="s">
        <v>105</v>
      </c>
      <c r="C24" s="31" t="s">
        <v>183</v>
      </c>
      <c r="D24" s="19" t="s">
        <v>184</v>
      </c>
      <c r="E24" s="20" t="s">
        <v>185</v>
      </c>
      <c r="F24" s="32" t="s">
        <v>186</v>
      </c>
      <c r="G24" s="33" t="s">
        <v>42</v>
      </c>
      <c r="H24" s="23" t="s">
        <v>187</v>
      </c>
      <c r="I24" s="34" t="s">
        <v>55</v>
      </c>
      <c r="J24" s="1" t="str">
        <f t="shared" si="0"/>
        <v/>
      </c>
      <c r="K24" s="25"/>
      <c r="L24" s="25"/>
      <c r="M24" s="133">
        <v>21</v>
      </c>
      <c r="N24" s="133" t="s">
        <v>4337</v>
      </c>
      <c r="O24" s="134" t="s">
        <v>902</v>
      </c>
      <c r="P24" s="133" t="s">
        <v>903</v>
      </c>
      <c r="Q24" s="133" t="s">
        <v>904</v>
      </c>
      <c r="R24" s="133">
        <v>12</v>
      </c>
      <c r="S24" s="135"/>
      <c r="T24" s="133" t="s">
        <v>4376</v>
      </c>
      <c r="U24" s="133" t="s">
        <v>20</v>
      </c>
      <c r="V24" s="135"/>
      <c r="W24" s="135" t="s">
        <v>4377</v>
      </c>
      <c r="X24" s="135" t="s">
        <v>21</v>
      </c>
    </row>
    <row r="25" spans="1:24" ht="26.25" hidden="1" customHeight="1">
      <c r="A25" s="17">
        <f t="shared" si="1"/>
        <v>22</v>
      </c>
      <c r="B25" s="18" t="s">
        <v>132</v>
      </c>
      <c r="C25" s="22" t="s">
        <v>190</v>
      </c>
      <c r="D25" s="42" t="s">
        <v>191</v>
      </c>
      <c r="E25" s="43" t="s">
        <v>192</v>
      </c>
      <c r="F25" s="44" t="s">
        <v>193</v>
      </c>
      <c r="G25" s="22" t="s">
        <v>31</v>
      </c>
      <c r="H25" s="41" t="s">
        <v>194</v>
      </c>
      <c r="I25" s="45" t="s">
        <v>55</v>
      </c>
      <c r="J25" s="1" t="str">
        <f t="shared" si="0"/>
        <v/>
      </c>
      <c r="K25" s="46"/>
      <c r="L25" s="46"/>
      <c r="M25" s="130">
        <v>22</v>
      </c>
      <c r="N25" s="130" t="s">
        <v>4337</v>
      </c>
      <c r="O25" s="131" t="s">
        <v>4378</v>
      </c>
      <c r="P25" s="130" t="s">
        <v>4379</v>
      </c>
      <c r="Q25" s="130" t="s">
        <v>932</v>
      </c>
      <c r="R25" s="130">
        <v>2</v>
      </c>
      <c r="S25" s="129"/>
      <c r="T25" s="130" t="s">
        <v>4380</v>
      </c>
      <c r="U25" s="129"/>
      <c r="V25" s="129"/>
      <c r="W25" s="129"/>
      <c r="X25" s="129" t="s">
        <v>21</v>
      </c>
    </row>
    <row r="26" spans="1:24" ht="26.25" hidden="1" customHeight="1">
      <c r="A26" s="17">
        <f t="shared" si="1"/>
        <v>23</v>
      </c>
      <c r="B26" s="18" t="s">
        <v>13</v>
      </c>
      <c r="C26" s="19" t="s">
        <v>198</v>
      </c>
      <c r="D26" s="19" t="s">
        <v>199</v>
      </c>
      <c r="E26" s="20" t="s">
        <v>200</v>
      </c>
      <c r="F26" s="32" t="s">
        <v>52</v>
      </c>
      <c r="G26" s="22" t="s">
        <v>42</v>
      </c>
      <c r="H26" s="23" t="s">
        <v>201</v>
      </c>
      <c r="I26" s="34" t="s">
        <v>55</v>
      </c>
      <c r="J26" s="1" t="str">
        <f t="shared" si="0"/>
        <v/>
      </c>
      <c r="K26" s="25"/>
      <c r="L26" s="25"/>
      <c r="M26" s="133">
        <v>23</v>
      </c>
      <c r="N26" s="133" t="s">
        <v>4337</v>
      </c>
      <c r="O26" s="134" t="s">
        <v>4381</v>
      </c>
      <c r="P26" s="133" t="s">
        <v>558</v>
      </c>
      <c r="Q26" s="133" t="s">
        <v>958</v>
      </c>
      <c r="R26" s="133">
        <v>4</v>
      </c>
      <c r="S26" s="133" t="s">
        <v>4347</v>
      </c>
      <c r="T26" s="133" t="s">
        <v>4382</v>
      </c>
      <c r="U26" s="135"/>
      <c r="V26" s="135"/>
      <c r="W26" s="135"/>
      <c r="X26" s="135" t="s">
        <v>21</v>
      </c>
    </row>
    <row r="27" spans="1:24" ht="26.25" hidden="1" customHeight="1">
      <c r="A27" s="17">
        <f t="shared" si="1"/>
        <v>24</v>
      </c>
      <c r="B27" s="18" t="s">
        <v>37</v>
      </c>
      <c r="C27" s="31" t="s">
        <v>206</v>
      </c>
      <c r="D27" s="19" t="s">
        <v>207</v>
      </c>
      <c r="E27" s="20" t="s">
        <v>208</v>
      </c>
      <c r="F27" s="32" t="s">
        <v>209</v>
      </c>
      <c r="G27" s="22" t="s">
        <v>42</v>
      </c>
      <c r="H27" s="23" t="s">
        <v>210</v>
      </c>
      <c r="I27" s="24" t="s">
        <v>55</v>
      </c>
      <c r="J27" s="1" t="str">
        <f t="shared" si="0"/>
        <v/>
      </c>
      <c r="K27" s="1"/>
      <c r="L27" s="1"/>
      <c r="M27" s="130">
        <v>24</v>
      </c>
      <c r="N27" s="130" t="s">
        <v>4337</v>
      </c>
      <c r="O27" s="131" t="s">
        <v>1057</v>
      </c>
      <c r="P27" s="130" t="s">
        <v>1058</v>
      </c>
      <c r="Q27" s="130" t="s">
        <v>1059</v>
      </c>
      <c r="R27" s="130">
        <v>12</v>
      </c>
      <c r="S27" s="129"/>
      <c r="T27" s="130" t="s">
        <v>4383</v>
      </c>
      <c r="U27" s="130" t="s">
        <v>20</v>
      </c>
      <c r="V27" s="129"/>
      <c r="W27" s="129"/>
      <c r="X27" s="129" t="s">
        <v>21</v>
      </c>
    </row>
    <row r="28" spans="1:24" ht="26.25" hidden="1" customHeight="1">
      <c r="A28" s="17">
        <f t="shared" si="1"/>
        <v>25</v>
      </c>
      <c r="B28" s="18" t="s">
        <v>175</v>
      </c>
      <c r="C28" s="22" t="s">
        <v>212</v>
      </c>
      <c r="D28" s="42" t="s">
        <v>213</v>
      </c>
      <c r="E28" s="43" t="s">
        <v>214</v>
      </c>
      <c r="F28" s="44" t="s">
        <v>215</v>
      </c>
      <c r="G28" s="33" t="s">
        <v>42</v>
      </c>
      <c r="H28" s="41" t="s">
        <v>216</v>
      </c>
      <c r="I28" s="45" t="s">
        <v>55</v>
      </c>
      <c r="J28" s="1" t="str">
        <f t="shared" si="0"/>
        <v/>
      </c>
      <c r="K28" s="46"/>
      <c r="L28" s="46"/>
      <c r="M28" s="130">
        <v>25</v>
      </c>
      <c r="N28" s="130" t="s">
        <v>4337</v>
      </c>
      <c r="O28" s="131" t="s">
        <v>1073</v>
      </c>
      <c r="P28" s="130" t="s">
        <v>60</v>
      </c>
      <c r="Q28" s="130" t="s">
        <v>1074</v>
      </c>
      <c r="R28" s="130">
        <v>12</v>
      </c>
      <c r="S28" s="130"/>
      <c r="T28" s="130" t="s">
        <v>4343</v>
      </c>
      <c r="U28" s="130" t="s">
        <v>20</v>
      </c>
      <c r="V28" s="129"/>
      <c r="W28" s="129"/>
      <c r="X28" s="129" t="s">
        <v>21</v>
      </c>
    </row>
    <row r="29" spans="1:24" ht="26.25" hidden="1" customHeight="1">
      <c r="A29" s="17">
        <f t="shared" si="1"/>
        <v>26</v>
      </c>
      <c r="B29" s="18" t="s">
        <v>13</v>
      </c>
      <c r="C29" s="31" t="s">
        <v>220</v>
      </c>
      <c r="D29" s="19" t="s">
        <v>141</v>
      </c>
      <c r="E29" s="20" t="s">
        <v>221</v>
      </c>
      <c r="F29" s="32" t="s">
        <v>222</v>
      </c>
      <c r="G29" s="22" t="s">
        <v>42</v>
      </c>
      <c r="H29" s="23" t="s">
        <v>223</v>
      </c>
      <c r="I29" s="24" t="s">
        <v>55</v>
      </c>
      <c r="J29" s="1" t="str">
        <f t="shared" si="0"/>
        <v/>
      </c>
      <c r="K29" s="1"/>
      <c r="L29" s="1"/>
      <c r="M29" s="130">
        <v>26</v>
      </c>
      <c r="N29" s="130" t="s">
        <v>4337</v>
      </c>
      <c r="O29" s="131" t="s">
        <v>4384</v>
      </c>
      <c r="P29" s="130" t="s">
        <v>558</v>
      </c>
      <c r="Q29" s="130" t="s">
        <v>1081</v>
      </c>
      <c r="R29" s="130">
        <v>4</v>
      </c>
      <c r="S29" s="129"/>
      <c r="T29" s="130" t="s">
        <v>4385</v>
      </c>
      <c r="U29" s="129"/>
      <c r="V29" s="129"/>
      <c r="W29" s="129"/>
      <c r="X29" s="129" t="s">
        <v>21</v>
      </c>
    </row>
    <row r="30" spans="1:24" ht="26.25" customHeight="1">
      <c r="A30" s="17">
        <f t="shared" si="1"/>
        <v>27</v>
      </c>
      <c r="B30" s="18" t="s">
        <v>27</v>
      </c>
      <c r="C30" s="22" t="s">
        <v>226</v>
      </c>
      <c r="D30" s="19" t="s">
        <v>227</v>
      </c>
      <c r="E30" s="43" t="s">
        <v>228</v>
      </c>
      <c r="F30" s="40" t="s">
        <v>229</v>
      </c>
      <c r="G30" s="22" t="s">
        <v>42</v>
      </c>
      <c r="H30" s="41" t="s">
        <v>230</v>
      </c>
      <c r="I30" s="45" t="s">
        <v>20</v>
      </c>
      <c r="J30" s="1" t="str">
        <f t="shared" si="0"/>
        <v>과기</v>
      </c>
      <c r="K30" s="46"/>
      <c r="L30" s="46"/>
      <c r="M30" s="130">
        <v>27</v>
      </c>
      <c r="N30" s="130" t="s">
        <v>4337</v>
      </c>
      <c r="O30" s="131" t="s">
        <v>1105</v>
      </c>
      <c r="P30" s="130" t="s">
        <v>1133</v>
      </c>
      <c r="Q30" s="130" t="s">
        <v>1107</v>
      </c>
      <c r="R30" s="130">
        <v>12</v>
      </c>
      <c r="S30" s="130" t="s">
        <v>4347</v>
      </c>
      <c r="T30" s="130" t="s">
        <v>4386</v>
      </c>
      <c r="U30" s="130" t="s">
        <v>20</v>
      </c>
      <c r="V30" s="129"/>
      <c r="W30" s="129" t="s">
        <v>4377</v>
      </c>
      <c r="X30" s="129" t="s">
        <v>21</v>
      </c>
    </row>
    <row r="31" spans="1:24" ht="26.25" customHeight="1">
      <c r="A31" s="17">
        <f t="shared" si="1"/>
        <v>28</v>
      </c>
      <c r="B31" s="18" t="s">
        <v>233</v>
      </c>
      <c r="C31" s="31" t="s">
        <v>234</v>
      </c>
      <c r="D31" s="19" t="s">
        <v>235</v>
      </c>
      <c r="E31" s="48" t="s">
        <v>236</v>
      </c>
      <c r="F31" s="21" t="s">
        <v>135</v>
      </c>
      <c r="G31" s="22" t="s">
        <v>53</v>
      </c>
      <c r="H31" s="23" t="s">
        <v>237</v>
      </c>
      <c r="I31" s="34" t="s">
        <v>20</v>
      </c>
      <c r="J31" s="1" t="str">
        <f t="shared" si="0"/>
        <v>과기</v>
      </c>
      <c r="K31" s="25"/>
      <c r="L31" s="25"/>
      <c r="M31" s="133">
        <v>28</v>
      </c>
      <c r="N31" s="133" t="s">
        <v>4337</v>
      </c>
      <c r="O31" s="134" t="s">
        <v>4387</v>
      </c>
      <c r="P31" s="133" t="s">
        <v>4388</v>
      </c>
      <c r="Q31" s="133" t="s">
        <v>1144</v>
      </c>
      <c r="R31" s="133">
        <v>12</v>
      </c>
      <c r="S31" s="135"/>
      <c r="T31" s="133" t="s">
        <v>4389</v>
      </c>
      <c r="U31" s="133" t="s">
        <v>20</v>
      </c>
      <c r="V31" s="135"/>
      <c r="W31" s="135"/>
      <c r="X31" s="135" t="s">
        <v>21</v>
      </c>
    </row>
    <row r="32" spans="1:24" ht="26.25" hidden="1" customHeight="1">
      <c r="A32" s="17">
        <f t="shared" si="1"/>
        <v>29</v>
      </c>
      <c r="B32" s="18" t="s">
        <v>233</v>
      </c>
      <c r="C32" s="22" t="s">
        <v>241</v>
      </c>
      <c r="D32" s="42" t="s">
        <v>242</v>
      </c>
      <c r="E32" s="43" t="s">
        <v>243</v>
      </c>
      <c r="F32" s="44" t="s">
        <v>170</v>
      </c>
      <c r="G32" s="22" t="s">
        <v>31</v>
      </c>
      <c r="H32" s="41" t="s">
        <v>244</v>
      </c>
      <c r="I32" s="45" t="s">
        <v>55</v>
      </c>
      <c r="J32" s="1" t="str">
        <f t="shared" si="0"/>
        <v/>
      </c>
      <c r="K32" s="46"/>
      <c r="L32" s="46"/>
      <c r="M32" s="130">
        <v>29</v>
      </c>
      <c r="N32" s="130" t="s">
        <v>4337</v>
      </c>
      <c r="O32" s="131" t="s">
        <v>1168</v>
      </c>
      <c r="P32" s="130" t="s">
        <v>1169</v>
      </c>
      <c r="Q32" s="130" t="s">
        <v>1170</v>
      </c>
      <c r="R32" s="130">
        <v>11</v>
      </c>
      <c r="S32" s="129"/>
      <c r="T32" s="130" t="s">
        <v>4390</v>
      </c>
      <c r="U32" s="130" t="s">
        <v>20</v>
      </c>
      <c r="V32" s="129"/>
      <c r="W32" s="129"/>
      <c r="X32" s="129" t="s">
        <v>21</v>
      </c>
    </row>
    <row r="33" spans="1:24" ht="26.25" hidden="1" customHeight="1">
      <c r="A33" s="17">
        <f t="shared" si="1"/>
        <v>30</v>
      </c>
      <c r="B33" s="18" t="s">
        <v>248</v>
      </c>
      <c r="C33" s="31" t="s">
        <v>249</v>
      </c>
      <c r="D33" s="19" t="s">
        <v>250</v>
      </c>
      <c r="E33" s="20" t="s">
        <v>251</v>
      </c>
      <c r="F33" s="32" t="s">
        <v>252</v>
      </c>
      <c r="G33" s="33" t="s">
        <v>31</v>
      </c>
      <c r="H33" s="23" t="s">
        <v>253</v>
      </c>
      <c r="I33" s="24" t="s">
        <v>55</v>
      </c>
      <c r="J33" s="1" t="str">
        <f t="shared" si="0"/>
        <v/>
      </c>
      <c r="K33" s="1"/>
      <c r="L33" s="1"/>
      <c r="M33" s="130">
        <v>30</v>
      </c>
      <c r="N33" s="130" t="s">
        <v>4337</v>
      </c>
      <c r="O33" s="131" t="s">
        <v>1191</v>
      </c>
      <c r="P33" s="130" t="s">
        <v>255</v>
      </c>
      <c r="Q33" s="132" t="s">
        <v>1192</v>
      </c>
      <c r="R33" s="130">
        <v>4</v>
      </c>
      <c r="S33" s="130" t="s">
        <v>4347</v>
      </c>
      <c r="T33" s="130" t="s">
        <v>4391</v>
      </c>
      <c r="U33" s="129"/>
      <c r="V33" s="129"/>
      <c r="W33" s="129"/>
      <c r="X33" s="129" t="s">
        <v>21</v>
      </c>
    </row>
    <row r="34" spans="1:24" ht="26.25" hidden="1" customHeight="1">
      <c r="A34" s="17">
        <f t="shared" si="1"/>
        <v>31</v>
      </c>
      <c r="B34" s="18" t="s">
        <v>81</v>
      </c>
      <c r="C34" s="31" t="s">
        <v>257</v>
      </c>
      <c r="D34" s="19" t="s">
        <v>258</v>
      </c>
      <c r="E34" s="20" t="s">
        <v>259</v>
      </c>
      <c r="F34" s="32" t="s">
        <v>260</v>
      </c>
      <c r="G34" s="33" t="s">
        <v>31</v>
      </c>
      <c r="H34" s="23" t="s">
        <v>261</v>
      </c>
      <c r="I34" s="24" t="s">
        <v>55</v>
      </c>
      <c r="J34" s="1" t="str">
        <f t="shared" si="0"/>
        <v/>
      </c>
      <c r="K34" s="1"/>
      <c r="L34" s="1"/>
      <c r="M34" s="130">
        <v>31</v>
      </c>
      <c r="N34" s="130" t="s">
        <v>4337</v>
      </c>
      <c r="O34" s="131" t="s">
        <v>4392</v>
      </c>
      <c r="P34" s="130" t="s">
        <v>1225</v>
      </c>
      <c r="Q34" s="130" t="s">
        <v>1226</v>
      </c>
      <c r="R34" s="132">
        <v>5</v>
      </c>
      <c r="S34" s="129"/>
      <c r="T34" s="130" t="s">
        <v>4393</v>
      </c>
      <c r="U34" s="130" t="s">
        <v>53</v>
      </c>
      <c r="V34" s="129" t="s">
        <v>4394</v>
      </c>
      <c r="W34" s="129"/>
      <c r="X34" s="129" t="s">
        <v>21</v>
      </c>
    </row>
    <row r="35" spans="1:24" ht="26.25" hidden="1" customHeight="1">
      <c r="A35" s="17">
        <f t="shared" si="1"/>
        <v>32</v>
      </c>
      <c r="B35" s="18" t="s">
        <v>233</v>
      </c>
      <c r="C35" s="31" t="s">
        <v>217</v>
      </c>
      <c r="D35" s="19" t="s">
        <v>242</v>
      </c>
      <c r="E35" s="20" t="s">
        <v>219</v>
      </c>
      <c r="F35" s="32" t="s">
        <v>265</v>
      </c>
      <c r="G35" s="22" t="s">
        <v>42</v>
      </c>
      <c r="H35" s="23" t="s">
        <v>266</v>
      </c>
      <c r="I35" s="24" t="s">
        <v>55</v>
      </c>
      <c r="J35" s="1" t="str">
        <f t="shared" si="0"/>
        <v/>
      </c>
      <c r="K35" s="1"/>
      <c r="L35" s="1"/>
      <c r="M35" s="130">
        <v>32</v>
      </c>
      <c r="N35" s="130" t="s">
        <v>4337</v>
      </c>
      <c r="O35" s="131" t="s">
        <v>1262</v>
      </c>
      <c r="P35" s="130" t="s">
        <v>1263</v>
      </c>
      <c r="Q35" s="130" t="s">
        <v>1264</v>
      </c>
      <c r="R35" s="130">
        <v>4</v>
      </c>
      <c r="S35" s="129"/>
      <c r="T35" s="130" t="s">
        <v>4395</v>
      </c>
      <c r="U35" s="130" t="s">
        <v>20</v>
      </c>
      <c r="V35" s="129"/>
      <c r="W35" s="129"/>
      <c r="X35" s="129" t="s">
        <v>21</v>
      </c>
    </row>
    <row r="36" spans="1:24" ht="26.25" hidden="1" customHeight="1">
      <c r="A36" s="17">
        <f t="shared" si="1"/>
        <v>33</v>
      </c>
      <c r="B36" s="18" t="s">
        <v>233</v>
      </c>
      <c r="C36" s="31" t="s">
        <v>270</v>
      </c>
      <c r="D36" s="19" t="s">
        <v>271</v>
      </c>
      <c r="E36" s="20" t="s">
        <v>272</v>
      </c>
      <c r="F36" s="32" t="s">
        <v>222</v>
      </c>
      <c r="G36" s="22" t="s">
        <v>31</v>
      </c>
      <c r="H36" s="23" t="s">
        <v>273</v>
      </c>
      <c r="I36" s="24" t="s">
        <v>55</v>
      </c>
      <c r="J36" s="1" t="str">
        <f t="shared" si="0"/>
        <v/>
      </c>
      <c r="K36" s="1"/>
      <c r="L36" s="1"/>
      <c r="M36" s="130">
        <v>33</v>
      </c>
      <c r="N36" s="130" t="s">
        <v>4337</v>
      </c>
      <c r="O36" s="131" t="s">
        <v>1313</v>
      </c>
      <c r="P36" s="130" t="s">
        <v>4396</v>
      </c>
      <c r="Q36" s="130" t="s">
        <v>1314</v>
      </c>
      <c r="R36" s="130">
        <v>6</v>
      </c>
      <c r="S36" s="129"/>
      <c r="T36" s="130" t="s">
        <v>4397</v>
      </c>
      <c r="U36" s="129"/>
      <c r="V36" s="129"/>
      <c r="W36" s="129"/>
      <c r="X36" s="129" t="s">
        <v>21</v>
      </c>
    </row>
    <row r="37" spans="1:24" ht="26.25" hidden="1" customHeight="1">
      <c r="A37" s="17">
        <f t="shared" si="1"/>
        <v>34</v>
      </c>
      <c r="B37" s="18" t="s">
        <v>105</v>
      </c>
      <c r="C37" s="31" t="s">
        <v>276</v>
      </c>
      <c r="D37" s="19" t="s">
        <v>277</v>
      </c>
      <c r="E37" s="20" t="s">
        <v>278</v>
      </c>
      <c r="F37" s="32" t="s">
        <v>279</v>
      </c>
      <c r="G37" s="33" t="s">
        <v>42</v>
      </c>
      <c r="H37" s="23" t="s">
        <v>280</v>
      </c>
      <c r="I37" s="24" t="s">
        <v>55</v>
      </c>
      <c r="J37" s="1" t="str">
        <f t="shared" si="0"/>
        <v/>
      </c>
      <c r="K37" s="1"/>
      <c r="L37" s="1"/>
      <c r="M37" s="130">
        <v>34</v>
      </c>
      <c r="N37" s="130" t="s">
        <v>4337</v>
      </c>
      <c r="O37" s="131" t="s">
        <v>1331</v>
      </c>
      <c r="P37" s="130" t="s">
        <v>1456</v>
      </c>
      <c r="Q37" s="130" t="s">
        <v>1332</v>
      </c>
      <c r="R37" s="130">
        <v>6</v>
      </c>
      <c r="S37" s="130" t="s">
        <v>4347</v>
      </c>
      <c r="T37" s="130" t="s">
        <v>4398</v>
      </c>
      <c r="U37" s="129"/>
      <c r="V37" s="129"/>
      <c r="W37" s="129"/>
      <c r="X37" s="129" t="s">
        <v>21</v>
      </c>
    </row>
    <row r="38" spans="1:24" ht="26.25" hidden="1" customHeight="1">
      <c r="A38" s="17">
        <f t="shared" si="1"/>
        <v>35</v>
      </c>
      <c r="B38" s="18" t="s">
        <v>81</v>
      </c>
      <c r="C38" s="31" t="s">
        <v>285</v>
      </c>
      <c r="D38" s="19" t="s">
        <v>277</v>
      </c>
      <c r="E38" s="20" t="s">
        <v>286</v>
      </c>
      <c r="F38" s="32" t="s">
        <v>252</v>
      </c>
      <c r="G38" s="33" t="s">
        <v>42</v>
      </c>
      <c r="H38" s="23" t="s">
        <v>287</v>
      </c>
      <c r="I38" s="24" t="s">
        <v>55</v>
      </c>
      <c r="J38" s="1" t="str">
        <f t="shared" si="0"/>
        <v/>
      </c>
      <c r="K38" s="1"/>
      <c r="L38" s="1"/>
      <c r="M38" s="130">
        <v>35</v>
      </c>
      <c r="N38" s="130" t="s">
        <v>4337</v>
      </c>
      <c r="O38" s="131" t="s">
        <v>1337</v>
      </c>
      <c r="P38" s="130" t="s">
        <v>57</v>
      </c>
      <c r="Q38" s="130" t="s">
        <v>1339</v>
      </c>
      <c r="R38" s="130">
        <v>6</v>
      </c>
      <c r="S38" s="129"/>
      <c r="T38" s="130" t="s">
        <v>4399</v>
      </c>
      <c r="U38" s="129"/>
      <c r="V38" s="129"/>
      <c r="W38" s="129"/>
      <c r="X38" s="129" t="s">
        <v>21</v>
      </c>
    </row>
    <row r="39" spans="1:24" ht="26.25" customHeight="1">
      <c r="A39" s="17">
        <f t="shared" si="1"/>
        <v>36</v>
      </c>
      <c r="B39" s="18" t="s">
        <v>289</v>
      </c>
      <c r="C39" s="31" t="s">
        <v>290</v>
      </c>
      <c r="D39" s="19" t="s">
        <v>291</v>
      </c>
      <c r="E39" s="20" t="s">
        <v>292</v>
      </c>
      <c r="F39" s="21" t="s">
        <v>293</v>
      </c>
      <c r="G39" s="33" t="s">
        <v>42</v>
      </c>
      <c r="H39" s="23" t="s">
        <v>294</v>
      </c>
      <c r="I39" s="24" t="s">
        <v>20</v>
      </c>
      <c r="J39" s="1" t="str">
        <f t="shared" si="0"/>
        <v>과기</v>
      </c>
      <c r="K39" s="1"/>
      <c r="L39" s="1"/>
      <c r="M39" s="130">
        <v>36</v>
      </c>
      <c r="N39" s="130" t="s">
        <v>4337</v>
      </c>
      <c r="O39" s="131" t="s">
        <v>4400</v>
      </c>
      <c r="P39" s="130" t="s">
        <v>196</v>
      </c>
      <c r="Q39" s="130" t="s">
        <v>1351</v>
      </c>
      <c r="R39" s="130">
        <v>9</v>
      </c>
      <c r="S39" s="129"/>
      <c r="T39" s="130" t="s">
        <v>4401</v>
      </c>
      <c r="U39" s="129"/>
      <c r="V39" s="129"/>
      <c r="W39" s="129"/>
      <c r="X39" s="129" t="s">
        <v>21</v>
      </c>
    </row>
    <row r="40" spans="1:24" ht="26.25" hidden="1" customHeight="1">
      <c r="A40" s="17">
        <f t="shared" si="1"/>
        <v>37</v>
      </c>
      <c r="B40" s="18" t="s">
        <v>37</v>
      </c>
      <c r="C40" s="19" t="s">
        <v>298</v>
      </c>
      <c r="D40" s="19" t="s">
        <v>299</v>
      </c>
      <c r="E40" s="20" t="s">
        <v>300</v>
      </c>
      <c r="F40" s="21" t="s">
        <v>301</v>
      </c>
      <c r="G40" s="22" t="s">
        <v>31</v>
      </c>
      <c r="H40" s="23" t="s">
        <v>302</v>
      </c>
      <c r="I40" s="24" t="s">
        <v>20</v>
      </c>
      <c r="J40" s="1" t="str">
        <f t="shared" si="0"/>
        <v>FRIC</v>
      </c>
      <c r="K40" s="1"/>
      <c r="L40" s="1"/>
      <c r="M40" s="130">
        <v>37</v>
      </c>
      <c r="N40" s="130" t="s">
        <v>4337</v>
      </c>
      <c r="O40" s="131" t="s">
        <v>1361</v>
      </c>
      <c r="P40" s="130" t="s">
        <v>196</v>
      </c>
      <c r="Q40" s="130" t="s">
        <v>1362</v>
      </c>
      <c r="R40" s="130">
        <v>12</v>
      </c>
      <c r="S40" s="130" t="s">
        <v>4347</v>
      </c>
      <c r="T40" s="130" t="s">
        <v>4402</v>
      </c>
      <c r="U40" s="129"/>
      <c r="V40" s="129"/>
      <c r="W40" s="129"/>
      <c r="X40" s="129" t="s">
        <v>21</v>
      </c>
    </row>
    <row r="41" spans="1:24" ht="26.25" hidden="1" customHeight="1">
      <c r="A41" s="17">
        <f t="shared" si="1"/>
        <v>38</v>
      </c>
      <c r="B41" s="18" t="s">
        <v>175</v>
      </c>
      <c r="C41" s="31" t="s">
        <v>307</v>
      </c>
      <c r="D41" s="19" t="s">
        <v>308</v>
      </c>
      <c r="E41" s="20" t="s">
        <v>309</v>
      </c>
      <c r="F41" s="32" t="s">
        <v>310</v>
      </c>
      <c r="G41" s="33" t="s">
        <v>42</v>
      </c>
      <c r="H41" s="23" t="s">
        <v>311</v>
      </c>
      <c r="I41" s="24" t="s">
        <v>55</v>
      </c>
      <c r="J41" s="1" t="str">
        <f t="shared" si="0"/>
        <v/>
      </c>
      <c r="K41" s="1"/>
      <c r="L41" s="1"/>
      <c r="M41" s="130">
        <v>38</v>
      </c>
      <c r="N41" s="130" t="s">
        <v>4337</v>
      </c>
      <c r="O41" s="131" t="s">
        <v>1472</v>
      </c>
      <c r="P41" s="130" t="s">
        <v>255</v>
      </c>
      <c r="Q41" s="130" t="s">
        <v>1473</v>
      </c>
      <c r="R41" s="130">
        <v>14</v>
      </c>
      <c r="S41" s="130" t="s">
        <v>4347</v>
      </c>
      <c r="T41" s="130" t="s">
        <v>4403</v>
      </c>
      <c r="U41" s="129"/>
      <c r="V41" s="129"/>
      <c r="W41" s="129"/>
      <c r="X41" s="129" t="s">
        <v>21</v>
      </c>
    </row>
    <row r="42" spans="1:24" ht="26.25" hidden="1" customHeight="1">
      <c r="A42" s="17">
        <f t="shared" si="1"/>
        <v>39</v>
      </c>
      <c r="B42" s="18" t="s">
        <v>175</v>
      </c>
      <c r="C42" s="31" t="s">
        <v>314</v>
      </c>
      <c r="D42" s="19" t="s">
        <v>315</v>
      </c>
      <c r="E42" s="20" t="s">
        <v>316</v>
      </c>
      <c r="F42" s="32" t="s">
        <v>317</v>
      </c>
      <c r="G42" s="33" t="s">
        <v>42</v>
      </c>
      <c r="H42" s="23" t="s">
        <v>318</v>
      </c>
      <c r="I42" s="24" t="s">
        <v>55</v>
      </c>
      <c r="J42" s="1" t="str">
        <f t="shared" si="0"/>
        <v/>
      </c>
      <c r="K42" s="1"/>
      <c r="L42" s="1"/>
      <c r="M42" s="130">
        <v>39</v>
      </c>
      <c r="N42" s="130" t="s">
        <v>4337</v>
      </c>
      <c r="O42" s="131" t="s">
        <v>1485</v>
      </c>
      <c r="P42" s="130" t="s">
        <v>1486</v>
      </c>
      <c r="Q42" s="130" t="s">
        <v>1487</v>
      </c>
      <c r="R42" s="130">
        <v>6</v>
      </c>
      <c r="S42" s="130" t="s">
        <v>4347</v>
      </c>
      <c r="T42" s="130" t="s">
        <v>4404</v>
      </c>
      <c r="U42" s="130" t="s">
        <v>20</v>
      </c>
      <c r="V42" s="129"/>
      <c r="W42" s="129"/>
      <c r="X42" s="129" t="s">
        <v>21</v>
      </c>
    </row>
    <row r="43" spans="1:24" ht="26.25" customHeight="1">
      <c r="A43" s="17">
        <f t="shared" si="1"/>
        <v>40</v>
      </c>
      <c r="B43" s="18" t="s">
        <v>175</v>
      </c>
      <c r="C43" s="31" t="s">
        <v>323</v>
      </c>
      <c r="D43" s="19" t="s">
        <v>324</v>
      </c>
      <c r="E43" s="20" t="s">
        <v>325</v>
      </c>
      <c r="F43" s="21" t="s">
        <v>326</v>
      </c>
      <c r="G43" s="33" t="s">
        <v>42</v>
      </c>
      <c r="H43" s="23" t="s">
        <v>327</v>
      </c>
      <c r="I43" s="24" t="s">
        <v>20</v>
      </c>
      <c r="J43" s="1" t="str">
        <f t="shared" si="0"/>
        <v>과기</v>
      </c>
      <c r="K43" s="1"/>
      <c r="L43" s="1"/>
      <c r="M43" s="130">
        <v>40</v>
      </c>
      <c r="N43" s="130" t="s">
        <v>4337</v>
      </c>
      <c r="O43" s="131" t="s">
        <v>1490</v>
      </c>
      <c r="P43" s="130" t="s">
        <v>1491</v>
      </c>
      <c r="Q43" s="132" t="s">
        <v>1492</v>
      </c>
      <c r="R43" s="130">
        <v>6</v>
      </c>
      <c r="S43" s="129"/>
      <c r="T43" s="130" t="s">
        <v>4405</v>
      </c>
      <c r="U43" s="130" t="s">
        <v>20</v>
      </c>
      <c r="V43" s="129"/>
      <c r="W43" s="129"/>
      <c r="X43" s="129" t="s">
        <v>21</v>
      </c>
    </row>
    <row r="44" spans="1:24" ht="26.25" hidden="1" customHeight="1">
      <c r="A44" s="17">
        <f t="shared" si="1"/>
        <v>41</v>
      </c>
      <c r="B44" s="18" t="s">
        <v>105</v>
      </c>
      <c r="C44" s="31" t="s">
        <v>331</v>
      </c>
      <c r="D44" s="19" t="s">
        <v>332</v>
      </c>
      <c r="E44" s="20" t="s">
        <v>333</v>
      </c>
      <c r="F44" s="21" t="s">
        <v>334</v>
      </c>
      <c r="G44" s="33" t="s">
        <v>42</v>
      </c>
      <c r="H44" s="23" t="s">
        <v>335</v>
      </c>
      <c r="I44" s="34" t="s">
        <v>55</v>
      </c>
      <c r="J44" s="1" t="str">
        <f t="shared" si="0"/>
        <v/>
      </c>
      <c r="K44" s="25"/>
      <c r="L44" s="25"/>
      <c r="M44" s="133">
        <v>41</v>
      </c>
      <c r="N44" s="133" t="s">
        <v>4337</v>
      </c>
      <c r="O44" s="134" t="s">
        <v>1503</v>
      </c>
      <c r="P44" s="133" t="s">
        <v>199</v>
      </c>
      <c r="Q44" s="133" t="s">
        <v>1504</v>
      </c>
      <c r="R44" s="133">
        <v>12</v>
      </c>
      <c r="S44" s="133" t="s">
        <v>4347</v>
      </c>
      <c r="T44" s="133" t="s">
        <v>4406</v>
      </c>
      <c r="U44" s="133" t="s">
        <v>53</v>
      </c>
      <c r="V44" s="135" t="s">
        <v>4394</v>
      </c>
      <c r="W44" s="135"/>
      <c r="X44" s="135" t="s">
        <v>21</v>
      </c>
    </row>
    <row r="45" spans="1:24" ht="26.25" hidden="1" customHeight="1">
      <c r="A45" s="17">
        <f t="shared" si="1"/>
        <v>42</v>
      </c>
      <c r="B45" s="18" t="s">
        <v>105</v>
      </c>
      <c r="C45" s="31" t="s">
        <v>339</v>
      </c>
      <c r="D45" s="19" t="s">
        <v>340</v>
      </c>
      <c r="E45" s="20" t="s">
        <v>341</v>
      </c>
      <c r="F45" s="32" t="s">
        <v>342</v>
      </c>
      <c r="G45" s="33" t="s">
        <v>42</v>
      </c>
      <c r="H45" s="23" t="s">
        <v>343</v>
      </c>
      <c r="I45" s="24" t="s">
        <v>55</v>
      </c>
      <c r="J45" s="1" t="str">
        <f t="shared" si="0"/>
        <v/>
      </c>
      <c r="K45" s="1"/>
      <c r="L45" s="1"/>
      <c r="M45" s="130">
        <v>42</v>
      </c>
      <c r="N45" s="130" t="s">
        <v>4337</v>
      </c>
      <c r="O45" s="131" t="s">
        <v>4407</v>
      </c>
      <c r="P45" s="130" t="s">
        <v>1320</v>
      </c>
      <c r="Q45" s="130" t="s">
        <v>1321</v>
      </c>
      <c r="R45" s="132">
        <v>6</v>
      </c>
      <c r="S45" s="130" t="s">
        <v>4347</v>
      </c>
      <c r="T45" s="130" t="s">
        <v>4408</v>
      </c>
      <c r="U45" s="130" t="s">
        <v>20</v>
      </c>
      <c r="V45" s="129"/>
      <c r="W45" s="129"/>
      <c r="X45" s="129" t="s">
        <v>21</v>
      </c>
    </row>
    <row r="46" spans="1:24" ht="26.25" hidden="1" customHeight="1">
      <c r="A46" s="17">
        <f t="shared" si="1"/>
        <v>43</v>
      </c>
      <c r="B46" s="18" t="s">
        <v>289</v>
      </c>
      <c r="C46" s="19" t="s">
        <v>347</v>
      </c>
      <c r="D46" s="19" t="s">
        <v>348</v>
      </c>
      <c r="E46" s="20" t="s">
        <v>349</v>
      </c>
      <c r="F46" s="21" t="s">
        <v>135</v>
      </c>
      <c r="G46" s="33" t="s">
        <v>350</v>
      </c>
      <c r="H46" s="23" t="s">
        <v>351</v>
      </c>
      <c r="I46" s="24" t="s">
        <v>20</v>
      </c>
      <c r="J46" s="1" t="str">
        <f t="shared" si="0"/>
        <v>FRIC</v>
      </c>
      <c r="K46" s="1"/>
      <c r="L46" s="1"/>
      <c r="M46" s="130">
        <v>43</v>
      </c>
      <c r="N46" s="130" t="s">
        <v>4337</v>
      </c>
      <c r="O46" s="131" t="s">
        <v>1518</v>
      </c>
      <c r="P46" s="130" t="s">
        <v>255</v>
      </c>
      <c r="Q46" s="130" t="s">
        <v>1519</v>
      </c>
      <c r="R46" s="130">
        <v>22</v>
      </c>
      <c r="S46" s="130" t="s">
        <v>4347</v>
      </c>
      <c r="T46" s="130" t="s">
        <v>4409</v>
      </c>
      <c r="U46" s="129"/>
      <c r="V46" s="129"/>
      <c r="W46" s="129"/>
      <c r="X46" s="129" t="s">
        <v>21</v>
      </c>
    </row>
    <row r="47" spans="1:24" ht="26.25" hidden="1" customHeight="1">
      <c r="A47" s="17">
        <f t="shared" si="1"/>
        <v>44</v>
      </c>
      <c r="B47" s="18" t="s">
        <v>289</v>
      </c>
      <c r="C47" s="31" t="s">
        <v>355</v>
      </c>
      <c r="D47" s="19" t="s">
        <v>356</v>
      </c>
      <c r="E47" s="20" t="s">
        <v>357</v>
      </c>
      <c r="F47" s="32" t="s">
        <v>358</v>
      </c>
      <c r="G47" s="33" t="s">
        <v>53</v>
      </c>
      <c r="H47" s="23" t="s">
        <v>359</v>
      </c>
      <c r="I47" s="24" t="s">
        <v>55</v>
      </c>
      <c r="J47" s="1" t="str">
        <f t="shared" si="0"/>
        <v/>
      </c>
      <c r="K47" s="1"/>
      <c r="L47" s="1"/>
      <c r="M47" s="130">
        <v>44</v>
      </c>
      <c r="N47" s="130" t="s">
        <v>4337</v>
      </c>
      <c r="O47" s="131" t="s">
        <v>1522</v>
      </c>
      <c r="P47" s="130" t="s">
        <v>103</v>
      </c>
      <c r="Q47" s="130" t="s">
        <v>1523</v>
      </c>
      <c r="R47" s="130">
        <v>18</v>
      </c>
      <c r="S47" s="129"/>
      <c r="T47" s="130" t="s">
        <v>4410</v>
      </c>
      <c r="U47" s="129"/>
      <c r="V47" s="129"/>
      <c r="W47" s="129"/>
      <c r="X47" s="129" t="s">
        <v>21</v>
      </c>
    </row>
    <row r="48" spans="1:24" ht="26.25" hidden="1" customHeight="1">
      <c r="A48" s="17">
        <f t="shared" si="1"/>
        <v>45</v>
      </c>
      <c r="B48" s="18" t="s">
        <v>27</v>
      </c>
      <c r="C48" s="31" t="s">
        <v>363</v>
      </c>
      <c r="D48" s="19" t="s">
        <v>364</v>
      </c>
      <c r="E48" s="20" t="s">
        <v>365</v>
      </c>
      <c r="F48" s="32" t="s">
        <v>170</v>
      </c>
      <c r="G48" s="22" t="s">
        <v>31</v>
      </c>
      <c r="H48" s="23" t="s">
        <v>366</v>
      </c>
      <c r="I48" s="24" t="s">
        <v>55</v>
      </c>
      <c r="J48" s="1" t="str">
        <f t="shared" si="0"/>
        <v/>
      </c>
      <c r="K48" s="1"/>
      <c r="L48" s="1"/>
      <c r="M48" s="130">
        <v>45</v>
      </c>
      <c r="N48" s="130" t="s">
        <v>4337</v>
      </c>
      <c r="O48" s="131" t="s">
        <v>1527</v>
      </c>
      <c r="P48" s="130" t="s">
        <v>558</v>
      </c>
      <c r="Q48" s="130" t="s">
        <v>1528</v>
      </c>
      <c r="R48" s="130">
        <v>10</v>
      </c>
      <c r="S48" s="129"/>
      <c r="T48" s="130" t="s">
        <v>4411</v>
      </c>
      <c r="U48" s="129"/>
      <c r="V48" s="129"/>
      <c r="W48" s="129"/>
      <c r="X48" s="129" t="s">
        <v>21</v>
      </c>
    </row>
    <row r="49" spans="1:24" ht="26.25" hidden="1" customHeight="1">
      <c r="A49" s="17">
        <f t="shared" si="1"/>
        <v>46</v>
      </c>
      <c r="B49" s="18" t="s">
        <v>132</v>
      </c>
      <c r="C49" s="31" t="s">
        <v>369</v>
      </c>
      <c r="D49" s="19" t="s">
        <v>370</v>
      </c>
      <c r="E49" s="20" t="s">
        <v>371</v>
      </c>
      <c r="F49" s="32">
        <v>1999</v>
      </c>
      <c r="G49" s="22" t="s">
        <v>53</v>
      </c>
      <c r="H49" s="23" t="s">
        <v>372</v>
      </c>
      <c r="I49" s="24" t="s">
        <v>55</v>
      </c>
      <c r="J49" s="1" t="str">
        <f t="shared" si="0"/>
        <v/>
      </c>
      <c r="K49" s="1"/>
      <c r="L49" s="1"/>
      <c r="M49" s="130">
        <v>46</v>
      </c>
      <c r="N49" s="130" t="s">
        <v>4337</v>
      </c>
      <c r="O49" s="131" t="s">
        <v>1591</v>
      </c>
      <c r="P49" s="130" t="s">
        <v>1592</v>
      </c>
      <c r="Q49" s="130" t="s">
        <v>1593</v>
      </c>
      <c r="R49" s="130">
        <v>8</v>
      </c>
      <c r="S49" s="129"/>
      <c r="T49" s="130" t="s">
        <v>4412</v>
      </c>
      <c r="U49" s="129" t="s">
        <v>20</v>
      </c>
      <c r="V49" s="129"/>
      <c r="W49" s="130" t="s">
        <v>4413</v>
      </c>
      <c r="X49" s="129" t="s">
        <v>21</v>
      </c>
    </row>
    <row r="50" spans="1:24" ht="26.25" hidden="1" customHeight="1">
      <c r="A50" s="17">
        <f t="shared" si="1"/>
        <v>47</v>
      </c>
      <c r="B50" s="18" t="s">
        <v>175</v>
      </c>
      <c r="C50" s="31" t="s">
        <v>373</v>
      </c>
      <c r="D50" s="19" t="s">
        <v>374</v>
      </c>
      <c r="E50" s="20" t="s">
        <v>375</v>
      </c>
      <c r="F50" s="32" t="s">
        <v>376</v>
      </c>
      <c r="G50" s="33" t="s">
        <v>42</v>
      </c>
      <c r="H50" s="23" t="s">
        <v>377</v>
      </c>
      <c r="I50" s="24" t="s">
        <v>55</v>
      </c>
      <c r="J50" s="1" t="str">
        <f t="shared" si="0"/>
        <v/>
      </c>
      <c r="K50" s="1"/>
      <c r="L50" s="1"/>
      <c r="M50" s="130">
        <v>47</v>
      </c>
      <c r="N50" s="130" t="s">
        <v>4337</v>
      </c>
      <c r="O50" s="131" t="s">
        <v>4414</v>
      </c>
      <c r="P50" s="130" t="s">
        <v>255</v>
      </c>
      <c r="Q50" s="130" t="s">
        <v>1608</v>
      </c>
      <c r="R50" s="130">
        <v>12</v>
      </c>
      <c r="S50" s="130" t="s">
        <v>4347</v>
      </c>
      <c r="T50" s="130" t="s">
        <v>4415</v>
      </c>
      <c r="U50" s="129"/>
      <c r="V50" s="129"/>
      <c r="W50" s="129"/>
      <c r="X50" s="129" t="s">
        <v>21</v>
      </c>
    </row>
    <row r="51" spans="1:24" ht="26.25" customHeight="1">
      <c r="A51" s="17">
        <f t="shared" si="1"/>
        <v>48</v>
      </c>
      <c r="B51" s="18" t="s">
        <v>105</v>
      </c>
      <c r="C51" s="31" t="s">
        <v>380</v>
      </c>
      <c r="D51" s="19" t="s">
        <v>381</v>
      </c>
      <c r="E51" s="20" t="s">
        <v>382</v>
      </c>
      <c r="F51" s="21" t="s">
        <v>383</v>
      </c>
      <c r="G51" s="33" t="s">
        <v>42</v>
      </c>
      <c r="H51" s="23" t="s">
        <v>384</v>
      </c>
      <c r="I51" s="34" t="s">
        <v>20</v>
      </c>
      <c r="J51" s="1" t="str">
        <f t="shared" si="0"/>
        <v>과기</v>
      </c>
      <c r="K51" s="25"/>
      <c r="L51" s="25"/>
      <c r="M51" s="133">
        <v>48</v>
      </c>
      <c r="N51" s="133" t="s">
        <v>4337</v>
      </c>
      <c r="O51" s="134" t="s">
        <v>1640</v>
      </c>
      <c r="P51" s="133" t="s">
        <v>665</v>
      </c>
      <c r="Q51" s="133" t="s">
        <v>1641</v>
      </c>
      <c r="R51" s="133">
        <v>51</v>
      </c>
      <c r="S51" s="135"/>
      <c r="T51" s="133" t="s">
        <v>4416</v>
      </c>
      <c r="U51" s="133" t="s">
        <v>20</v>
      </c>
      <c r="V51" s="135"/>
      <c r="W51" s="135"/>
      <c r="X51" s="135" t="s">
        <v>21</v>
      </c>
    </row>
    <row r="52" spans="1:24" ht="26.25" hidden="1" customHeight="1">
      <c r="A52" s="17">
        <f t="shared" si="1"/>
        <v>49</v>
      </c>
      <c r="B52" s="18" t="s">
        <v>105</v>
      </c>
      <c r="C52" s="31" t="s">
        <v>387</v>
      </c>
      <c r="D52" s="19" t="s">
        <v>196</v>
      </c>
      <c r="E52" s="20" t="s">
        <v>388</v>
      </c>
      <c r="F52" s="32" t="s">
        <v>389</v>
      </c>
      <c r="G52" s="33" t="s">
        <v>42</v>
      </c>
      <c r="H52" s="23" t="s">
        <v>390</v>
      </c>
      <c r="I52" s="24" t="s">
        <v>55</v>
      </c>
      <c r="J52" s="1" t="str">
        <f t="shared" si="0"/>
        <v/>
      </c>
      <c r="K52" s="1"/>
      <c r="L52" s="1"/>
      <c r="M52" s="130">
        <v>49</v>
      </c>
      <c r="N52" s="130" t="s">
        <v>4337</v>
      </c>
      <c r="O52" s="131" t="s">
        <v>4417</v>
      </c>
      <c r="P52" s="130" t="s">
        <v>4418</v>
      </c>
      <c r="Q52" s="130" t="s">
        <v>1672</v>
      </c>
      <c r="R52" s="130">
        <v>12</v>
      </c>
      <c r="S52" s="130" t="s">
        <v>4347</v>
      </c>
      <c r="T52" s="130" t="s">
        <v>4419</v>
      </c>
      <c r="U52" s="130" t="s">
        <v>53</v>
      </c>
      <c r="V52" s="129" t="s">
        <v>4342</v>
      </c>
      <c r="W52" s="129"/>
      <c r="X52" s="129" t="s">
        <v>21</v>
      </c>
    </row>
    <row r="53" spans="1:24" ht="26.25" hidden="1" customHeight="1">
      <c r="A53" s="17">
        <f t="shared" si="1"/>
        <v>50</v>
      </c>
      <c r="B53" s="18" t="s">
        <v>105</v>
      </c>
      <c r="C53" s="31" t="s">
        <v>393</v>
      </c>
      <c r="D53" s="19" t="s">
        <v>394</v>
      </c>
      <c r="E53" s="20" t="s">
        <v>395</v>
      </c>
      <c r="F53" s="32" t="s">
        <v>396</v>
      </c>
      <c r="G53" s="33" t="s">
        <v>31</v>
      </c>
      <c r="H53" s="23" t="s">
        <v>397</v>
      </c>
      <c r="I53" s="24" t="s">
        <v>55</v>
      </c>
      <c r="J53" s="1" t="str">
        <f t="shared" si="0"/>
        <v/>
      </c>
      <c r="K53" s="1"/>
      <c r="L53" s="1"/>
      <c r="M53" s="130">
        <v>50</v>
      </c>
      <c r="N53" s="130" t="s">
        <v>4337</v>
      </c>
      <c r="O53" s="131" t="s">
        <v>4420</v>
      </c>
      <c r="P53" s="130" t="s">
        <v>255</v>
      </c>
      <c r="Q53" s="130" t="s">
        <v>1684</v>
      </c>
      <c r="R53" s="130">
        <v>6</v>
      </c>
      <c r="S53" s="130" t="s">
        <v>4347</v>
      </c>
      <c r="T53" s="130" t="s">
        <v>4421</v>
      </c>
      <c r="U53" s="129"/>
      <c r="V53" s="129"/>
      <c r="W53" s="129"/>
      <c r="X53" s="129" t="s">
        <v>21</v>
      </c>
    </row>
    <row r="54" spans="1:24" ht="26.25" hidden="1" customHeight="1">
      <c r="A54" s="17">
        <f t="shared" si="1"/>
        <v>51</v>
      </c>
      <c r="B54" s="18" t="s">
        <v>105</v>
      </c>
      <c r="C54" s="31" t="s">
        <v>402</v>
      </c>
      <c r="D54" s="19" t="s">
        <v>394</v>
      </c>
      <c r="E54" s="20" t="s">
        <v>403</v>
      </c>
      <c r="F54" s="32" t="s">
        <v>404</v>
      </c>
      <c r="G54" s="33" t="s">
        <v>42</v>
      </c>
      <c r="H54" s="23" t="s">
        <v>405</v>
      </c>
      <c r="I54" s="24" t="s">
        <v>55</v>
      </c>
      <c r="J54" s="1" t="str">
        <f t="shared" si="0"/>
        <v/>
      </c>
      <c r="K54" s="1"/>
      <c r="L54" s="1"/>
      <c r="M54" s="130">
        <v>51</v>
      </c>
      <c r="N54" s="130" t="s">
        <v>4337</v>
      </c>
      <c r="O54" s="131" t="s">
        <v>4422</v>
      </c>
      <c r="P54" s="130" t="s">
        <v>361</v>
      </c>
      <c r="Q54" s="130" t="s">
        <v>3367</v>
      </c>
      <c r="R54" s="130">
        <v>6</v>
      </c>
      <c r="S54" s="130" t="s">
        <v>4347</v>
      </c>
      <c r="T54" s="130" t="s">
        <v>4423</v>
      </c>
      <c r="U54" s="129"/>
      <c r="V54" s="129"/>
      <c r="W54" s="129"/>
      <c r="X54" s="129" t="s">
        <v>21</v>
      </c>
    </row>
    <row r="55" spans="1:24" ht="26.25" hidden="1" customHeight="1">
      <c r="A55" s="17">
        <f t="shared" si="1"/>
        <v>52</v>
      </c>
      <c r="B55" s="18" t="s">
        <v>132</v>
      </c>
      <c r="C55" s="31" t="s">
        <v>409</v>
      </c>
      <c r="D55" s="19" t="s">
        <v>394</v>
      </c>
      <c r="E55" s="20" t="s">
        <v>410</v>
      </c>
      <c r="F55" s="32" t="s">
        <v>142</v>
      </c>
      <c r="G55" s="22" t="s">
        <v>42</v>
      </c>
      <c r="H55" s="23" t="s">
        <v>411</v>
      </c>
      <c r="I55" s="24" t="s">
        <v>55</v>
      </c>
      <c r="J55" s="1" t="str">
        <f t="shared" si="0"/>
        <v/>
      </c>
      <c r="K55" s="1"/>
      <c r="L55" s="1"/>
      <c r="M55" s="130">
        <v>52</v>
      </c>
      <c r="N55" s="130" t="s">
        <v>4337</v>
      </c>
      <c r="O55" s="131" t="s">
        <v>1712</v>
      </c>
      <c r="P55" s="130" t="s">
        <v>255</v>
      </c>
      <c r="Q55" s="130" t="s">
        <v>1713</v>
      </c>
      <c r="R55" s="130">
        <v>10</v>
      </c>
      <c r="S55" s="130" t="s">
        <v>4347</v>
      </c>
      <c r="T55" s="130" t="s">
        <v>4424</v>
      </c>
      <c r="U55" s="129"/>
      <c r="V55" s="129"/>
      <c r="W55" s="129"/>
      <c r="X55" s="129" t="s">
        <v>21</v>
      </c>
    </row>
    <row r="56" spans="1:24" ht="26.25" hidden="1" customHeight="1">
      <c r="A56" s="17">
        <f t="shared" si="1"/>
        <v>53</v>
      </c>
      <c r="B56" s="18" t="s">
        <v>37</v>
      </c>
      <c r="C56" s="31" t="s">
        <v>414</v>
      </c>
      <c r="D56" s="19" t="s">
        <v>394</v>
      </c>
      <c r="E56" s="20" t="s">
        <v>415</v>
      </c>
      <c r="F56" s="32" t="s">
        <v>416</v>
      </c>
      <c r="G56" s="22" t="s">
        <v>31</v>
      </c>
      <c r="H56" s="23" t="s">
        <v>417</v>
      </c>
      <c r="I56" s="24" t="s">
        <v>55</v>
      </c>
      <c r="J56" s="1" t="str">
        <f t="shared" si="0"/>
        <v/>
      </c>
      <c r="K56" s="1"/>
      <c r="L56" s="1"/>
      <c r="M56" s="130">
        <v>53</v>
      </c>
      <c r="N56" s="130" t="s">
        <v>4337</v>
      </c>
      <c r="O56" s="131" t="s">
        <v>1730</v>
      </c>
      <c r="P56" s="130" t="s">
        <v>255</v>
      </c>
      <c r="Q56" s="130" t="s">
        <v>1731</v>
      </c>
      <c r="R56" s="132">
        <v>12</v>
      </c>
      <c r="S56" s="130" t="s">
        <v>4347</v>
      </c>
      <c r="T56" s="130" t="s">
        <v>4425</v>
      </c>
      <c r="U56" s="129"/>
      <c r="V56" s="129"/>
      <c r="W56" s="129"/>
      <c r="X56" s="129" t="s">
        <v>21</v>
      </c>
    </row>
    <row r="57" spans="1:24" ht="26.25" customHeight="1">
      <c r="A57" s="17">
        <f t="shared" si="1"/>
        <v>54</v>
      </c>
      <c r="B57" s="18" t="s">
        <v>175</v>
      </c>
      <c r="C57" s="31" t="s">
        <v>420</v>
      </c>
      <c r="D57" s="19" t="s">
        <v>394</v>
      </c>
      <c r="E57" s="20" t="s">
        <v>421</v>
      </c>
      <c r="F57" s="21" t="s">
        <v>422</v>
      </c>
      <c r="G57" s="33" t="s">
        <v>42</v>
      </c>
      <c r="H57" s="23" t="s">
        <v>423</v>
      </c>
      <c r="I57" s="34" t="s">
        <v>20</v>
      </c>
      <c r="J57" s="1" t="str">
        <f t="shared" si="0"/>
        <v>과기</v>
      </c>
      <c r="K57" s="25"/>
      <c r="L57" s="25"/>
      <c r="M57" s="133">
        <v>54</v>
      </c>
      <c r="N57" s="133" t="s">
        <v>4337</v>
      </c>
      <c r="O57" s="134" t="s">
        <v>1736</v>
      </c>
      <c r="P57" s="133" t="s">
        <v>255</v>
      </c>
      <c r="Q57" s="133" t="s">
        <v>1737</v>
      </c>
      <c r="R57" s="133">
        <v>6</v>
      </c>
      <c r="S57" s="133" t="s">
        <v>4347</v>
      </c>
      <c r="T57" s="133" t="s">
        <v>4426</v>
      </c>
      <c r="U57" s="135"/>
      <c r="V57" s="135"/>
      <c r="W57" s="135"/>
      <c r="X57" s="135" t="s">
        <v>21</v>
      </c>
    </row>
    <row r="58" spans="1:24" ht="26.25" hidden="1" customHeight="1">
      <c r="A58" s="17">
        <f t="shared" si="1"/>
        <v>55</v>
      </c>
      <c r="B58" s="18" t="s">
        <v>146</v>
      </c>
      <c r="C58" s="31" t="s">
        <v>426</v>
      </c>
      <c r="D58" s="19" t="s">
        <v>427</v>
      </c>
      <c r="E58" s="20"/>
      <c r="F58" s="32" t="s">
        <v>428</v>
      </c>
      <c r="G58" s="33" t="s">
        <v>53</v>
      </c>
      <c r="H58" s="23" t="s">
        <v>429</v>
      </c>
      <c r="I58" s="24" t="s">
        <v>55</v>
      </c>
      <c r="J58" s="1" t="str">
        <f t="shared" si="0"/>
        <v/>
      </c>
      <c r="K58" s="1"/>
      <c r="L58" s="1"/>
      <c r="M58" s="130">
        <v>55</v>
      </c>
      <c r="N58" s="130" t="s">
        <v>4337</v>
      </c>
      <c r="O58" s="131" t="s">
        <v>1743</v>
      </c>
      <c r="P58" s="130" t="s">
        <v>558</v>
      </c>
      <c r="Q58" s="130" t="s">
        <v>1744</v>
      </c>
      <c r="R58" s="130">
        <v>10</v>
      </c>
      <c r="S58" s="129"/>
      <c r="T58" s="130" t="s">
        <v>4427</v>
      </c>
      <c r="U58" s="129"/>
      <c r="V58" s="129"/>
      <c r="W58" s="129"/>
      <c r="X58" s="129" t="s">
        <v>21</v>
      </c>
    </row>
    <row r="59" spans="1:24" ht="26.25" hidden="1" customHeight="1">
      <c r="A59" s="17">
        <f t="shared" si="1"/>
        <v>56</v>
      </c>
      <c r="B59" s="18" t="s">
        <v>27</v>
      </c>
      <c r="C59" s="31" t="s">
        <v>433</v>
      </c>
      <c r="D59" s="19" t="s">
        <v>271</v>
      </c>
      <c r="E59" s="20" t="s">
        <v>434</v>
      </c>
      <c r="F59" s="32" t="s">
        <v>222</v>
      </c>
      <c r="G59" s="22" t="s">
        <v>42</v>
      </c>
      <c r="H59" s="23" t="s">
        <v>435</v>
      </c>
      <c r="I59" s="24" t="s">
        <v>55</v>
      </c>
      <c r="J59" s="1" t="str">
        <f t="shared" si="0"/>
        <v/>
      </c>
      <c r="K59" s="1"/>
      <c r="L59" s="1"/>
      <c r="M59" s="130">
        <v>56</v>
      </c>
      <c r="N59" s="130" t="s">
        <v>4337</v>
      </c>
      <c r="O59" s="131" t="s">
        <v>1748</v>
      </c>
      <c r="P59" s="130" t="s">
        <v>558</v>
      </c>
      <c r="Q59" s="130" t="s">
        <v>1749</v>
      </c>
      <c r="R59" s="130">
        <v>10</v>
      </c>
      <c r="S59" s="129"/>
      <c r="T59" s="130" t="s">
        <v>4428</v>
      </c>
      <c r="U59" s="129"/>
      <c r="V59" s="129"/>
      <c r="W59" s="129"/>
      <c r="X59" s="129" t="s">
        <v>21</v>
      </c>
    </row>
    <row r="60" spans="1:24" ht="26.25" hidden="1" customHeight="1">
      <c r="A60" s="17">
        <f t="shared" si="1"/>
        <v>57</v>
      </c>
      <c r="B60" s="18" t="s">
        <v>132</v>
      </c>
      <c r="C60" s="19" t="s">
        <v>439</v>
      </c>
      <c r="D60" s="39" t="s">
        <v>440</v>
      </c>
      <c r="E60" s="20" t="s">
        <v>441</v>
      </c>
      <c r="F60" s="40" t="s">
        <v>4429</v>
      </c>
      <c r="G60" s="22" t="s">
        <v>53</v>
      </c>
      <c r="H60" s="41" t="s">
        <v>443</v>
      </c>
      <c r="I60" s="24" t="s">
        <v>20</v>
      </c>
      <c r="J60" s="1" t="str">
        <f t="shared" si="0"/>
        <v>FRIC</v>
      </c>
      <c r="K60" s="1"/>
      <c r="L60" s="1"/>
      <c r="M60" s="130">
        <v>57</v>
      </c>
      <c r="N60" s="130" t="s">
        <v>4337</v>
      </c>
      <c r="O60" s="131" t="s">
        <v>4430</v>
      </c>
      <c r="P60" s="130" t="s">
        <v>255</v>
      </c>
      <c r="Q60" s="130" t="s">
        <v>1766</v>
      </c>
      <c r="R60" s="130">
        <v>12</v>
      </c>
      <c r="S60" s="130" t="s">
        <v>4347</v>
      </c>
      <c r="T60" s="130" t="s">
        <v>4431</v>
      </c>
      <c r="U60" s="129"/>
      <c r="V60" s="129"/>
      <c r="W60" s="129"/>
      <c r="X60" s="129" t="s">
        <v>21</v>
      </c>
    </row>
    <row r="61" spans="1:24" ht="26.25" hidden="1" customHeight="1">
      <c r="A61" s="17">
        <f t="shared" si="1"/>
        <v>58</v>
      </c>
      <c r="B61" s="18" t="s">
        <v>132</v>
      </c>
      <c r="C61" s="31" t="s">
        <v>446</v>
      </c>
      <c r="D61" s="19" t="s">
        <v>447</v>
      </c>
      <c r="E61" s="20" t="s">
        <v>448</v>
      </c>
      <c r="F61" s="32" t="s">
        <v>449</v>
      </c>
      <c r="G61" s="22" t="s">
        <v>42</v>
      </c>
      <c r="H61" s="23" t="s">
        <v>450</v>
      </c>
      <c r="I61" s="24" t="s">
        <v>55</v>
      </c>
      <c r="J61" s="1" t="str">
        <f t="shared" si="0"/>
        <v/>
      </c>
      <c r="K61" s="1"/>
      <c r="L61" s="1"/>
      <c r="M61" s="130">
        <v>58</v>
      </c>
      <c r="N61" s="130" t="s">
        <v>4337</v>
      </c>
      <c r="O61" s="131" t="s">
        <v>4432</v>
      </c>
      <c r="P61" s="130" t="s">
        <v>1162</v>
      </c>
      <c r="Q61" s="130" t="s">
        <v>3479</v>
      </c>
      <c r="R61" s="130">
        <v>4</v>
      </c>
      <c r="S61" s="130" t="s">
        <v>4347</v>
      </c>
      <c r="T61" s="130" t="s">
        <v>4433</v>
      </c>
      <c r="U61" s="130" t="s">
        <v>20</v>
      </c>
      <c r="V61" s="129"/>
      <c r="W61" s="129"/>
      <c r="X61" s="129" t="s">
        <v>21</v>
      </c>
    </row>
    <row r="62" spans="1:24" ht="26.25" hidden="1" customHeight="1">
      <c r="A62" s="17">
        <f t="shared" si="1"/>
        <v>59</v>
      </c>
      <c r="B62" s="18" t="s">
        <v>175</v>
      </c>
      <c r="C62" s="31" t="s">
        <v>453</v>
      </c>
      <c r="D62" s="19" t="s">
        <v>196</v>
      </c>
      <c r="E62" s="20" t="s">
        <v>454</v>
      </c>
      <c r="F62" s="32" t="s">
        <v>455</v>
      </c>
      <c r="G62" s="33" t="s">
        <v>42</v>
      </c>
      <c r="H62" s="23" t="s">
        <v>456</v>
      </c>
      <c r="I62" s="24" t="s">
        <v>55</v>
      </c>
      <c r="J62" s="1" t="str">
        <f t="shared" si="0"/>
        <v/>
      </c>
      <c r="K62" s="1"/>
      <c r="L62" s="1"/>
      <c r="M62" s="130">
        <v>59</v>
      </c>
      <c r="N62" s="130" t="s">
        <v>4337</v>
      </c>
      <c r="O62" s="131" t="s">
        <v>4434</v>
      </c>
      <c r="P62" s="130" t="s">
        <v>1042</v>
      </c>
      <c r="Q62" s="130" t="s">
        <v>1790</v>
      </c>
      <c r="R62" s="130">
        <v>8</v>
      </c>
      <c r="S62" s="129"/>
      <c r="T62" s="130" t="s">
        <v>4435</v>
      </c>
      <c r="U62" s="130" t="s">
        <v>20</v>
      </c>
      <c r="V62" s="129"/>
      <c r="W62" s="129"/>
      <c r="X62" s="129" t="s">
        <v>21</v>
      </c>
    </row>
    <row r="63" spans="1:24" ht="26.25" customHeight="1">
      <c r="A63" s="17">
        <f t="shared" si="1"/>
        <v>60</v>
      </c>
      <c r="B63" s="18" t="s">
        <v>105</v>
      </c>
      <c r="C63" s="31" t="s">
        <v>459</v>
      </c>
      <c r="D63" s="19" t="s">
        <v>460</v>
      </c>
      <c r="E63" s="20" t="s">
        <v>461</v>
      </c>
      <c r="F63" s="21" t="s">
        <v>462</v>
      </c>
      <c r="G63" s="33" t="s">
        <v>42</v>
      </c>
      <c r="H63" s="23" t="s">
        <v>463</v>
      </c>
      <c r="I63" s="34" t="s">
        <v>20</v>
      </c>
      <c r="J63" s="1" t="str">
        <f t="shared" si="0"/>
        <v>과기</v>
      </c>
      <c r="K63" s="25"/>
      <c r="L63" s="25"/>
      <c r="M63" s="133">
        <v>60</v>
      </c>
      <c r="N63" s="133" t="s">
        <v>4337</v>
      </c>
      <c r="O63" s="134" t="s">
        <v>1803</v>
      </c>
      <c r="P63" s="133" t="s">
        <v>4436</v>
      </c>
      <c r="Q63" s="133" t="s">
        <v>1805</v>
      </c>
      <c r="R63" s="133">
        <v>4</v>
      </c>
      <c r="S63" s="135"/>
      <c r="T63" s="133" t="s">
        <v>4437</v>
      </c>
      <c r="U63" s="135"/>
      <c r="V63" s="135"/>
      <c r="W63" s="135"/>
      <c r="X63" s="135" t="s">
        <v>21</v>
      </c>
    </row>
    <row r="64" spans="1:24" ht="26.25" hidden="1" customHeight="1">
      <c r="A64" s="17">
        <f t="shared" si="1"/>
        <v>61</v>
      </c>
      <c r="B64" s="18" t="s">
        <v>105</v>
      </c>
      <c r="C64" s="31" t="s">
        <v>467</v>
      </c>
      <c r="D64" s="19" t="s">
        <v>468</v>
      </c>
      <c r="E64" s="20" t="s">
        <v>469</v>
      </c>
      <c r="F64" s="32" t="s">
        <v>170</v>
      </c>
      <c r="G64" s="33" t="s">
        <v>42</v>
      </c>
      <c r="H64" s="23" t="s">
        <v>470</v>
      </c>
      <c r="I64" s="24" t="s">
        <v>55</v>
      </c>
      <c r="J64" s="1" t="str">
        <f t="shared" si="0"/>
        <v/>
      </c>
      <c r="K64" s="1"/>
      <c r="L64" s="1"/>
      <c r="M64" s="130">
        <v>61</v>
      </c>
      <c r="N64" s="130" t="s">
        <v>4337</v>
      </c>
      <c r="O64" s="131" t="s">
        <v>1814</v>
      </c>
      <c r="P64" s="130" t="s">
        <v>1042</v>
      </c>
      <c r="Q64" s="130" t="s">
        <v>1815</v>
      </c>
      <c r="R64" s="130">
        <v>12</v>
      </c>
      <c r="S64" s="129"/>
      <c r="T64" s="130" t="s">
        <v>4435</v>
      </c>
      <c r="U64" s="130" t="s">
        <v>20</v>
      </c>
      <c r="V64" s="129"/>
      <c r="W64" s="129"/>
      <c r="X64" s="129" t="s">
        <v>21</v>
      </c>
    </row>
    <row r="65" spans="1:24" ht="26.25" customHeight="1">
      <c r="A65" s="17">
        <f t="shared" si="1"/>
        <v>62</v>
      </c>
      <c r="B65" s="18" t="s">
        <v>105</v>
      </c>
      <c r="C65" s="31" t="s">
        <v>474</v>
      </c>
      <c r="D65" s="19" t="s">
        <v>124</v>
      </c>
      <c r="E65" s="20" t="s">
        <v>475</v>
      </c>
      <c r="F65" s="21" t="s">
        <v>135</v>
      </c>
      <c r="G65" s="33" t="s">
        <v>42</v>
      </c>
      <c r="H65" s="23" t="s">
        <v>476</v>
      </c>
      <c r="I65" s="24" t="s">
        <v>20</v>
      </c>
      <c r="J65" s="1" t="str">
        <f t="shared" si="0"/>
        <v>과기</v>
      </c>
      <c r="K65" s="1"/>
      <c r="L65" s="1"/>
      <c r="M65" s="130">
        <v>62</v>
      </c>
      <c r="N65" s="130" t="s">
        <v>4337</v>
      </c>
      <c r="O65" s="131" t="s">
        <v>1820</v>
      </c>
      <c r="P65" s="130" t="s">
        <v>4438</v>
      </c>
      <c r="Q65" s="130" t="s">
        <v>1822</v>
      </c>
      <c r="R65" s="130">
        <v>4</v>
      </c>
      <c r="S65" s="129"/>
      <c r="T65" s="130" t="s">
        <v>4439</v>
      </c>
      <c r="U65" s="130" t="s">
        <v>20</v>
      </c>
      <c r="V65" s="129"/>
      <c r="W65" s="129"/>
      <c r="X65" s="129" t="s">
        <v>21</v>
      </c>
    </row>
    <row r="66" spans="1:24" ht="26.25" hidden="1" customHeight="1">
      <c r="A66" s="17">
        <f t="shared" si="1"/>
        <v>63</v>
      </c>
      <c r="B66" s="18" t="s">
        <v>13</v>
      </c>
      <c r="C66" s="31" t="s">
        <v>123</v>
      </c>
      <c r="D66" s="19" t="s">
        <v>480</v>
      </c>
      <c r="E66" s="20" t="s">
        <v>481</v>
      </c>
      <c r="F66" s="21" t="s">
        <v>482</v>
      </c>
      <c r="G66" s="22" t="s">
        <v>18</v>
      </c>
      <c r="H66" s="23" t="s">
        <v>483</v>
      </c>
      <c r="I66" s="24" t="s">
        <v>20</v>
      </c>
      <c r="J66" s="1" t="str">
        <f t="shared" si="0"/>
        <v>FRIC</v>
      </c>
      <c r="K66" s="1"/>
      <c r="L66" s="1"/>
      <c r="M66" s="130">
        <v>63</v>
      </c>
      <c r="N66" s="130" t="s">
        <v>4337</v>
      </c>
      <c r="O66" s="131" t="s">
        <v>4440</v>
      </c>
      <c r="P66" s="130" t="s">
        <v>255</v>
      </c>
      <c r="Q66" s="130" t="s">
        <v>3370</v>
      </c>
      <c r="R66" s="130">
        <v>14</v>
      </c>
      <c r="S66" s="130" t="s">
        <v>4347</v>
      </c>
      <c r="T66" s="130" t="s">
        <v>4441</v>
      </c>
      <c r="U66" s="129"/>
      <c r="V66" s="129"/>
      <c r="W66" s="129"/>
      <c r="X66" s="129" t="s">
        <v>21</v>
      </c>
    </row>
    <row r="67" spans="1:24" ht="26.25" hidden="1" customHeight="1">
      <c r="A67" s="17">
        <f t="shared" si="1"/>
        <v>64</v>
      </c>
      <c r="B67" s="18" t="s">
        <v>13</v>
      </c>
      <c r="C67" s="19" t="s">
        <v>487</v>
      </c>
      <c r="D67" s="19" t="s">
        <v>488</v>
      </c>
      <c r="E67" s="20" t="s">
        <v>489</v>
      </c>
      <c r="F67" s="21" t="s">
        <v>490</v>
      </c>
      <c r="G67" s="22" t="s">
        <v>63</v>
      </c>
      <c r="H67" s="23" t="s">
        <v>491</v>
      </c>
      <c r="I67" s="24" t="s">
        <v>20</v>
      </c>
      <c r="J67" s="1" t="str">
        <f t="shared" si="0"/>
        <v>FRIC</v>
      </c>
      <c r="K67" s="1"/>
      <c r="L67" s="1"/>
      <c r="M67" s="130">
        <v>64</v>
      </c>
      <c r="N67" s="130" t="s">
        <v>4337</v>
      </c>
      <c r="O67" s="131" t="s">
        <v>1831</v>
      </c>
      <c r="P67" s="130" t="s">
        <v>255</v>
      </c>
      <c r="Q67" s="130" t="s">
        <v>1832</v>
      </c>
      <c r="R67" s="130">
        <v>8</v>
      </c>
      <c r="S67" s="130" t="s">
        <v>4347</v>
      </c>
      <c r="T67" s="130" t="s">
        <v>4442</v>
      </c>
      <c r="U67" s="129"/>
      <c r="V67" s="129"/>
      <c r="W67" s="129"/>
      <c r="X67" s="129" t="s">
        <v>21</v>
      </c>
    </row>
    <row r="68" spans="1:24" ht="26.25" hidden="1" customHeight="1">
      <c r="A68" s="17">
        <f t="shared" si="1"/>
        <v>65</v>
      </c>
      <c r="B68" s="18" t="s">
        <v>13</v>
      </c>
      <c r="C68" s="31" t="s">
        <v>494</v>
      </c>
      <c r="D68" s="19" t="s">
        <v>480</v>
      </c>
      <c r="E68" s="20" t="s">
        <v>495</v>
      </c>
      <c r="F68" s="32" t="s">
        <v>496</v>
      </c>
      <c r="G68" s="22" t="s">
        <v>53</v>
      </c>
      <c r="H68" s="23" t="s">
        <v>497</v>
      </c>
      <c r="I68" s="24" t="s">
        <v>55</v>
      </c>
      <c r="J68" s="1" t="str">
        <f t="shared" si="0"/>
        <v/>
      </c>
      <c r="K68" s="1"/>
      <c r="L68" s="1"/>
      <c r="M68" s="130">
        <v>65</v>
      </c>
      <c r="N68" s="130" t="s">
        <v>4337</v>
      </c>
      <c r="O68" s="131" t="s">
        <v>1837</v>
      </c>
      <c r="P68" s="130" t="s">
        <v>4443</v>
      </c>
      <c r="Q68" s="130" t="s">
        <v>1839</v>
      </c>
      <c r="R68" s="130">
        <v>4</v>
      </c>
      <c r="S68" s="129"/>
      <c r="T68" s="130" t="s">
        <v>4444</v>
      </c>
      <c r="U68" s="130" t="s">
        <v>20</v>
      </c>
      <c r="V68" s="129"/>
      <c r="W68" s="129"/>
      <c r="X68" s="129" t="s">
        <v>21</v>
      </c>
    </row>
    <row r="69" spans="1:24" ht="26.25" hidden="1" customHeight="1">
      <c r="A69" s="17">
        <f t="shared" si="1"/>
        <v>66</v>
      </c>
      <c r="B69" s="18" t="s">
        <v>13</v>
      </c>
      <c r="C69" s="19" t="s">
        <v>502</v>
      </c>
      <c r="D69" s="19" t="s">
        <v>503</v>
      </c>
      <c r="E69" s="20" t="s">
        <v>504</v>
      </c>
      <c r="F69" s="21" t="s">
        <v>505</v>
      </c>
      <c r="G69" s="22" t="s">
        <v>18</v>
      </c>
      <c r="H69" s="23" t="s">
        <v>506</v>
      </c>
      <c r="I69" s="24" t="s">
        <v>20</v>
      </c>
      <c r="J69" s="1" t="str">
        <f t="shared" si="0"/>
        <v>FRIC</v>
      </c>
      <c r="K69" s="1"/>
      <c r="L69" s="1"/>
      <c r="M69" s="130">
        <v>66</v>
      </c>
      <c r="N69" s="130" t="s">
        <v>4337</v>
      </c>
      <c r="O69" s="131" t="s">
        <v>1891</v>
      </c>
      <c r="P69" s="130" t="s">
        <v>1042</v>
      </c>
      <c r="Q69" s="130" t="s">
        <v>1892</v>
      </c>
      <c r="R69" s="130">
        <v>12</v>
      </c>
      <c r="S69" s="129"/>
      <c r="T69" s="130" t="s">
        <v>4445</v>
      </c>
      <c r="U69" s="130" t="s">
        <v>20</v>
      </c>
      <c r="V69" s="129"/>
      <c r="W69" s="129"/>
      <c r="X69" s="129" t="s">
        <v>21</v>
      </c>
    </row>
    <row r="70" spans="1:24" ht="26.25" hidden="1" customHeight="1">
      <c r="A70" s="17">
        <f t="shared" si="1"/>
        <v>67</v>
      </c>
      <c r="B70" s="18" t="s">
        <v>13</v>
      </c>
      <c r="C70" s="19" t="s">
        <v>510</v>
      </c>
      <c r="D70" s="19" t="s">
        <v>191</v>
      </c>
      <c r="E70" s="20" t="s">
        <v>511</v>
      </c>
      <c r="F70" s="21" t="s">
        <v>135</v>
      </c>
      <c r="G70" s="22" t="s">
        <v>18</v>
      </c>
      <c r="H70" s="23" t="s">
        <v>512</v>
      </c>
      <c r="I70" s="24" t="s">
        <v>20</v>
      </c>
      <c r="J70" s="1" t="str">
        <f t="shared" si="0"/>
        <v>FRIC</v>
      </c>
      <c r="K70" s="1"/>
      <c r="L70" s="1"/>
      <c r="M70" s="130">
        <v>67</v>
      </c>
      <c r="N70" s="130" t="s">
        <v>4337</v>
      </c>
      <c r="O70" s="131" t="s">
        <v>1895</v>
      </c>
      <c r="P70" s="130" t="s">
        <v>112</v>
      </c>
      <c r="Q70" s="130" t="s">
        <v>1896</v>
      </c>
      <c r="R70" s="130">
        <v>4</v>
      </c>
      <c r="S70" s="129"/>
      <c r="T70" s="130" t="s">
        <v>4446</v>
      </c>
      <c r="U70" s="130" t="s">
        <v>53</v>
      </c>
      <c r="V70" s="129" t="s">
        <v>4342</v>
      </c>
      <c r="W70" s="129"/>
      <c r="X70" s="129" t="s">
        <v>21</v>
      </c>
    </row>
    <row r="71" spans="1:24" ht="26.25" hidden="1" customHeight="1">
      <c r="A71" s="17">
        <f t="shared" si="1"/>
        <v>68</v>
      </c>
      <c r="B71" s="18" t="s">
        <v>105</v>
      </c>
      <c r="C71" s="31" t="s">
        <v>516</v>
      </c>
      <c r="D71" s="19" t="s">
        <v>517</v>
      </c>
      <c r="E71" s="20" t="s">
        <v>518</v>
      </c>
      <c r="F71" s="32" t="s">
        <v>519</v>
      </c>
      <c r="G71" s="33" t="s">
        <v>42</v>
      </c>
      <c r="H71" s="23" t="s">
        <v>520</v>
      </c>
      <c r="I71" s="24" t="s">
        <v>55</v>
      </c>
      <c r="J71" s="1" t="str">
        <f t="shared" si="0"/>
        <v/>
      </c>
      <c r="K71" s="1"/>
      <c r="L71" s="1"/>
      <c r="M71" s="130">
        <v>68</v>
      </c>
      <c r="N71" s="130" t="s">
        <v>4337</v>
      </c>
      <c r="O71" s="131" t="s">
        <v>1898</v>
      </c>
      <c r="P71" s="130" t="s">
        <v>1042</v>
      </c>
      <c r="Q71" s="130" t="s">
        <v>1899</v>
      </c>
      <c r="R71" s="130">
        <v>12</v>
      </c>
      <c r="S71" s="129"/>
      <c r="T71" s="130" t="s">
        <v>4435</v>
      </c>
      <c r="U71" s="130" t="s">
        <v>20</v>
      </c>
      <c r="V71" s="129"/>
      <c r="W71" s="129"/>
      <c r="X71" s="129" t="s">
        <v>21</v>
      </c>
    </row>
    <row r="72" spans="1:24" ht="26.25" hidden="1" customHeight="1">
      <c r="A72" s="17">
        <f t="shared" si="1"/>
        <v>69</v>
      </c>
      <c r="B72" s="18" t="s">
        <v>132</v>
      </c>
      <c r="C72" s="31" t="s">
        <v>524</v>
      </c>
      <c r="D72" s="19" t="s">
        <v>525</v>
      </c>
      <c r="E72" s="20" t="s">
        <v>526</v>
      </c>
      <c r="F72" s="32" t="s">
        <v>170</v>
      </c>
      <c r="G72" s="22" t="s">
        <v>42</v>
      </c>
      <c r="H72" s="23" t="s">
        <v>527</v>
      </c>
      <c r="I72" s="24" t="s">
        <v>55</v>
      </c>
      <c r="J72" s="1" t="str">
        <f t="shared" si="0"/>
        <v/>
      </c>
      <c r="K72" s="1"/>
      <c r="L72" s="1"/>
      <c r="M72" s="130">
        <v>69</v>
      </c>
      <c r="N72" s="130" t="s">
        <v>4337</v>
      </c>
      <c r="O72" s="131" t="s">
        <v>1901</v>
      </c>
      <c r="P72" s="130" t="s">
        <v>361</v>
      </c>
      <c r="Q72" s="130" t="s">
        <v>1902</v>
      </c>
      <c r="R72" s="130">
        <v>4</v>
      </c>
      <c r="S72" s="130" t="s">
        <v>4347</v>
      </c>
      <c r="T72" s="130" t="s">
        <v>4447</v>
      </c>
      <c r="U72" s="129"/>
      <c r="V72" s="129"/>
      <c r="W72" s="129"/>
      <c r="X72" s="129" t="s">
        <v>21</v>
      </c>
    </row>
    <row r="73" spans="1:24" ht="26.25" hidden="1" customHeight="1">
      <c r="A73" s="17">
        <f t="shared" si="1"/>
        <v>70</v>
      </c>
      <c r="B73" s="18" t="s">
        <v>13</v>
      </c>
      <c r="C73" s="33" t="s">
        <v>532</v>
      </c>
      <c r="D73" s="42" t="s">
        <v>533</v>
      </c>
      <c r="E73" s="43" t="s">
        <v>534</v>
      </c>
      <c r="F73" s="44">
        <v>2019</v>
      </c>
      <c r="G73" s="22" t="s">
        <v>53</v>
      </c>
      <c r="H73" s="59" t="s">
        <v>535</v>
      </c>
      <c r="I73" s="24" t="s">
        <v>55</v>
      </c>
      <c r="J73" s="1" t="str">
        <f t="shared" si="0"/>
        <v/>
      </c>
      <c r="K73" s="1"/>
      <c r="L73" s="1"/>
      <c r="M73" s="130">
        <v>70</v>
      </c>
      <c r="N73" s="130" t="s">
        <v>4337</v>
      </c>
      <c r="O73" s="131" t="s">
        <v>1904</v>
      </c>
      <c r="P73" s="130" t="s">
        <v>255</v>
      </c>
      <c r="Q73" s="130" t="s">
        <v>1905</v>
      </c>
      <c r="R73" s="130">
        <v>6</v>
      </c>
      <c r="S73" s="130" t="s">
        <v>4347</v>
      </c>
      <c r="T73" s="130" t="s">
        <v>4448</v>
      </c>
      <c r="U73" s="129"/>
      <c r="V73" s="129"/>
      <c r="W73" s="129"/>
      <c r="X73" s="129" t="s">
        <v>21</v>
      </c>
    </row>
    <row r="74" spans="1:24" ht="26.25" hidden="1" customHeight="1">
      <c r="A74" s="17">
        <f t="shared" si="1"/>
        <v>71</v>
      </c>
      <c r="B74" s="18" t="s">
        <v>175</v>
      </c>
      <c r="C74" s="31" t="s">
        <v>539</v>
      </c>
      <c r="D74" s="19" t="s">
        <v>540</v>
      </c>
      <c r="E74" s="20" t="s">
        <v>541</v>
      </c>
      <c r="F74" s="32" t="s">
        <v>542</v>
      </c>
      <c r="G74" s="33" t="s">
        <v>42</v>
      </c>
      <c r="H74" s="23" t="s">
        <v>543</v>
      </c>
      <c r="I74" s="24" t="s">
        <v>55</v>
      </c>
      <c r="J74" s="1" t="str">
        <f t="shared" si="0"/>
        <v/>
      </c>
      <c r="K74" s="1"/>
      <c r="L74" s="1"/>
      <c r="M74" s="130">
        <v>71</v>
      </c>
      <c r="N74" s="130" t="s">
        <v>4337</v>
      </c>
      <c r="O74" s="131" t="s">
        <v>1907</v>
      </c>
      <c r="P74" s="130" t="s">
        <v>361</v>
      </c>
      <c r="Q74" s="130" t="s">
        <v>1908</v>
      </c>
      <c r="R74" s="130">
        <v>8</v>
      </c>
      <c r="S74" s="130" t="s">
        <v>4347</v>
      </c>
      <c r="T74" s="130" t="s">
        <v>4449</v>
      </c>
      <c r="U74" s="129"/>
      <c r="V74" s="129"/>
      <c r="W74" s="129"/>
      <c r="X74" s="129" t="s">
        <v>21</v>
      </c>
    </row>
    <row r="75" spans="1:24" ht="26.25" hidden="1" customHeight="1">
      <c r="A75" s="17">
        <f t="shared" si="1"/>
        <v>72</v>
      </c>
      <c r="B75" s="18" t="s">
        <v>81</v>
      </c>
      <c r="C75" s="31" t="s">
        <v>547</v>
      </c>
      <c r="D75" s="19" t="s">
        <v>191</v>
      </c>
      <c r="E75" s="20" t="s">
        <v>548</v>
      </c>
      <c r="F75" s="32" t="s">
        <v>222</v>
      </c>
      <c r="G75" s="33" t="s">
        <v>42</v>
      </c>
      <c r="H75" s="23" t="s">
        <v>549</v>
      </c>
      <c r="I75" s="24" t="s">
        <v>55</v>
      </c>
      <c r="J75" s="1" t="str">
        <f t="shared" si="0"/>
        <v/>
      </c>
      <c r="K75" s="1"/>
      <c r="L75" s="1"/>
      <c r="M75" s="130">
        <v>72</v>
      </c>
      <c r="N75" s="130" t="s">
        <v>4337</v>
      </c>
      <c r="O75" s="131" t="s">
        <v>4450</v>
      </c>
      <c r="P75" s="130" t="s">
        <v>255</v>
      </c>
      <c r="Q75" s="130" t="s">
        <v>1916</v>
      </c>
      <c r="R75" s="130">
        <v>12</v>
      </c>
      <c r="S75" s="130" t="s">
        <v>4347</v>
      </c>
      <c r="T75" s="130" t="s">
        <v>4451</v>
      </c>
      <c r="U75" s="129"/>
      <c r="V75" s="129"/>
      <c r="W75" s="129"/>
      <c r="X75" s="129" t="s">
        <v>21</v>
      </c>
    </row>
    <row r="76" spans="1:24" ht="26.25" hidden="1" customHeight="1">
      <c r="A76" s="17">
        <f t="shared" si="1"/>
        <v>73</v>
      </c>
      <c r="B76" s="18" t="s">
        <v>248</v>
      </c>
      <c r="C76" s="31" t="s">
        <v>552</v>
      </c>
      <c r="D76" s="19" t="s">
        <v>553</v>
      </c>
      <c r="E76" s="20" t="s">
        <v>554</v>
      </c>
      <c r="F76" s="32" t="s">
        <v>555</v>
      </c>
      <c r="G76" s="33" t="s">
        <v>53</v>
      </c>
      <c r="H76" s="23" t="s">
        <v>556</v>
      </c>
      <c r="I76" s="24" t="s">
        <v>55</v>
      </c>
      <c r="J76" s="1" t="str">
        <f t="shared" si="0"/>
        <v/>
      </c>
      <c r="K76" s="1"/>
      <c r="L76" s="1"/>
      <c r="M76" s="130">
        <v>73</v>
      </c>
      <c r="N76" s="130" t="s">
        <v>4337</v>
      </c>
      <c r="O76" s="131" t="s">
        <v>4452</v>
      </c>
      <c r="P76" s="130" t="s">
        <v>196</v>
      </c>
      <c r="Q76" s="130" t="s">
        <v>1941</v>
      </c>
      <c r="R76" s="130">
        <v>12</v>
      </c>
      <c r="S76" s="129"/>
      <c r="T76" s="130" t="s">
        <v>4453</v>
      </c>
      <c r="U76" s="129"/>
      <c r="V76" s="129"/>
      <c r="W76" s="129"/>
      <c r="X76" s="129" t="s">
        <v>21</v>
      </c>
    </row>
    <row r="77" spans="1:24" ht="26.25" hidden="1" customHeight="1">
      <c r="A77" s="17">
        <f t="shared" si="1"/>
        <v>74</v>
      </c>
      <c r="B77" s="18" t="s">
        <v>13</v>
      </c>
      <c r="C77" s="31" t="s">
        <v>561</v>
      </c>
      <c r="D77" s="19" t="s">
        <v>562</v>
      </c>
      <c r="E77" s="20" t="s">
        <v>563</v>
      </c>
      <c r="F77" s="32" t="s">
        <v>564</v>
      </c>
      <c r="G77" s="22" t="s">
        <v>42</v>
      </c>
      <c r="H77" s="23" t="s">
        <v>565</v>
      </c>
      <c r="I77" s="24" t="s">
        <v>55</v>
      </c>
      <c r="J77" s="1" t="str">
        <f t="shared" si="0"/>
        <v/>
      </c>
      <c r="K77" s="1"/>
      <c r="L77" s="1"/>
      <c r="M77" s="130">
        <v>74</v>
      </c>
      <c r="N77" s="130" t="s">
        <v>4337</v>
      </c>
      <c r="O77" s="131" t="s">
        <v>4454</v>
      </c>
      <c r="P77" s="130" t="s">
        <v>4455</v>
      </c>
      <c r="Q77" s="130" t="s">
        <v>2430</v>
      </c>
      <c r="R77" s="130">
        <v>12</v>
      </c>
      <c r="S77" s="129"/>
      <c r="T77" s="130" t="s">
        <v>4456</v>
      </c>
      <c r="U77" s="129"/>
      <c r="V77" s="129"/>
      <c r="W77" s="129"/>
      <c r="X77" s="129" t="s">
        <v>21</v>
      </c>
    </row>
    <row r="78" spans="1:24" ht="26.25" hidden="1" customHeight="1">
      <c r="A78" s="17">
        <f t="shared" si="1"/>
        <v>75</v>
      </c>
      <c r="B78" s="18" t="s">
        <v>132</v>
      </c>
      <c r="C78" s="31" t="s">
        <v>569</v>
      </c>
      <c r="D78" s="19" t="s">
        <v>271</v>
      </c>
      <c r="E78" s="20" t="s">
        <v>570</v>
      </c>
      <c r="F78" s="32">
        <v>2010</v>
      </c>
      <c r="G78" s="22" t="s">
        <v>42</v>
      </c>
      <c r="H78" s="23" t="s">
        <v>571</v>
      </c>
      <c r="I78" s="24" t="s">
        <v>55</v>
      </c>
      <c r="J78" s="1" t="str">
        <f t="shared" si="0"/>
        <v/>
      </c>
      <c r="K78" s="1"/>
      <c r="L78" s="1"/>
      <c r="M78" s="130">
        <v>75</v>
      </c>
      <c r="N78" s="130" t="s">
        <v>4337</v>
      </c>
      <c r="O78" s="131" t="s">
        <v>3372</v>
      </c>
      <c r="P78" s="130" t="s">
        <v>255</v>
      </c>
      <c r="Q78" s="130" t="s">
        <v>3373</v>
      </c>
      <c r="R78" s="130">
        <v>16</v>
      </c>
      <c r="S78" s="130" t="s">
        <v>4347</v>
      </c>
      <c r="T78" s="130" t="s">
        <v>4457</v>
      </c>
      <c r="U78" s="129"/>
      <c r="V78" s="129"/>
      <c r="W78" s="129"/>
      <c r="X78" s="129" t="s">
        <v>21</v>
      </c>
    </row>
    <row r="79" spans="1:24" ht="26.25" hidden="1" customHeight="1">
      <c r="A79" s="17">
        <f t="shared" si="1"/>
        <v>76</v>
      </c>
      <c r="B79" s="18" t="s">
        <v>105</v>
      </c>
      <c r="C79" s="31" t="s">
        <v>574</v>
      </c>
      <c r="D79" s="19" t="s">
        <v>575</v>
      </c>
      <c r="E79" s="20" t="s">
        <v>576</v>
      </c>
      <c r="F79" s="32" t="s">
        <v>519</v>
      </c>
      <c r="G79" s="33" t="s">
        <v>42</v>
      </c>
      <c r="H79" s="23" t="s">
        <v>577</v>
      </c>
      <c r="I79" s="24" t="s">
        <v>55</v>
      </c>
      <c r="J79" s="1" t="str">
        <f t="shared" si="0"/>
        <v/>
      </c>
      <c r="K79" s="1"/>
      <c r="L79" s="1"/>
      <c r="M79" s="130">
        <v>76</v>
      </c>
      <c r="N79" s="130" t="s">
        <v>4337</v>
      </c>
      <c r="O79" s="131" t="s">
        <v>4458</v>
      </c>
      <c r="P79" s="130" t="s">
        <v>255</v>
      </c>
      <c r="Q79" s="130" t="s">
        <v>1977</v>
      </c>
      <c r="R79" s="130">
        <v>24</v>
      </c>
      <c r="S79" s="129"/>
      <c r="T79" s="130" t="s">
        <v>4459</v>
      </c>
      <c r="U79" s="129"/>
      <c r="V79" s="129"/>
      <c r="W79" s="129"/>
      <c r="X79" s="129" t="s">
        <v>21</v>
      </c>
    </row>
    <row r="80" spans="1:24" ht="26.25" hidden="1" customHeight="1">
      <c r="A80" s="17">
        <f t="shared" si="1"/>
        <v>77</v>
      </c>
      <c r="B80" s="18" t="s">
        <v>27</v>
      </c>
      <c r="C80" s="31" t="s">
        <v>581</v>
      </c>
      <c r="D80" s="19" t="s">
        <v>582</v>
      </c>
      <c r="E80" s="20" t="s">
        <v>583</v>
      </c>
      <c r="F80" s="32" t="s">
        <v>416</v>
      </c>
      <c r="G80" s="22" t="s">
        <v>42</v>
      </c>
      <c r="H80" s="23" t="s">
        <v>584</v>
      </c>
      <c r="I80" s="24" t="s">
        <v>55</v>
      </c>
      <c r="J80" s="1" t="str">
        <f t="shared" si="0"/>
        <v/>
      </c>
      <c r="K80" s="1"/>
      <c r="L80" s="1"/>
      <c r="M80" s="130">
        <v>77</v>
      </c>
      <c r="N80" s="130" t="s">
        <v>4337</v>
      </c>
      <c r="O80" s="136" t="s">
        <v>2003</v>
      </c>
      <c r="P80" s="137" t="s">
        <v>447</v>
      </c>
      <c r="Q80" s="130" t="s">
        <v>2005</v>
      </c>
      <c r="R80" s="130">
        <v>12</v>
      </c>
      <c r="S80" s="130" t="s">
        <v>4347</v>
      </c>
      <c r="T80" s="130" t="s">
        <v>4460</v>
      </c>
      <c r="U80" s="130" t="s">
        <v>53</v>
      </c>
      <c r="V80" s="129" t="s">
        <v>4342</v>
      </c>
      <c r="W80" s="129"/>
      <c r="X80" s="129" t="s">
        <v>21</v>
      </c>
    </row>
    <row r="81" spans="1:24" ht="26.25" hidden="1" customHeight="1">
      <c r="A81" s="17">
        <f t="shared" si="1"/>
        <v>78</v>
      </c>
      <c r="B81" s="18" t="s">
        <v>27</v>
      </c>
      <c r="C81" s="31" t="s">
        <v>587</v>
      </c>
      <c r="D81" s="19" t="s">
        <v>588</v>
      </c>
      <c r="E81" s="20" t="s">
        <v>589</v>
      </c>
      <c r="F81" s="32" t="s">
        <v>416</v>
      </c>
      <c r="G81" s="22" t="s">
        <v>31</v>
      </c>
      <c r="H81" s="23" t="s">
        <v>590</v>
      </c>
      <c r="I81" s="24" t="s">
        <v>55</v>
      </c>
      <c r="J81" s="1" t="str">
        <f t="shared" si="0"/>
        <v/>
      </c>
      <c r="K81" s="1"/>
      <c r="L81" s="1"/>
      <c r="M81" s="130">
        <v>78</v>
      </c>
      <c r="N81" s="130" t="s">
        <v>4337</v>
      </c>
      <c r="O81" s="131" t="s">
        <v>2025</v>
      </c>
      <c r="P81" s="130" t="s">
        <v>558</v>
      </c>
      <c r="Q81" s="130" t="s">
        <v>2026</v>
      </c>
      <c r="R81" s="130">
        <v>10</v>
      </c>
      <c r="S81" s="129"/>
      <c r="T81" s="130" t="s">
        <v>4461</v>
      </c>
      <c r="U81" s="129"/>
      <c r="V81" s="129"/>
      <c r="W81" s="129"/>
      <c r="X81" s="129" t="s">
        <v>21</v>
      </c>
    </row>
    <row r="82" spans="1:24" ht="26.25" hidden="1" customHeight="1">
      <c r="A82" s="17">
        <f t="shared" si="1"/>
        <v>79</v>
      </c>
      <c r="B82" s="18" t="s">
        <v>105</v>
      </c>
      <c r="C82" s="31" t="s">
        <v>593</v>
      </c>
      <c r="D82" s="19" t="s">
        <v>594</v>
      </c>
      <c r="E82" s="20" t="s">
        <v>595</v>
      </c>
      <c r="F82" s="32" t="s">
        <v>596</v>
      </c>
      <c r="G82" s="33" t="s">
        <v>31</v>
      </c>
      <c r="H82" s="23" t="s">
        <v>597</v>
      </c>
      <c r="I82" s="24" t="s">
        <v>55</v>
      </c>
      <c r="J82" s="1" t="str">
        <f t="shared" si="0"/>
        <v/>
      </c>
      <c r="K82" s="1"/>
      <c r="L82" s="1"/>
      <c r="M82" s="130">
        <v>79</v>
      </c>
      <c r="N82" s="130" t="s">
        <v>4337</v>
      </c>
      <c r="O82" s="136" t="s">
        <v>2031</v>
      </c>
      <c r="P82" s="137" t="s">
        <v>447</v>
      </c>
      <c r="Q82" s="130" t="s">
        <v>2032</v>
      </c>
      <c r="R82" s="130">
        <v>12</v>
      </c>
      <c r="S82" s="130" t="s">
        <v>4347</v>
      </c>
      <c r="T82" s="130" t="s">
        <v>4460</v>
      </c>
      <c r="U82" s="130" t="s">
        <v>53</v>
      </c>
      <c r="V82" s="129" t="s">
        <v>4342</v>
      </c>
      <c r="W82" s="129"/>
      <c r="X82" s="129" t="s">
        <v>21</v>
      </c>
    </row>
    <row r="83" spans="1:24" ht="26.25" hidden="1" customHeight="1">
      <c r="A83" s="17">
        <f t="shared" si="1"/>
        <v>80</v>
      </c>
      <c r="B83" s="18" t="s">
        <v>132</v>
      </c>
      <c r="C83" s="31" t="s">
        <v>600</v>
      </c>
      <c r="D83" s="19" t="s">
        <v>601</v>
      </c>
      <c r="E83" s="20" t="s">
        <v>602</v>
      </c>
      <c r="F83" s="32" t="s">
        <v>603</v>
      </c>
      <c r="G83" s="22" t="s">
        <v>53</v>
      </c>
      <c r="H83" s="23" t="s">
        <v>604</v>
      </c>
      <c r="I83" s="24" t="s">
        <v>55</v>
      </c>
      <c r="J83" s="1" t="str">
        <f t="shared" si="0"/>
        <v/>
      </c>
      <c r="K83" s="1"/>
      <c r="L83" s="1"/>
      <c r="M83" s="130">
        <v>80</v>
      </c>
      <c r="N83" s="130" t="s">
        <v>4337</v>
      </c>
      <c r="O83" s="131" t="s">
        <v>2034</v>
      </c>
      <c r="P83" s="130" t="s">
        <v>840</v>
      </c>
      <c r="Q83" s="130" t="s">
        <v>2035</v>
      </c>
      <c r="R83" s="130">
        <v>12</v>
      </c>
      <c r="S83" s="130" t="s">
        <v>4347</v>
      </c>
      <c r="T83" s="130" t="s">
        <v>4462</v>
      </c>
      <c r="U83" s="130" t="s">
        <v>53</v>
      </c>
      <c r="V83" s="129" t="s">
        <v>4394</v>
      </c>
      <c r="W83" s="129"/>
      <c r="X83" s="129" t="s">
        <v>21</v>
      </c>
    </row>
    <row r="84" spans="1:24" ht="26.25" hidden="1" customHeight="1">
      <c r="A84" s="17">
        <f t="shared" si="1"/>
        <v>81</v>
      </c>
      <c r="B84" s="18" t="s">
        <v>132</v>
      </c>
      <c r="C84" s="31" t="s">
        <v>513</v>
      </c>
      <c r="D84" s="19" t="s">
        <v>607</v>
      </c>
      <c r="E84" s="20" t="s">
        <v>515</v>
      </c>
      <c r="F84" s="32" t="s">
        <v>496</v>
      </c>
      <c r="G84" s="22" t="s">
        <v>53</v>
      </c>
      <c r="H84" s="23" t="s">
        <v>608</v>
      </c>
      <c r="I84" s="24" t="s">
        <v>55</v>
      </c>
      <c r="J84" s="1" t="str">
        <f t="shared" si="0"/>
        <v/>
      </c>
      <c r="K84" s="1"/>
      <c r="L84" s="1"/>
      <c r="M84" s="130">
        <v>81</v>
      </c>
      <c r="N84" s="130" t="s">
        <v>4337</v>
      </c>
      <c r="O84" s="131" t="s">
        <v>2041</v>
      </c>
      <c r="P84" s="130" t="s">
        <v>1078</v>
      </c>
      <c r="Q84" s="130" t="s">
        <v>2042</v>
      </c>
      <c r="R84" s="130">
        <v>12</v>
      </c>
      <c r="S84" s="129"/>
      <c r="T84" s="130" t="s">
        <v>4463</v>
      </c>
      <c r="U84" s="130" t="s">
        <v>53</v>
      </c>
      <c r="V84" s="129" t="s">
        <v>4342</v>
      </c>
      <c r="W84" s="129"/>
      <c r="X84" s="129" t="s">
        <v>21</v>
      </c>
    </row>
    <row r="85" spans="1:24" ht="26.25" hidden="1" customHeight="1">
      <c r="A85" s="17">
        <f t="shared" si="1"/>
        <v>82</v>
      </c>
      <c r="B85" s="18" t="s">
        <v>132</v>
      </c>
      <c r="C85" s="31" t="s">
        <v>611</v>
      </c>
      <c r="D85" s="19" t="s">
        <v>612</v>
      </c>
      <c r="E85" s="20" t="s">
        <v>613</v>
      </c>
      <c r="F85" s="32" t="s">
        <v>614</v>
      </c>
      <c r="G85" s="22" t="s">
        <v>53</v>
      </c>
      <c r="H85" s="23" t="s">
        <v>615</v>
      </c>
      <c r="I85" s="24" t="s">
        <v>55</v>
      </c>
      <c r="J85" s="1" t="str">
        <f t="shared" si="0"/>
        <v/>
      </c>
      <c r="K85" s="1"/>
      <c r="L85" s="1"/>
      <c r="M85" s="130">
        <v>82</v>
      </c>
      <c r="N85" s="130" t="s">
        <v>4337</v>
      </c>
      <c r="O85" s="131" t="s">
        <v>2045</v>
      </c>
      <c r="P85" s="130" t="s">
        <v>558</v>
      </c>
      <c r="Q85" s="130" t="s">
        <v>2046</v>
      </c>
      <c r="R85" s="130">
        <v>6</v>
      </c>
      <c r="S85" s="129"/>
      <c r="T85" s="130" t="s">
        <v>4464</v>
      </c>
      <c r="U85" s="129"/>
      <c r="V85" s="129"/>
      <c r="W85" s="129"/>
      <c r="X85" s="129" t="s">
        <v>21</v>
      </c>
    </row>
    <row r="86" spans="1:24" ht="26.25" hidden="1" customHeight="1">
      <c r="A86" s="17">
        <f t="shared" si="1"/>
        <v>83</v>
      </c>
      <c r="B86" s="18" t="s">
        <v>132</v>
      </c>
      <c r="C86" s="31" t="s">
        <v>617</v>
      </c>
      <c r="D86" s="19" t="s">
        <v>618</v>
      </c>
      <c r="E86" s="20" t="s">
        <v>619</v>
      </c>
      <c r="F86" s="32" t="s">
        <v>170</v>
      </c>
      <c r="G86" s="22" t="s">
        <v>53</v>
      </c>
      <c r="H86" s="23" t="s">
        <v>620</v>
      </c>
      <c r="I86" s="24" t="s">
        <v>55</v>
      </c>
      <c r="J86" s="1" t="str">
        <f t="shared" si="0"/>
        <v/>
      </c>
      <c r="K86" s="1"/>
      <c r="L86" s="1"/>
      <c r="M86" s="130">
        <v>83</v>
      </c>
      <c r="N86" s="130" t="s">
        <v>4337</v>
      </c>
      <c r="O86" s="131" t="s">
        <v>2060</v>
      </c>
      <c r="P86" s="130" t="s">
        <v>558</v>
      </c>
      <c r="Q86" s="130" t="s">
        <v>2061</v>
      </c>
      <c r="R86" s="130">
        <v>30</v>
      </c>
      <c r="S86" s="129"/>
      <c r="T86" s="130" t="s">
        <v>4465</v>
      </c>
      <c r="U86" s="129"/>
      <c r="V86" s="129"/>
      <c r="W86" s="129"/>
      <c r="X86" s="129" t="s">
        <v>21</v>
      </c>
    </row>
    <row r="87" spans="1:24" ht="26.25" hidden="1" customHeight="1">
      <c r="A87" s="17">
        <f t="shared" si="1"/>
        <v>84</v>
      </c>
      <c r="B87" s="18" t="s">
        <v>132</v>
      </c>
      <c r="C87" s="31" t="s">
        <v>624</v>
      </c>
      <c r="D87" s="19" t="s">
        <v>625</v>
      </c>
      <c r="E87" s="20" t="s">
        <v>626</v>
      </c>
      <c r="F87" s="32" t="s">
        <v>222</v>
      </c>
      <c r="G87" s="22" t="s">
        <v>53</v>
      </c>
      <c r="H87" s="23" t="s">
        <v>627</v>
      </c>
      <c r="I87" s="24" t="s">
        <v>55</v>
      </c>
      <c r="J87" s="1" t="str">
        <f t="shared" si="0"/>
        <v/>
      </c>
      <c r="K87" s="1"/>
      <c r="L87" s="1"/>
      <c r="M87" s="130">
        <v>84</v>
      </c>
      <c r="N87" s="130" t="s">
        <v>4337</v>
      </c>
      <c r="O87" s="131" t="s">
        <v>2064</v>
      </c>
      <c r="P87" s="130" t="s">
        <v>1078</v>
      </c>
      <c r="Q87" s="130" t="s">
        <v>2065</v>
      </c>
      <c r="R87" s="130">
        <v>6</v>
      </c>
      <c r="S87" s="129"/>
      <c r="T87" s="130" t="s">
        <v>4466</v>
      </c>
      <c r="U87" s="130" t="s">
        <v>53</v>
      </c>
      <c r="V87" s="129" t="s">
        <v>4342</v>
      </c>
      <c r="W87" s="129"/>
      <c r="X87" s="129" t="s">
        <v>21</v>
      </c>
    </row>
    <row r="88" spans="1:24" ht="26.25" hidden="1" customHeight="1">
      <c r="A88" s="17">
        <f t="shared" si="1"/>
        <v>85</v>
      </c>
      <c r="B88" s="18" t="s">
        <v>132</v>
      </c>
      <c r="C88" s="31" t="s">
        <v>631</v>
      </c>
      <c r="D88" s="19" t="s">
        <v>632</v>
      </c>
      <c r="E88" s="20" t="s">
        <v>633</v>
      </c>
      <c r="F88" s="32" t="s">
        <v>170</v>
      </c>
      <c r="G88" s="22" t="s">
        <v>53</v>
      </c>
      <c r="H88" s="23" t="s">
        <v>634</v>
      </c>
      <c r="I88" s="24" t="s">
        <v>55</v>
      </c>
      <c r="J88" s="1" t="str">
        <f t="shared" si="0"/>
        <v/>
      </c>
      <c r="K88" s="1"/>
      <c r="L88" s="1"/>
      <c r="M88" s="130">
        <v>85</v>
      </c>
      <c r="N88" s="130" t="s">
        <v>4337</v>
      </c>
      <c r="O88" s="136" t="s">
        <v>2067</v>
      </c>
      <c r="P88" s="137" t="s">
        <v>447</v>
      </c>
      <c r="Q88" s="130" t="s">
        <v>2069</v>
      </c>
      <c r="R88" s="130">
        <v>12</v>
      </c>
      <c r="S88" s="130" t="s">
        <v>4347</v>
      </c>
      <c r="T88" s="130" t="s">
        <v>4460</v>
      </c>
      <c r="U88" s="130" t="s">
        <v>53</v>
      </c>
      <c r="V88" s="129" t="s">
        <v>4342</v>
      </c>
      <c r="W88" s="129"/>
      <c r="X88" s="129" t="s">
        <v>21</v>
      </c>
    </row>
    <row r="89" spans="1:24" ht="26.25" hidden="1" customHeight="1">
      <c r="A89" s="17">
        <f t="shared" si="1"/>
        <v>86</v>
      </c>
      <c r="B89" s="18" t="s">
        <v>13</v>
      </c>
      <c r="C89" s="31" t="s">
        <v>637</v>
      </c>
      <c r="D89" s="19" t="s">
        <v>638</v>
      </c>
      <c r="E89" s="20" t="s">
        <v>639</v>
      </c>
      <c r="F89" s="32">
        <v>2019</v>
      </c>
      <c r="G89" s="22" t="s">
        <v>53</v>
      </c>
      <c r="H89" s="23" t="s">
        <v>640</v>
      </c>
      <c r="I89" s="24" t="s">
        <v>55</v>
      </c>
      <c r="J89" s="1" t="str">
        <f t="shared" si="0"/>
        <v/>
      </c>
      <c r="K89" s="1"/>
      <c r="L89" s="1"/>
      <c r="M89" s="130">
        <v>86</v>
      </c>
      <c r="N89" s="130" t="s">
        <v>4337</v>
      </c>
      <c r="O89" s="131" t="s">
        <v>2083</v>
      </c>
      <c r="P89" s="130" t="s">
        <v>1078</v>
      </c>
      <c r="Q89" s="130" t="s">
        <v>2084</v>
      </c>
      <c r="R89" s="130">
        <v>12</v>
      </c>
      <c r="S89" s="129"/>
      <c r="T89" s="130" t="s">
        <v>4467</v>
      </c>
      <c r="U89" s="130" t="s">
        <v>53</v>
      </c>
      <c r="V89" s="129" t="s">
        <v>4342</v>
      </c>
      <c r="W89" s="129"/>
      <c r="X89" s="129" t="s">
        <v>21</v>
      </c>
    </row>
    <row r="90" spans="1:24" ht="26.25" hidden="1" customHeight="1">
      <c r="A90" s="17">
        <f t="shared" si="1"/>
        <v>87</v>
      </c>
      <c r="B90" s="18" t="s">
        <v>642</v>
      </c>
      <c r="C90" s="31" t="s">
        <v>643</v>
      </c>
      <c r="D90" s="19" t="s">
        <v>643</v>
      </c>
      <c r="E90" s="20" t="s">
        <v>644</v>
      </c>
      <c r="F90" s="32" t="s">
        <v>603</v>
      </c>
      <c r="G90" s="33" t="s">
        <v>53</v>
      </c>
      <c r="H90" s="23" t="s">
        <v>645</v>
      </c>
      <c r="I90" s="24" t="s">
        <v>55</v>
      </c>
      <c r="J90" s="1" t="str">
        <f t="shared" si="0"/>
        <v/>
      </c>
      <c r="K90" s="1"/>
      <c r="L90" s="1"/>
      <c r="M90" s="130">
        <v>87</v>
      </c>
      <c r="N90" s="130" t="s">
        <v>4337</v>
      </c>
      <c r="O90" s="131" t="s">
        <v>4468</v>
      </c>
      <c r="P90" s="130" t="s">
        <v>558</v>
      </c>
      <c r="Q90" s="130" t="s">
        <v>3380</v>
      </c>
      <c r="R90" s="130">
        <v>8</v>
      </c>
      <c r="S90" s="129"/>
      <c r="T90" s="130" t="s">
        <v>4469</v>
      </c>
      <c r="U90" s="129"/>
      <c r="V90" s="129"/>
      <c r="W90" s="129"/>
      <c r="X90" s="129" t="s">
        <v>21</v>
      </c>
    </row>
    <row r="91" spans="1:24" ht="26.25" hidden="1" customHeight="1">
      <c r="A91" s="17">
        <f t="shared" si="1"/>
        <v>88</v>
      </c>
      <c r="B91" s="18" t="s">
        <v>13</v>
      </c>
      <c r="C91" s="31" t="s">
        <v>649</v>
      </c>
      <c r="D91" s="19" t="s">
        <v>650</v>
      </c>
      <c r="E91" s="20" t="s">
        <v>651</v>
      </c>
      <c r="F91" s="32" t="s">
        <v>170</v>
      </c>
      <c r="G91" s="22" t="s">
        <v>63</v>
      </c>
      <c r="H91" s="23" t="s">
        <v>652</v>
      </c>
      <c r="I91" s="24" t="s">
        <v>55</v>
      </c>
      <c r="J91" s="1" t="str">
        <f t="shared" si="0"/>
        <v/>
      </c>
      <c r="K91" s="1"/>
      <c r="L91" s="1"/>
      <c r="M91" s="130">
        <v>88</v>
      </c>
      <c r="N91" s="130" t="s">
        <v>4337</v>
      </c>
      <c r="O91" s="131" t="s">
        <v>2105</v>
      </c>
      <c r="P91" s="130" t="s">
        <v>255</v>
      </c>
      <c r="Q91" s="130" t="s">
        <v>2106</v>
      </c>
      <c r="R91" s="130">
        <v>4</v>
      </c>
      <c r="S91" s="130" t="s">
        <v>4347</v>
      </c>
      <c r="T91" s="130" t="s">
        <v>4470</v>
      </c>
      <c r="U91" s="129"/>
      <c r="V91" s="129"/>
      <c r="W91" s="129"/>
      <c r="X91" s="129" t="s">
        <v>21</v>
      </c>
    </row>
    <row r="92" spans="1:24" ht="26.25" hidden="1" customHeight="1">
      <c r="A92" s="17">
        <f t="shared" si="1"/>
        <v>89</v>
      </c>
      <c r="B92" s="18" t="s">
        <v>27</v>
      </c>
      <c r="C92" s="31" t="s">
        <v>656</v>
      </c>
      <c r="D92" s="19" t="s">
        <v>657</v>
      </c>
      <c r="E92" s="20" t="s">
        <v>658</v>
      </c>
      <c r="F92" s="32" t="s">
        <v>659</v>
      </c>
      <c r="G92" s="22" t="s">
        <v>42</v>
      </c>
      <c r="H92" s="23" t="s">
        <v>660</v>
      </c>
      <c r="I92" s="24" t="s">
        <v>55</v>
      </c>
      <c r="J92" s="1" t="str">
        <f t="shared" si="0"/>
        <v/>
      </c>
      <c r="K92" s="1"/>
      <c r="L92" s="1"/>
      <c r="M92" s="130">
        <v>89</v>
      </c>
      <c r="N92" s="130" t="s">
        <v>4337</v>
      </c>
      <c r="O92" s="131" t="s">
        <v>2108</v>
      </c>
      <c r="P92" s="130" t="s">
        <v>1078</v>
      </c>
      <c r="Q92" s="130" t="s">
        <v>2109</v>
      </c>
      <c r="R92" s="130">
        <v>6</v>
      </c>
      <c r="S92" s="129"/>
      <c r="T92" s="130" t="s">
        <v>4471</v>
      </c>
      <c r="U92" s="130" t="s">
        <v>53</v>
      </c>
      <c r="V92" s="129" t="s">
        <v>4342</v>
      </c>
      <c r="W92" s="129"/>
      <c r="X92" s="129" t="s">
        <v>21</v>
      </c>
    </row>
    <row r="93" spans="1:24" ht="26.25" hidden="1" customHeight="1">
      <c r="A93" s="17">
        <f t="shared" si="1"/>
        <v>90</v>
      </c>
      <c r="B93" s="18" t="s">
        <v>27</v>
      </c>
      <c r="C93" s="31" t="s">
        <v>664</v>
      </c>
      <c r="D93" s="19" t="s">
        <v>665</v>
      </c>
      <c r="E93" s="20" t="s">
        <v>666</v>
      </c>
      <c r="F93" s="32" t="s">
        <v>667</v>
      </c>
      <c r="G93" s="22" t="s">
        <v>42</v>
      </c>
      <c r="H93" s="23" t="s">
        <v>668</v>
      </c>
      <c r="I93" s="24" t="s">
        <v>55</v>
      </c>
      <c r="J93" s="1" t="str">
        <f t="shared" si="0"/>
        <v/>
      </c>
      <c r="K93" s="1"/>
      <c r="L93" s="1"/>
      <c r="M93" s="130">
        <v>90</v>
      </c>
      <c r="N93" s="130" t="s">
        <v>4337</v>
      </c>
      <c r="O93" s="136" t="s">
        <v>2112</v>
      </c>
      <c r="P93" s="137" t="s">
        <v>447</v>
      </c>
      <c r="Q93" s="130" t="s">
        <v>2113</v>
      </c>
      <c r="R93" s="130">
        <v>12</v>
      </c>
      <c r="S93" s="130" t="s">
        <v>4347</v>
      </c>
      <c r="T93" s="130" t="s">
        <v>4460</v>
      </c>
      <c r="U93" s="130" t="s">
        <v>53</v>
      </c>
      <c r="V93" s="129" t="s">
        <v>4342</v>
      </c>
      <c r="W93" s="129"/>
      <c r="X93" s="129" t="s">
        <v>21</v>
      </c>
    </row>
    <row r="94" spans="1:24" ht="26.25" customHeight="1">
      <c r="A94" s="17">
        <f t="shared" si="1"/>
        <v>91</v>
      </c>
      <c r="B94" s="18" t="s">
        <v>27</v>
      </c>
      <c r="C94" s="31" t="s">
        <v>672</v>
      </c>
      <c r="D94" s="19" t="s">
        <v>673</v>
      </c>
      <c r="E94" s="20" t="s">
        <v>674</v>
      </c>
      <c r="F94" s="21" t="s">
        <v>675</v>
      </c>
      <c r="G94" s="22" t="s">
        <v>42</v>
      </c>
      <c r="H94" s="23" t="s">
        <v>676</v>
      </c>
      <c r="I94" s="34" t="s">
        <v>20</v>
      </c>
      <c r="J94" s="1" t="str">
        <f t="shared" si="0"/>
        <v>과기</v>
      </c>
      <c r="K94" s="25"/>
      <c r="L94" s="25"/>
      <c r="M94" s="133">
        <v>91</v>
      </c>
      <c r="N94" s="133" t="s">
        <v>4337</v>
      </c>
      <c r="O94" s="138" t="s">
        <v>4472</v>
      </c>
      <c r="P94" s="139" t="s">
        <v>447</v>
      </c>
      <c r="Q94" s="133" t="s">
        <v>2117</v>
      </c>
      <c r="R94" s="140">
        <v>12</v>
      </c>
      <c r="S94" s="133" t="s">
        <v>4347</v>
      </c>
      <c r="T94" s="133" t="s">
        <v>4460</v>
      </c>
      <c r="U94" s="133" t="s">
        <v>53</v>
      </c>
      <c r="V94" s="135" t="s">
        <v>4342</v>
      </c>
      <c r="W94" s="135"/>
      <c r="X94" s="135" t="s">
        <v>21</v>
      </c>
    </row>
    <row r="95" spans="1:24" ht="26.25" hidden="1" customHeight="1">
      <c r="A95" s="17">
        <f t="shared" si="1"/>
        <v>92</v>
      </c>
      <c r="B95" s="18" t="s">
        <v>175</v>
      </c>
      <c r="C95" s="31" t="s">
        <v>679</v>
      </c>
      <c r="D95" s="19" t="s">
        <v>374</v>
      </c>
      <c r="E95" s="20" t="s">
        <v>680</v>
      </c>
      <c r="F95" s="32" t="s">
        <v>681</v>
      </c>
      <c r="G95" s="33" t="s">
        <v>42</v>
      </c>
      <c r="H95" s="23" t="s">
        <v>682</v>
      </c>
      <c r="I95" s="24" t="s">
        <v>55</v>
      </c>
      <c r="J95" s="1" t="str">
        <f t="shared" si="0"/>
        <v/>
      </c>
      <c r="K95" s="1"/>
      <c r="L95" s="1"/>
      <c r="M95" s="130">
        <v>92</v>
      </c>
      <c r="N95" s="130" t="s">
        <v>4337</v>
      </c>
      <c r="O95" s="136" t="s">
        <v>4473</v>
      </c>
      <c r="P95" s="137" t="s">
        <v>447</v>
      </c>
      <c r="Q95" s="130" t="s">
        <v>2120</v>
      </c>
      <c r="R95" s="130">
        <v>4</v>
      </c>
      <c r="S95" s="130" t="s">
        <v>4347</v>
      </c>
      <c r="T95" s="130" t="s">
        <v>4474</v>
      </c>
      <c r="U95" s="130" t="s">
        <v>53</v>
      </c>
      <c r="V95" s="129" t="s">
        <v>4342</v>
      </c>
      <c r="W95" s="129"/>
      <c r="X95" s="129" t="s">
        <v>21</v>
      </c>
    </row>
    <row r="96" spans="1:24" ht="26.25" hidden="1" customHeight="1">
      <c r="A96" s="17">
        <f t="shared" si="1"/>
        <v>93</v>
      </c>
      <c r="B96" s="18" t="s">
        <v>175</v>
      </c>
      <c r="C96" s="31" t="s">
        <v>685</v>
      </c>
      <c r="D96" s="19" t="s">
        <v>277</v>
      </c>
      <c r="E96" s="20" t="s">
        <v>686</v>
      </c>
      <c r="F96" s="32" t="s">
        <v>687</v>
      </c>
      <c r="G96" s="33" t="s">
        <v>63</v>
      </c>
      <c r="H96" s="23" t="s">
        <v>688</v>
      </c>
      <c r="I96" s="24" t="s">
        <v>55</v>
      </c>
      <c r="J96" s="1" t="str">
        <f t="shared" si="0"/>
        <v/>
      </c>
      <c r="K96" s="1"/>
      <c r="L96" s="1"/>
      <c r="M96" s="130">
        <v>93</v>
      </c>
      <c r="N96" s="130" t="s">
        <v>4337</v>
      </c>
      <c r="O96" s="131" t="s">
        <v>2123</v>
      </c>
      <c r="P96" s="130" t="s">
        <v>1078</v>
      </c>
      <c r="Q96" s="130" t="s">
        <v>2124</v>
      </c>
      <c r="R96" s="130">
        <v>12</v>
      </c>
      <c r="S96" s="129"/>
      <c r="T96" s="130" t="s">
        <v>4475</v>
      </c>
      <c r="U96" s="130" t="s">
        <v>53</v>
      </c>
      <c r="V96" s="129" t="s">
        <v>4342</v>
      </c>
      <c r="W96" s="129"/>
      <c r="X96" s="129" t="s">
        <v>21</v>
      </c>
    </row>
    <row r="97" spans="1:24" ht="26.25" hidden="1" customHeight="1">
      <c r="A97" s="17">
        <f t="shared" si="1"/>
        <v>94</v>
      </c>
      <c r="B97" s="18" t="s">
        <v>175</v>
      </c>
      <c r="C97" s="31" t="s">
        <v>691</v>
      </c>
      <c r="D97" s="19" t="s">
        <v>692</v>
      </c>
      <c r="E97" s="20" t="s">
        <v>66</v>
      </c>
      <c r="F97" s="32" t="s">
        <v>693</v>
      </c>
      <c r="G97" s="33" t="s">
        <v>42</v>
      </c>
      <c r="H97" s="23" t="s">
        <v>694</v>
      </c>
      <c r="I97" s="24" t="s">
        <v>55</v>
      </c>
      <c r="J97" s="1" t="str">
        <f t="shared" si="0"/>
        <v/>
      </c>
      <c r="K97" s="1"/>
      <c r="L97" s="1"/>
      <c r="M97" s="130">
        <v>94</v>
      </c>
      <c r="N97" s="130" t="s">
        <v>4337</v>
      </c>
      <c r="O97" s="131" t="s">
        <v>4476</v>
      </c>
      <c r="P97" s="130" t="s">
        <v>1078</v>
      </c>
      <c r="Q97" s="130" t="s">
        <v>2128</v>
      </c>
      <c r="R97" s="130">
        <v>12</v>
      </c>
      <c r="S97" s="129"/>
      <c r="T97" s="130" t="s">
        <v>4477</v>
      </c>
      <c r="U97" s="130" t="s">
        <v>53</v>
      </c>
      <c r="V97" s="129" t="s">
        <v>4342</v>
      </c>
      <c r="W97" s="129"/>
      <c r="X97" s="129" t="s">
        <v>21</v>
      </c>
    </row>
    <row r="98" spans="1:24" ht="26.25" hidden="1" customHeight="1">
      <c r="A98" s="17">
        <f t="shared" si="1"/>
        <v>95</v>
      </c>
      <c r="B98" s="18" t="s">
        <v>175</v>
      </c>
      <c r="C98" s="31" t="s">
        <v>697</v>
      </c>
      <c r="D98" s="19" t="s">
        <v>698</v>
      </c>
      <c r="E98" s="20" t="s">
        <v>699</v>
      </c>
      <c r="F98" s="32" t="s">
        <v>700</v>
      </c>
      <c r="G98" s="33" t="s">
        <v>42</v>
      </c>
      <c r="H98" s="23" t="s">
        <v>701</v>
      </c>
      <c r="I98" s="24" t="s">
        <v>55</v>
      </c>
      <c r="J98" s="1" t="str">
        <f t="shared" si="0"/>
        <v/>
      </c>
      <c r="K98" s="1"/>
      <c r="L98" s="1"/>
      <c r="M98" s="130">
        <v>95</v>
      </c>
      <c r="N98" s="130" t="s">
        <v>4337</v>
      </c>
      <c r="O98" s="136" t="s">
        <v>2149</v>
      </c>
      <c r="P98" s="137" t="s">
        <v>447</v>
      </c>
      <c r="Q98" s="130" t="s">
        <v>2150</v>
      </c>
      <c r="R98" s="130">
        <v>12</v>
      </c>
      <c r="S98" s="130" t="s">
        <v>4347</v>
      </c>
      <c r="T98" s="130" t="s">
        <v>4460</v>
      </c>
      <c r="U98" s="130" t="s">
        <v>53</v>
      </c>
      <c r="V98" s="129" t="s">
        <v>4342</v>
      </c>
      <c r="W98" s="129"/>
      <c r="X98" s="129" t="s">
        <v>21</v>
      </c>
    </row>
    <row r="99" spans="1:24" ht="26.25" hidden="1" customHeight="1">
      <c r="A99" s="17">
        <f t="shared" si="1"/>
        <v>96</v>
      </c>
      <c r="B99" s="18" t="s">
        <v>175</v>
      </c>
      <c r="C99" s="31" t="s">
        <v>702</v>
      </c>
      <c r="D99" s="19" t="s">
        <v>374</v>
      </c>
      <c r="E99" s="20" t="s">
        <v>703</v>
      </c>
      <c r="F99" s="32" t="s">
        <v>704</v>
      </c>
      <c r="G99" s="33" t="s">
        <v>42</v>
      </c>
      <c r="H99" s="23" t="s">
        <v>705</v>
      </c>
      <c r="I99" s="24" t="s">
        <v>55</v>
      </c>
      <c r="J99" s="1" t="str">
        <f t="shared" si="0"/>
        <v/>
      </c>
      <c r="K99" s="1"/>
      <c r="L99" s="1"/>
      <c r="M99" s="130">
        <v>96</v>
      </c>
      <c r="N99" s="130" t="s">
        <v>4337</v>
      </c>
      <c r="O99" s="131" t="s">
        <v>2153</v>
      </c>
      <c r="P99" s="130" t="s">
        <v>1078</v>
      </c>
      <c r="Q99" s="130" t="s">
        <v>2154</v>
      </c>
      <c r="R99" s="130">
        <v>12</v>
      </c>
      <c r="S99" s="129"/>
      <c r="T99" s="130" t="s">
        <v>4477</v>
      </c>
      <c r="U99" s="130" t="s">
        <v>53</v>
      </c>
      <c r="V99" s="129" t="s">
        <v>4342</v>
      </c>
      <c r="W99" s="129"/>
      <c r="X99" s="129" t="s">
        <v>21</v>
      </c>
    </row>
    <row r="100" spans="1:24" ht="26.25" hidden="1" customHeight="1">
      <c r="A100" s="17">
        <f t="shared" si="1"/>
        <v>97</v>
      </c>
      <c r="B100" s="18" t="s">
        <v>175</v>
      </c>
      <c r="C100" s="31" t="s">
        <v>706</v>
      </c>
      <c r="D100" s="19" t="s">
        <v>124</v>
      </c>
      <c r="E100" s="20" t="s">
        <v>707</v>
      </c>
      <c r="F100" s="32" t="s">
        <v>708</v>
      </c>
      <c r="G100" s="33" t="s">
        <v>42</v>
      </c>
      <c r="H100" s="23" t="s">
        <v>709</v>
      </c>
      <c r="I100" s="24" t="s">
        <v>55</v>
      </c>
      <c r="J100" s="1" t="str">
        <f t="shared" si="0"/>
        <v/>
      </c>
      <c r="K100" s="1"/>
      <c r="L100" s="1"/>
      <c r="M100" s="130">
        <v>97</v>
      </c>
      <c r="N100" s="130" t="s">
        <v>4337</v>
      </c>
      <c r="O100" s="136" t="s">
        <v>2159</v>
      </c>
      <c r="P100" s="137" t="s">
        <v>447</v>
      </c>
      <c r="Q100" s="130" t="s">
        <v>2160</v>
      </c>
      <c r="R100" s="130">
        <v>12</v>
      </c>
      <c r="S100" s="130" t="s">
        <v>4347</v>
      </c>
      <c r="T100" s="130" t="s">
        <v>4460</v>
      </c>
      <c r="U100" s="130" t="s">
        <v>53</v>
      </c>
      <c r="V100" s="129" t="s">
        <v>4342</v>
      </c>
      <c r="W100" s="129"/>
      <c r="X100" s="129" t="s">
        <v>21</v>
      </c>
    </row>
    <row r="101" spans="1:24" ht="26.25" hidden="1" customHeight="1">
      <c r="A101" s="17">
        <f t="shared" si="1"/>
        <v>98</v>
      </c>
      <c r="B101" s="18" t="s">
        <v>175</v>
      </c>
      <c r="C101" s="31" t="s">
        <v>710</v>
      </c>
      <c r="D101" s="19" t="s">
        <v>374</v>
      </c>
      <c r="E101" s="20" t="s">
        <v>711</v>
      </c>
      <c r="F101" s="32" t="s">
        <v>712</v>
      </c>
      <c r="G101" s="33" t="s">
        <v>42</v>
      </c>
      <c r="H101" s="23" t="s">
        <v>713</v>
      </c>
      <c r="I101" s="24" t="s">
        <v>55</v>
      </c>
      <c r="J101" s="1" t="str">
        <f t="shared" si="0"/>
        <v/>
      </c>
      <c r="K101" s="1"/>
      <c r="L101" s="1"/>
      <c r="M101" s="130">
        <v>98</v>
      </c>
      <c r="N101" s="130" t="s">
        <v>4337</v>
      </c>
      <c r="O101" s="131" t="s">
        <v>2168</v>
      </c>
      <c r="P101" s="130" t="s">
        <v>1078</v>
      </c>
      <c r="Q101" s="130" t="s">
        <v>2169</v>
      </c>
      <c r="R101" s="130">
        <v>12</v>
      </c>
      <c r="S101" s="129"/>
      <c r="T101" s="130" t="s">
        <v>4478</v>
      </c>
      <c r="U101" s="130" t="s">
        <v>53</v>
      </c>
      <c r="V101" s="129" t="s">
        <v>4342</v>
      </c>
      <c r="W101" s="129"/>
      <c r="X101" s="129" t="s">
        <v>21</v>
      </c>
    </row>
    <row r="102" spans="1:24" ht="26.25" hidden="1" customHeight="1">
      <c r="A102" s="17">
        <f t="shared" si="1"/>
        <v>99</v>
      </c>
      <c r="B102" s="18" t="s">
        <v>175</v>
      </c>
      <c r="C102" s="31" t="s">
        <v>714</v>
      </c>
      <c r="D102" s="19" t="s">
        <v>308</v>
      </c>
      <c r="E102" s="20" t="s">
        <v>715</v>
      </c>
      <c r="F102" s="32" t="s">
        <v>716</v>
      </c>
      <c r="G102" s="33" t="s">
        <v>42</v>
      </c>
      <c r="H102" s="23" t="s">
        <v>717</v>
      </c>
      <c r="I102" s="24" t="s">
        <v>55</v>
      </c>
      <c r="J102" s="1" t="str">
        <f t="shared" si="0"/>
        <v/>
      </c>
      <c r="K102" s="1"/>
      <c r="L102" s="1"/>
      <c r="M102" s="130">
        <v>99</v>
      </c>
      <c r="N102" s="130" t="s">
        <v>4337</v>
      </c>
      <c r="O102" s="131" t="s">
        <v>2171</v>
      </c>
      <c r="P102" s="130" t="s">
        <v>255</v>
      </c>
      <c r="Q102" s="130" t="s">
        <v>2172</v>
      </c>
      <c r="R102" s="130">
        <v>6</v>
      </c>
      <c r="S102" s="130" t="s">
        <v>4347</v>
      </c>
      <c r="T102" s="130" t="s">
        <v>4479</v>
      </c>
      <c r="U102" s="129"/>
      <c r="V102" s="129"/>
      <c r="W102" s="129"/>
      <c r="X102" s="129" t="s">
        <v>21</v>
      </c>
    </row>
    <row r="103" spans="1:24" ht="26.25" hidden="1" customHeight="1">
      <c r="A103" s="17">
        <f t="shared" si="1"/>
        <v>100</v>
      </c>
      <c r="B103" s="18" t="s">
        <v>175</v>
      </c>
      <c r="C103" s="31" t="s">
        <v>721</v>
      </c>
      <c r="D103" s="19" t="s">
        <v>722</v>
      </c>
      <c r="E103" s="20" t="s">
        <v>723</v>
      </c>
      <c r="F103" s="32" t="s">
        <v>252</v>
      </c>
      <c r="G103" s="33" t="s">
        <v>42</v>
      </c>
      <c r="H103" s="23" t="s">
        <v>724</v>
      </c>
      <c r="I103" s="24" t="s">
        <v>55</v>
      </c>
      <c r="J103" s="1" t="str">
        <f t="shared" si="0"/>
        <v/>
      </c>
      <c r="K103" s="1"/>
      <c r="L103" s="1"/>
      <c r="M103" s="130">
        <v>100</v>
      </c>
      <c r="N103" s="130" t="s">
        <v>4337</v>
      </c>
      <c r="O103" s="131" t="s">
        <v>2178</v>
      </c>
      <c r="P103" s="130" t="s">
        <v>1078</v>
      </c>
      <c r="Q103" s="130" t="s">
        <v>2179</v>
      </c>
      <c r="R103" s="130">
        <v>12</v>
      </c>
      <c r="S103" s="129"/>
      <c r="T103" s="130" t="s">
        <v>4480</v>
      </c>
      <c r="U103" s="130" t="s">
        <v>53</v>
      </c>
      <c r="V103" s="129" t="s">
        <v>4342</v>
      </c>
      <c r="W103" s="129"/>
      <c r="X103" s="129" t="s">
        <v>21</v>
      </c>
    </row>
    <row r="104" spans="1:24" ht="26.25" customHeight="1">
      <c r="A104" s="17">
        <f t="shared" si="1"/>
        <v>101</v>
      </c>
      <c r="B104" s="18" t="s">
        <v>175</v>
      </c>
      <c r="C104" s="31" t="s">
        <v>728</v>
      </c>
      <c r="D104" s="19" t="s">
        <v>729</v>
      </c>
      <c r="E104" s="20" t="s">
        <v>730</v>
      </c>
      <c r="F104" s="21" t="s">
        <v>135</v>
      </c>
      <c r="G104" s="33" t="s">
        <v>42</v>
      </c>
      <c r="H104" s="23" t="s">
        <v>731</v>
      </c>
      <c r="I104" s="34" t="s">
        <v>20</v>
      </c>
      <c r="J104" s="1" t="str">
        <f t="shared" si="0"/>
        <v>과기</v>
      </c>
      <c r="K104" s="25"/>
      <c r="L104" s="25"/>
      <c r="M104" s="133">
        <v>101</v>
      </c>
      <c r="N104" s="133" t="s">
        <v>4337</v>
      </c>
      <c r="O104" s="134" t="s">
        <v>4481</v>
      </c>
      <c r="P104" s="133" t="s">
        <v>558</v>
      </c>
      <c r="Q104" s="133" t="s">
        <v>2187</v>
      </c>
      <c r="R104" s="133">
        <v>20</v>
      </c>
      <c r="S104" s="135"/>
      <c r="T104" s="133" t="s">
        <v>4482</v>
      </c>
      <c r="U104" s="135"/>
      <c r="V104" s="135"/>
      <c r="W104" s="135"/>
      <c r="X104" s="135" t="s">
        <v>21</v>
      </c>
    </row>
    <row r="105" spans="1:24" ht="26.25" hidden="1" customHeight="1">
      <c r="A105" s="17">
        <f t="shared" si="1"/>
        <v>102</v>
      </c>
      <c r="B105" s="18" t="s">
        <v>175</v>
      </c>
      <c r="C105" s="31" t="s">
        <v>735</v>
      </c>
      <c r="D105" s="19" t="s">
        <v>736</v>
      </c>
      <c r="E105" s="20" t="s">
        <v>737</v>
      </c>
      <c r="F105" s="32" t="s">
        <v>738</v>
      </c>
      <c r="G105" s="33" t="s">
        <v>42</v>
      </c>
      <c r="H105" s="23" t="s">
        <v>739</v>
      </c>
      <c r="I105" s="24" t="s">
        <v>55</v>
      </c>
      <c r="J105" s="1" t="str">
        <f t="shared" si="0"/>
        <v/>
      </c>
      <c r="K105" s="1"/>
      <c r="L105" s="1"/>
      <c r="M105" s="130">
        <v>102</v>
      </c>
      <c r="N105" s="130" t="s">
        <v>4337</v>
      </c>
      <c r="O105" s="131" t="s">
        <v>2202</v>
      </c>
      <c r="P105" s="130" t="s">
        <v>1078</v>
      </c>
      <c r="Q105" s="130" t="s">
        <v>2203</v>
      </c>
      <c r="R105" s="130">
        <v>6</v>
      </c>
      <c r="S105" s="129"/>
      <c r="T105" s="130" t="s">
        <v>4483</v>
      </c>
      <c r="U105" s="130" t="s">
        <v>53</v>
      </c>
      <c r="V105" s="129" t="s">
        <v>4342</v>
      </c>
      <c r="W105" s="129"/>
      <c r="X105" s="129" t="s">
        <v>21</v>
      </c>
    </row>
    <row r="106" spans="1:24" ht="26.25" hidden="1" customHeight="1">
      <c r="A106" s="17">
        <f t="shared" si="1"/>
        <v>103</v>
      </c>
      <c r="B106" s="18" t="s">
        <v>233</v>
      </c>
      <c r="C106" s="31" t="s">
        <v>742</v>
      </c>
      <c r="D106" s="19" t="s">
        <v>743</v>
      </c>
      <c r="E106" s="20" t="s">
        <v>744</v>
      </c>
      <c r="F106" s="32" t="s">
        <v>52</v>
      </c>
      <c r="G106" s="22" t="s">
        <v>53</v>
      </c>
      <c r="H106" s="23" t="s">
        <v>745</v>
      </c>
      <c r="I106" s="34" t="s">
        <v>55</v>
      </c>
      <c r="J106" s="1" t="str">
        <f t="shared" si="0"/>
        <v/>
      </c>
      <c r="K106" s="25"/>
      <c r="L106" s="25"/>
      <c r="M106" s="133">
        <v>103</v>
      </c>
      <c r="N106" s="133" t="s">
        <v>4337</v>
      </c>
      <c r="O106" s="138" t="s">
        <v>4484</v>
      </c>
      <c r="P106" s="139" t="s">
        <v>447</v>
      </c>
      <c r="Q106" s="133" t="s">
        <v>2206</v>
      </c>
      <c r="R106" s="133">
        <v>12</v>
      </c>
      <c r="S106" s="133" t="s">
        <v>4347</v>
      </c>
      <c r="T106" s="133" t="s">
        <v>4460</v>
      </c>
      <c r="U106" s="133" t="s">
        <v>53</v>
      </c>
      <c r="V106" s="135" t="s">
        <v>4342</v>
      </c>
      <c r="W106" s="135"/>
      <c r="X106" s="135" t="s">
        <v>21</v>
      </c>
    </row>
    <row r="107" spans="1:24" ht="26.25" hidden="1" customHeight="1">
      <c r="A107" s="17">
        <f t="shared" si="1"/>
        <v>104</v>
      </c>
      <c r="B107" s="18" t="s">
        <v>13</v>
      </c>
      <c r="C107" s="31" t="s">
        <v>747</v>
      </c>
      <c r="D107" s="19" t="s">
        <v>748</v>
      </c>
      <c r="E107" s="20" t="s">
        <v>749</v>
      </c>
      <c r="F107" s="32" t="s">
        <v>209</v>
      </c>
      <c r="G107" s="22" t="s">
        <v>42</v>
      </c>
      <c r="H107" s="23" t="s">
        <v>750</v>
      </c>
      <c r="I107" s="24" t="s">
        <v>55</v>
      </c>
      <c r="J107" s="1" t="str">
        <f t="shared" si="0"/>
        <v/>
      </c>
      <c r="K107" s="1"/>
      <c r="L107" s="1"/>
      <c r="M107" s="130">
        <v>104</v>
      </c>
      <c r="N107" s="130" t="s">
        <v>4337</v>
      </c>
      <c r="O107" s="131" t="s">
        <v>2231</v>
      </c>
      <c r="P107" s="130" t="s">
        <v>1078</v>
      </c>
      <c r="Q107" s="130" t="s">
        <v>2232</v>
      </c>
      <c r="R107" s="130">
        <v>12</v>
      </c>
      <c r="S107" s="129"/>
      <c r="T107" s="130" t="s">
        <v>4485</v>
      </c>
      <c r="U107" s="130" t="s">
        <v>53</v>
      </c>
      <c r="V107" s="129" t="s">
        <v>4342</v>
      </c>
      <c r="W107" s="129"/>
      <c r="X107" s="129" t="s">
        <v>21</v>
      </c>
    </row>
    <row r="108" spans="1:24" ht="26.25" hidden="1" customHeight="1">
      <c r="A108" s="17">
        <f t="shared" si="1"/>
        <v>105</v>
      </c>
      <c r="B108" s="18" t="s">
        <v>13</v>
      </c>
      <c r="C108" s="19" t="s">
        <v>752</v>
      </c>
      <c r="D108" s="19" t="s">
        <v>753</v>
      </c>
      <c r="E108" s="20" t="s">
        <v>754</v>
      </c>
      <c r="F108" s="21" t="s">
        <v>135</v>
      </c>
      <c r="G108" s="22" t="s">
        <v>63</v>
      </c>
      <c r="H108" s="23" t="s">
        <v>755</v>
      </c>
      <c r="I108" s="24" t="s">
        <v>20</v>
      </c>
      <c r="J108" s="1" t="str">
        <f t="shared" si="0"/>
        <v>FRIC</v>
      </c>
      <c r="K108" s="1"/>
      <c r="L108" s="1"/>
      <c r="M108" s="130">
        <v>105</v>
      </c>
      <c r="N108" s="130" t="s">
        <v>4337</v>
      </c>
      <c r="O108" s="131" t="s">
        <v>2234</v>
      </c>
      <c r="P108" s="130" t="s">
        <v>4436</v>
      </c>
      <c r="Q108" s="130" t="s">
        <v>2235</v>
      </c>
      <c r="R108" s="130">
        <v>24</v>
      </c>
      <c r="S108" s="130" t="s">
        <v>4347</v>
      </c>
      <c r="T108" s="130" t="s">
        <v>4486</v>
      </c>
      <c r="U108" s="129"/>
      <c r="V108" s="129"/>
      <c r="W108" s="129"/>
      <c r="X108" s="129" t="s">
        <v>21</v>
      </c>
    </row>
    <row r="109" spans="1:24" ht="26.25" hidden="1" customHeight="1">
      <c r="A109" s="17">
        <f t="shared" si="1"/>
        <v>106</v>
      </c>
      <c r="B109" s="18" t="s">
        <v>105</v>
      </c>
      <c r="C109" s="31" t="s">
        <v>760</v>
      </c>
      <c r="D109" s="19" t="s">
        <v>761</v>
      </c>
      <c r="E109" s="20" t="s">
        <v>762</v>
      </c>
      <c r="F109" s="32" t="s">
        <v>763</v>
      </c>
      <c r="G109" s="33" t="s">
        <v>42</v>
      </c>
      <c r="H109" s="23" t="s">
        <v>764</v>
      </c>
      <c r="I109" s="24" t="s">
        <v>55</v>
      </c>
      <c r="J109" s="1" t="str">
        <f t="shared" si="0"/>
        <v/>
      </c>
      <c r="K109" s="1"/>
      <c r="L109" s="1"/>
      <c r="M109" s="130">
        <v>106</v>
      </c>
      <c r="N109" s="130" t="s">
        <v>4337</v>
      </c>
      <c r="O109" s="131" t="s">
        <v>4487</v>
      </c>
      <c r="P109" s="130" t="s">
        <v>196</v>
      </c>
      <c r="Q109" s="130" t="s">
        <v>2239</v>
      </c>
      <c r="R109" s="130">
        <v>72</v>
      </c>
      <c r="S109" s="130" t="s">
        <v>4347</v>
      </c>
      <c r="T109" s="130" t="s">
        <v>4488</v>
      </c>
      <c r="U109" s="129"/>
      <c r="V109" s="129"/>
      <c r="W109" s="129"/>
      <c r="X109" s="129" t="s">
        <v>21</v>
      </c>
    </row>
    <row r="110" spans="1:24" ht="26.25" hidden="1" customHeight="1">
      <c r="A110" s="17">
        <f t="shared" si="1"/>
        <v>107</v>
      </c>
      <c r="B110" s="18" t="s">
        <v>27</v>
      </c>
      <c r="C110" s="31" t="s">
        <v>550</v>
      </c>
      <c r="D110" s="19" t="s">
        <v>768</v>
      </c>
      <c r="E110" s="20" t="s">
        <v>551</v>
      </c>
      <c r="F110" s="32" t="s">
        <v>769</v>
      </c>
      <c r="G110" s="22" t="s">
        <v>42</v>
      </c>
      <c r="H110" s="23" t="s">
        <v>770</v>
      </c>
      <c r="I110" s="24" t="s">
        <v>55</v>
      </c>
      <c r="J110" s="1" t="str">
        <f t="shared" si="0"/>
        <v/>
      </c>
      <c r="K110" s="1"/>
      <c r="L110" s="1"/>
      <c r="M110" s="130">
        <v>107</v>
      </c>
      <c r="N110" s="130" t="s">
        <v>4337</v>
      </c>
      <c r="O110" s="131" t="s">
        <v>2262</v>
      </c>
      <c r="P110" s="130" t="s">
        <v>4489</v>
      </c>
      <c r="Q110" s="130" t="s">
        <v>2264</v>
      </c>
      <c r="R110" s="130">
        <v>5</v>
      </c>
      <c r="S110" s="130" t="s">
        <v>4347</v>
      </c>
      <c r="T110" s="130" t="s">
        <v>4490</v>
      </c>
      <c r="U110" s="130" t="s">
        <v>20</v>
      </c>
      <c r="V110" s="129"/>
      <c r="W110" s="129"/>
      <c r="X110" s="129" t="s">
        <v>21</v>
      </c>
    </row>
    <row r="111" spans="1:24" ht="26.25" hidden="1" customHeight="1">
      <c r="A111" s="17">
        <f t="shared" si="1"/>
        <v>108</v>
      </c>
      <c r="B111" s="18" t="s">
        <v>105</v>
      </c>
      <c r="C111" s="31" t="s">
        <v>774</v>
      </c>
      <c r="D111" s="19" t="s">
        <v>196</v>
      </c>
      <c r="E111" s="20" t="s">
        <v>775</v>
      </c>
      <c r="F111" s="32" t="s">
        <v>776</v>
      </c>
      <c r="G111" s="33" t="s">
        <v>42</v>
      </c>
      <c r="H111" s="23" t="s">
        <v>777</v>
      </c>
      <c r="I111" s="24" t="s">
        <v>55</v>
      </c>
      <c r="J111" s="1" t="str">
        <f t="shared" si="0"/>
        <v/>
      </c>
      <c r="K111" s="1"/>
      <c r="L111" s="1"/>
      <c r="M111" s="130">
        <v>108</v>
      </c>
      <c r="N111" s="130" t="s">
        <v>4337</v>
      </c>
      <c r="O111" s="131" t="s">
        <v>2282</v>
      </c>
      <c r="P111" s="130" t="s">
        <v>840</v>
      </c>
      <c r="Q111" s="130" t="s">
        <v>2283</v>
      </c>
      <c r="R111" s="130">
        <v>12</v>
      </c>
      <c r="S111" s="130" t="s">
        <v>4347</v>
      </c>
      <c r="T111" s="130" t="s">
        <v>4491</v>
      </c>
      <c r="U111" s="130" t="s">
        <v>53</v>
      </c>
      <c r="V111" s="129" t="s">
        <v>4394</v>
      </c>
      <c r="W111" s="129"/>
      <c r="X111" s="129" t="s">
        <v>21</v>
      </c>
    </row>
    <row r="112" spans="1:24" ht="26.25" hidden="1" customHeight="1">
      <c r="A112" s="17">
        <f t="shared" si="1"/>
        <v>109</v>
      </c>
      <c r="B112" s="18" t="s">
        <v>27</v>
      </c>
      <c r="C112" s="19" t="s">
        <v>781</v>
      </c>
      <c r="D112" s="19" t="s">
        <v>782</v>
      </c>
      <c r="E112" s="20" t="s">
        <v>783</v>
      </c>
      <c r="F112" s="21" t="s">
        <v>784</v>
      </c>
      <c r="G112" s="22" t="s">
        <v>42</v>
      </c>
      <c r="H112" s="23" t="s">
        <v>785</v>
      </c>
      <c r="I112" s="24" t="s">
        <v>20</v>
      </c>
      <c r="J112" s="1" t="str">
        <f t="shared" si="0"/>
        <v>FRIC</v>
      </c>
      <c r="K112" s="1"/>
      <c r="L112" s="1"/>
      <c r="M112" s="130">
        <v>109</v>
      </c>
      <c r="N112" s="130" t="s">
        <v>4337</v>
      </c>
      <c r="O112" s="131" t="s">
        <v>2286</v>
      </c>
      <c r="P112" s="130" t="s">
        <v>255</v>
      </c>
      <c r="Q112" s="130" t="s">
        <v>2288</v>
      </c>
      <c r="R112" s="130">
        <v>12</v>
      </c>
      <c r="S112" s="130" t="s">
        <v>4347</v>
      </c>
      <c r="T112" s="130" t="s">
        <v>4492</v>
      </c>
      <c r="U112" s="129"/>
      <c r="V112" s="129"/>
      <c r="W112" s="129"/>
      <c r="X112" s="129" t="s">
        <v>21</v>
      </c>
    </row>
    <row r="113" spans="1:24" ht="26.25" hidden="1" customHeight="1">
      <c r="A113" s="17">
        <f t="shared" si="1"/>
        <v>110</v>
      </c>
      <c r="B113" s="18" t="s">
        <v>105</v>
      </c>
      <c r="C113" s="31" t="s">
        <v>789</v>
      </c>
      <c r="D113" s="19" t="s">
        <v>790</v>
      </c>
      <c r="E113" s="20" t="s">
        <v>791</v>
      </c>
      <c r="F113" s="32" t="s">
        <v>170</v>
      </c>
      <c r="G113" s="33" t="s">
        <v>53</v>
      </c>
      <c r="H113" s="23" t="s">
        <v>792</v>
      </c>
      <c r="I113" s="24" t="s">
        <v>55</v>
      </c>
      <c r="J113" s="1" t="str">
        <f t="shared" si="0"/>
        <v/>
      </c>
      <c r="K113" s="1"/>
      <c r="L113" s="1"/>
      <c r="M113" s="130">
        <v>110</v>
      </c>
      <c r="N113" s="130" t="s">
        <v>4337</v>
      </c>
      <c r="O113" s="136" t="s">
        <v>4493</v>
      </c>
      <c r="P113" s="137" t="s">
        <v>447</v>
      </c>
      <c r="Q113" s="130" t="s">
        <v>2297</v>
      </c>
      <c r="R113" s="130">
        <v>6</v>
      </c>
      <c r="S113" s="130" t="s">
        <v>4347</v>
      </c>
      <c r="T113" s="130" t="s">
        <v>4494</v>
      </c>
      <c r="U113" s="130" t="s">
        <v>53</v>
      </c>
      <c r="V113" s="129" t="s">
        <v>4342</v>
      </c>
      <c r="W113" s="129"/>
      <c r="X113" s="129" t="s">
        <v>21</v>
      </c>
    </row>
    <row r="114" spans="1:24" ht="26.25" hidden="1" customHeight="1">
      <c r="A114" s="17">
        <f t="shared" si="1"/>
        <v>111</v>
      </c>
      <c r="B114" s="18" t="s">
        <v>105</v>
      </c>
      <c r="C114" s="31" t="s">
        <v>796</v>
      </c>
      <c r="D114" s="19" t="s">
        <v>797</v>
      </c>
      <c r="E114" s="20" t="s">
        <v>798</v>
      </c>
      <c r="F114" s="32" t="s">
        <v>252</v>
      </c>
      <c r="G114" s="33" t="s">
        <v>42</v>
      </c>
      <c r="H114" s="23" t="s">
        <v>799</v>
      </c>
      <c r="I114" s="24" t="s">
        <v>55</v>
      </c>
      <c r="J114" s="1" t="str">
        <f t="shared" si="0"/>
        <v/>
      </c>
      <c r="K114" s="1"/>
      <c r="L114" s="1"/>
      <c r="M114" s="130">
        <v>111</v>
      </c>
      <c r="N114" s="130" t="s">
        <v>4337</v>
      </c>
      <c r="O114" s="131" t="s">
        <v>2314</v>
      </c>
      <c r="P114" s="130" t="s">
        <v>1078</v>
      </c>
      <c r="Q114" s="130" t="s">
        <v>2315</v>
      </c>
      <c r="R114" s="130">
        <v>6</v>
      </c>
      <c r="S114" s="129"/>
      <c r="T114" s="130" t="s">
        <v>4495</v>
      </c>
      <c r="U114" s="130" t="s">
        <v>53</v>
      </c>
      <c r="V114" s="129" t="s">
        <v>4342</v>
      </c>
      <c r="W114" s="129"/>
      <c r="X114" s="129" t="s">
        <v>21</v>
      </c>
    </row>
    <row r="115" spans="1:24" ht="26.25" hidden="1" customHeight="1">
      <c r="A115" s="17">
        <f t="shared" si="1"/>
        <v>112</v>
      </c>
      <c r="B115" s="64" t="s">
        <v>27</v>
      </c>
      <c r="C115" s="31" t="s">
        <v>804</v>
      </c>
      <c r="D115" s="19" t="s">
        <v>797</v>
      </c>
      <c r="E115" s="20" t="s">
        <v>805</v>
      </c>
      <c r="F115" s="32" t="s">
        <v>681</v>
      </c>
      <c r="G115" s="22" t="s">
        <v>42</v>
      </c>
      <c r="H115" s="23" t="s">
        <v>806</v>
      </c>
      <c r="I115" s="24" t="s">
        <v>55</v>
      </c>
      <c r="J115" s="1" t="str">
        <f t="shared" si="0"/>
        <v/>
      </c>
      <c r="K115" s="1"/>
      <c r="L115" s="1"/>
      <c r="M115" s="130">
        <v>112</v>
      </c>
      <c r="N115" s="130" t="s">
        <v>4337</v>
      </c>
      <c r="O115" s="131" t="s">
        <v>2344</v>
      </c>
      <c r="P115" s="130" t="s">
        <v>112</v>
      </c>
      <c r="Q115" s="130" t="s">
        <v>2345</v>
      </c>
      <c r="R115" s="130">
        <v>10</v>
      </c>
      <c r="S115" s="129"/>
      <c r="T115" s="130" t="s">
        <v>4423</v>
      </c>
      <c r="U115" s="130" t="s">
        <v>53</v>
      </c>
      <c r="V115" s="129" t="s">
        <v>4342</v>
      </c>
      <c r="W115" s="129"/>
      <c r="X115" s="129" t="s">
        <v>21</v>
      </c>
    </row>
    <row r="116" spans="1:24" ht="26.25" hidden="1" customHeight="1">
      <c r="A116" s="17">
        <f t="shared" si="1"/>
        <v>113</v>
      </c>
      <c r="B116" s="18" t="s">
        <v>13</v>
      </c>
      <c r="C116" s="66" t="s">
        <v>810</v>
      </c>
      <c r="D116" s="19" t="s">
        <v>797</v>
      </c>
      <c r="E116" s="20" t="s">
        <v>811</v>
      </c>
      <c r="F116" s="21" t="s">
        <v>135</v>
      </c>
      <c r="G116" s="22" t="s">
        <v>42</v>
      </c>
      <c r="H116" s="23" t="s">
        <v>812</v>
      </c>
      <c r="I116" s="24" t="s">
        <v>20</v>
      </c>
      <c r="J116" s="1" t="str">
        <f t="shared" si="0"/>
        <v>FRIC</v>
      </c>
      <c r="K116" s="1"/>
      <c r="L116" s="1"/>
      <c r="M116" s="130">
        <v>113</v>
      </c>
      <c r="N116" s="130" t="s">
        <v>4337</v>
      </c>
      <c r="O116" s="136" t="s">
        <v>2348</v>
      </c>
      <c r="P116" s="137" t="s">
        <v>447</v>
      </c>
      <c r="Q116" s="130" t="s">
        <v>2349</v>
      </c>
      <c r="R116" s="130">
        <v>6</v>
      </c>
      <c r="S116" s="130" t="s">
        <v>4347</v>
      </c>
      <c r="T116" s="130" t="s">
        <v>4494</v>
      </c>
      <c r="U116" s="130" t="s">
        <v>53</v>
      </c>
      <c r="V116" s="129" t="s">
        <v>4342</v>
      </c>
      <c r="W116" s="129"/>
      <c r="X116" s="129" t="s">
        <v>21</v>
      </c>
    </row>
    <row r="117" spans="1:24" ht="26.25" customHeight="1">
      <c r="A117" s="17">
        <f t="shared" si="1"/>
        <v>114</v>
      </c>
      <c r="B117" s="67" t="s">
        <v>105</v>
      </c>
      <c r="C117" s="31" t="s">
        <v>815</v>
      </c>
      <c r="D117" s="19" t="s">
        <v>45</v>
      </c>
      <c r="E117" s="20" t="s">
        <v>816</v>
      </c>
      <c r="F117" s="21" t="s">
        <v>817</v>
      </c>
      <c r="G117" s="33" t="s">
        <v>42</v>
      </c>
      <c r="H117" s="23" t="s">
        <v>818</v>
      </c>
      <c r="I117" s="34" t="s">
        <v>20</v>
      </c>
      <c r="J117" s="1" t="str">
        <f t="shared" si="0"/>
        <v>과기</v>
      </c>
      <c r="K117" s="25"/>
      <c r="L117" s="25"/>
      <c r="M117" s="133">
        <v>114</v>
      </c>
      <c r="N117" s="133" t="s">
        <v>4337</v>
      </c>
      <c r="O117" s="134" t="s">
        <v>2356</v>
      </c>
      <c r="P117" s="133" t="s">
        <v>255</v>
      </c>
      <c r="Q117" s="133" t="s">
        <v>2357</v>
      </c>
      <c r="R117" s="133">
        <v>4</v>
      </c>
      <c r="S117" s="133" t="s">
        <v>4347</v>
      </c>
      <c r="T117" s="133" t="s">
        <v>4406</v>
      </c>
      <c r="U117" s="135"/>
      <c r="V117" s="135"/>
      <c r="W117" s="135"/>
      <c r="X117" s="135" t="s">
        <v>21</v>
      </c>
    </row>
    <row r="118" spans="1:24" ht="26.25" hidden="1" customHeight="1">
      <c r="A118" s="17">
        <f t="shared" si="1"/>
        <v>115</v>
      </c>
      <c r="B118" s="18" t="s">
        <v>175</v>
      </c>
      <c r="C118" s="31" t="s">
        <v>821</v>
      </c>
      <c r="D118" s="19" t="s">
        <v>797</v>
      </c>
      <c r="E118" s="20" t="s">
        <v>822</v>
      </c>
      <c r="F118" s="32" t="s">
        <v>519</v>
      </c>
      <c r="G118" s="33" t="s">
        <v>42</v>
      </c>
      <c r="H118" s="23" t="s">
        <v>823</v>
      </c>
      <c r="I118" s="24" t="s">
        <v>55</v>
      </c>
      <c r="J118" s="1" t="str">
        <f t="shared" si="0"/>
        <v/>
      </c>
      <c r="K118" s="1"/>
      <c r="L118" s="1"/>
      <c r="M118" s="130">
        <v>115</v>
      </c>
      <c r="N118" s="130" t="s">
        <v>4337</v>
      </c>
      <c r="O118" s="131" t="s">
        <v>2376</v>
      </c>
      <c r="P118" s="130" t="s">
        <v>2377</v>
      </c>
      <c r="Q118" s="130" t="s">
        <v>2378</v>
      </c>
      <c r="R118" s="130">
        <v>4</v>
      </c>
      <c r="S118" s="130" t="s">
        <v>4347</v>
      </c>
      <c r="T118" s="130" t="s">
        <v>4496</v>
      </c>
      <c r="U118" s="130" t="s">
        <v>53</v>
      </c>
      <c r="V118" s="129" t="s">
        <v>4497</v>
      </c>
      <c r="W118" s="129"/>
      <c r="X118" s="129" t="s">
        <v>21</v>
      </c>
    </row>
    <row r="119" spans="1:24" ht="26.25" hidden="1" customHeight="1">
      <c r="A119" s="17">
        <f t="shared" si="1"/>
        <v>116</v>
      </c>
      <c r="B119" s="18" t="s">
        <v>37</v>
      </c>
      <c r="C119" s="19" t="s">
        <v>827</v>
      </c>
      <c r="D119" s="19" t="s">
        <v>124</v>
      </c>
      <c r="E119" s="20" t="s">
        <v>828</v>
      </c>
      <c r="F119" s="21" t="s">
        <v>17</v>
      </c>
      <c r="G119" s="22" t="s">
        <v>42</v>
      </c>
      <c r="H119" s="23" t="s">
        <v>829</v>
      </c>
      <c r="I119" s="24" t="s">
        <v>20</v>
      </c>
      <c r="J119" s="1" t="str">
        <f t="shared" si="0"/>
        <v>FRIC</v>
      </c>
      <c r="K119" s="1"/>
      <c r="L119" s="1"/>
      <c r="M119" s="130">
        <v>116</v>
      </c>
      <c r="N119" s="130" t="s">
        <v>4337</v>
      </c>
      <c r="O119" s="131" t="s">
        <v>2380</v>
      </c>
      <c r="P119" s="130" t="s">
        <v>2377</v>
      </c>
      <c r="Q119" s="130" t="s">
        <v>2381</v>
      </c>
      <c r="R119" s="130">
        <v>4</v>
      </c>
      <c r="S119" s="130" t="s">
        <v>4347</v>
      </c>
      <c r="T119" s="130" t="s">
        <v>4496</v>
      </c>
      <c r="U119" s="130" t="s">
        <v>53</v>
      </c>
      <c r="V119" s="129" t="s">
        <v>4497</v>
      </c>
      <c r="W119" s="129"/>
      <c r="X119" s="129" t="s">
        <v>21</v>
      </c>
    </row>
    <row r="120" spans="1:24" ht="26.25" hidden="1" customHeight="1">
      <c r="A120" s="17">
        <f t="shared" si="1"/>
        <v>117</v>
      </c>
      <c r="B120" s="18" t="s">
        <v>132</v>
      </c>
      <c r="C120" s="31" t="s">
        <v>646</v>
      </c>
      <c r="D120" s="19" t="s">
        <v>647</v>
      </c>
      <c r="E120" s="20" t="s">
        <v>648</v>
      </c>
      <c r="F120" s="32" t="s">
        <v>496</v>
      </c>
      <c r="G120" s="22" t="s">
        <v>53</v>
      </c>
      <c r="H120" s="23" t="s">
        <v>830</v>
      </c>
      <c r="I120" s="24" t="s">
        <v>55</v>
      </c>
      <c r="J120" s="1" t="str">
        <f t="shared" si="0"/>
        <v/>
      </c>
      <c r="K120" s="1"/>
      <c r="L120" s="1"/>
      <c r="M120" s="130">
        <v>117</v>
      </c>
      <c r="N120" s="130" t="s">
        <v>4337</v>
      </c>
      <c r="O120" s="136" t="s">
        <v>2384</v>
      </c>
      <c r="P120" s="137" t="s">
        <v>447</v>
      </c>
      <c r="Q120" s="130" t="s">
        <v>2385</v>
      </c>
      <c r="R120" s="130">
        <v>6</v>
      </c>
      <c r="S120" s="130" t="s">
        <v>4347</v>
      </c>
      <c r="T120" s="130" t="s">
        <v>4494</v>
      </c>
      <c r="U120" s="130" t="s">
        <v>53</v>
      </c>
      <c r="V120" s="129" t="s">
        <v>4342</v>
      </c>
      <c r="W120" s="129"/>
      <c r="X120" s="129" t="s">
        <v>21</v>
      </c>
    </row>
    <row r="121" spans="1:24" ht="26.25" hidden="1" customHeight="1">
      <c r="A121" s="17">
        <f t="shared" si="1"/>
        <v>118</v>
      </c>
      <c r="B121" s="18" t="s">
        <v>132</v>
      </c>
      <c r="C121" s="31" t="s">
        <v>834</v>
      </c>
      <c r="D121" s="19" t="s">
        <v>835</v>
      </c>
      <c r="E121" s="20" t="s">
        <v>836</v>
      </c>
      <c r="F121" s="32" t="s">
        <v>837</v>
      </c>
      <c r="G121" s="22" t="s">
        <v>53</v>
      </c>
      <c r="H121" s="23" t="s">
        <v>838</v>
      </c>
      <c r="I121" s="34" t="s">
        <v>55</v>
      </c>
      <c r="J121" s="1" t="str">
        <f t="shared" si="0"/>
        <v/>
      </c>
      <c r="K121" s="25"/>
      <c r="L121" s="25"/>
      <c r="M121" s="133">
        <v>118</v>
      </c>
      <c r="N121" s="133" t="s">
        <v>4337</v>
      </c>
      <c r="O121" s="134" t="s">
        <v>4498</v>
      </c>
      <c r="P121" s="133" t="s">
        <v>1078</v>
      </c>
      <c r="Q121" s="133" t="s">
        <v>2393</v>
      </c>
      <c r="R121" s="133">
        <v>12</v>
      </c>
      <c r="S121" s="135"/>
      <c r="T121" s="133" t="s">
        <v>4499</v>
      </c>
      <c r="U121" s="133" t="s">
        <v>53</v>
      </c>
      <c r="V121" s="135" t="s">
        <v>4342</v>
      </c>
      <c r="W121" s="135"/>
      <c r="X121" s="135" t="s">
        <v>21</v>
      </c>
    </row>
    <row r="122" spans="1:24" ht="26.25" customHeight="1">
      <c r="A122" s="17">
        <f t="shared" si="1"/>
        <v>119</v>
      </c>
      <c r="B122" s="18" t="s">
        <v>27</v>
      </c>
      <c r="C122" s="19" t="s">
        <v>841</v>
      </c>
      <c r="D122" s="19" t="s">
        <v>141</v>
      </c>
      <c r="E122" s="20" t="s">
        <v>842</v>
      </c>
      <c r="F122" s="21" t="s">
        <v>135</v>
      </c>
      <c r="G122" s="22" t="s">
        <v>42</v>
      </c>
      <c r="H122" s="23" t="s">
        <v>843</v>
      </c>
      <c r="I122" s="24" t="s">
        <v>20</v>
      </c>
      <c r="J122" s="1" t="str">
        <f t="shared" si="0"/>
        <v>과기</v>
      </c>
      <c r="K122" s="1"/>
      <c r="L122" s="1"/>
      <c r="M122" s="130">
        <v>119</v>
      </c>
      <c r="N122" s="130" t="s">
        <v>4337</v>
      </c>
      <c r="O122" s="131" t="s">
        <v>4500</v>
      </c>
      <c r="P122" s="130" t="s">
        <v>255</v>
      </c>
      <c r="Q122" s="130" t="s">
        <v>3412</v>
      </c>
      <c r="R122" s="130">
        <v>12</v>
      </c>
      <c r="S122" s="130" t="s">
        <v>4347</v>
      </c>
      <c r="T122" s="130" t="s">
        <v>4501</v>
      </c>
      <c r="U122" s="129"/>
      <c r="V122" s="129"/>
      <c r="W122" s="129"/>
      <c r="X122" s="129" t="s">
        <v>21</v>
      </c>
    </row>
    <row r="123" spans="1:24" ht="26.25" hidden="1" customHeight="1">
      <c r="A123" s="17">
        <f t="shared" si="1"/>
        <v>120</v>
      </c>
      <c r="B123" s="18" t="s">
        <v>27</v>
      </c>
      <c r="C123" s="31" t="s">
        <v>846</v>
      </c>
      <c r="D123" s="19" t="s">
        <v>847</v>
      </c>
      <c r="E123" s="20" t="s">
        <v>848</v>
      </c>
      <c r="F123" s="32" t="s">
        <v>170</v>
      </c>
      <c r="G123" s="22" t="s">
        <v>42</v>
      </c>
      <c r="H123" s="23" t="s">
        <v>849</v>
      </c>
      <c r="I123" s="24" t="s">
        <v>55</v>
      </c>
      <c r="J123" s="1" t="str">
        <f t="shared" si="0"/>
        <v/>
      </c>
      <c r="K123" s="1"/>
      <c r="L123" s="1"/>
      <c r="M123" s="130">
        <v>120</v>
      </c>
      <c r="N123" s="130" t="s">
        <v>4337</v>
      </c>
      <c r="O123" s="131" t="s">
        <v>4502</v>
      </c>
      <c r="P123" s="130" t="s">
        <v>4503</v>
      </c>
      <c r="Q123" s="130" t="s">
        <v>2412</v>
      </c>
      <c r="R123" s="130">
        <v>12</v>
      </c>
      <c r="S123" s="129"/>
      <c r="T123" s="130" t="s">
        <v>4504</v>
      </c>
      <c r="U123" s="130" t="s">
        <v>20</v>
      </c>
      <c r="V123" s="129"/>
      <c r="W123" s="129"/>
      <c r="X123" s="129" t="s">
        <v>21</v>
      </c>
    </row>
    <row r="124" spans="1:24" ht="26.25" hidden="1" customHeight="1">
      <c r="A124" s="17">
        <f t="shared" si="1"/>
        <v>121</v>
      </c>
      <c r="B124" s="18" t="s">
        <v>37</v>
      </c>
      <c r="C124" s="31" t="s">
        <v>853</v>
      </c>
      <c r="D124" s="19" t="s">
        <v>854</v>
      </c>
      <c r="E124" s="20" t="s">
        <v>855</v>
      </c>
      <c r="F124" s="32" t="s">
        <v>170</v>
      </c>
      <c r="G124" s="22" t="s">
        <v>53</v>
      </c>
      <c r="H124" s="23" t="s">
        <v>856</v>
      </c>
      <c r="I124" s="24" t="s">
        <v>55</v>
      </c>
      <c r="J124" s="1" t="str">
        <f t="shared" si="0"/>
        <v/>
      </c>
      <c r="K124" s="1"/>
      <c r="L124" s="1"/>
      <c r="M124" s="130">
        <v>121</v>
      </c>
      <c r="N124" s="130" t="s">
        <v>4337</v>
      </c>
      <c r="O124" s="131" t="s">
        <v>4505</v>
      </c>
      <c r="P124" s="130" t="s">
        <v>255</v>
      </c>
      <c r="Q124" s="130" t="s">
        <v>2481</v>
      </c>
      <c r="R124" s="130">
        <v>8</v>
      </c>
      <c r="S124" s="130" t="s">
        <v>4347</v>
      </c>
      <c r="T124" s="130" t="s">
        <v>4506</v>
      </c>
      <c r="U124" s="129"/>
      <c r="V124" s="129"/>
      <c r="W124" s="129"/>
      <c r="X124" s="129" t="s">
        <v>21</v>
      </c>
    </row>
    <row r="125" spans="1:24" ht="26.25" hidden="1" customHeight="1">
      <c r="A125" s="17">
        <f t="shared" si="1"/>
        <v>122</v>
      </c>
      <c r="B125" s="18" t="s">
        <v>37</v>
      </c>
      <c r="C125" s="19" t="s">
        <v>860</v>
      </c>
      <c r="D125" s="19" t="s">
        <v>861</v>
      </c>
      <c r="E125" s="20" t="s">
        <v>862</v>
      </c>
      <c r="F125" s="21" t="s">
        <v>863</v>
      </c>
      <c r="G125" s="22" t="s">
        <v>53</v>
      </c>
      <c r="H125" s="23" t="s">
        <v>864</v>
      </c>
      <c r="I125" s="24" t="s">
        <v>20</v>
      </c>
      <c r="J125" s="1" t="str">
        <f t="shared" si="0"/>
        <v>FRIC</v>
      </c>
      <c r="K125" s="1"/>
      <c r="L125" s="1"/>
      <c r="M125" s="130">
        <v>122</v>
      </c>
      <c r="N125" s="130" t="s">
        <v>4337</v>
      </c>
      <c r="O125" s="136" t="s">
        <v>2487</v>
      </c>
      <c r="P125" s="137" t="s">
        <v>447</v>
      </c>
      <c r="Q125" s="130" t="s">
        <v>2488</v>
      </c>
      <c r="R125" s="130">
        <v>12</v>
      </c>
      <c r="S125" s="130" t="s">
        <v>4347</v>
      </c>
      <c r="T125" s="130" t="s">
        <v>4460</v>
      </c>
      <c r="U125" s="130" t="s">
        <v>53</v>
      </c>
      <c r="V125" s="129" t="s">
        <v>4342</v>
      </c>
      <c r="W125" s="129"/>
      <c r="X125" s="129" t="s">
        <v>21</v>
      </c>
    </row>
    <row r="126" spans="1:24" ht="26.25" hidden="1" customHeight="1">
      <c r="A126" s="17">
        <f t="shared" si="1"/>
        <v>123</v>
      </c>
      <c r="B126" s="18" t="s">
        <v>867</v>
      </c>
      <c r="C126" s="31" t="s">
        <v>868</v>
      </c>
      <c r="D126" s="19" t="s">
        <v>869</v>
      </c>
      <c r="E126" s="20" t="s">
        <v>870</v>
      </c>
      <c r="F126" s="32">
        <v>1964</v>
      </c>
      <c r="G126" s="33" t="s">
        <v>42</v>
      </c>
      <c r="H126" s="23" t="s">
        <v>871</v>
      </c>
      <c r="I126" s="24" t="s">
        <v>55</v>
      </c>
      <c r="J126" s="1" t="str">
        <f t="shared" si="0"/>
        <v/>
      </c>
      <c r="K126" s="1"/>
      <c r="L126" s="1"/>
      <c r="M126" s="130">
        <v>123</v>
      </c>
      <c r="N126" s="130" t="s">
        <v>4337</v>
      </c>
      <c r="O126" s="136" t="s">
        <v>2490</v>
      </c>
      <c r="P126" s="137" t="s">
        <v>447</v>
      </c>
      <c r="Q126" s="130" t="s">
        <v>2491</v>
      </c>
      <c r="R126" s="130">
        <v>12</v>
      </c>
      <c r="S126" s="130" t="s">
        <v>4347</v>
      </c>
      <c r="T126" s="130" t="s">
        <v>4460</v>
      </c>
      <c r="U126" s="130" t="s">
        <v>53</v>
      </c>
      <c r="V126" s="129" t="s">
        <v>4342</v>
      </c>
      <c r="W126" s="129"/>
      <c r="X126" s="129" t="s">
        <v>21</v>
      </c>
    </row>
    <row r="127" spans="1:24" ht="26.25" customHeight="1">
      <c r="A127" s="17">
        <f t="shared" si="1"/>
        <v>124</v>
      </c>
      <c r="B127" s="18" t="s">
        <v>27</v>
      </c>
      <c r="C127" s="31" t="s">
        <v>874</v>
      </c>
      <c r="D127" s="19" t="s">
        <v>673</v>
      </c>
      <c r="E127" s="20" t="s">
        <v>875</v>
      </c>
      <c r="F127" s="21" t="s">
        <v>876</v>
      </c>
      <c r="G127" s="22" t="s">
        <v>42</v>
      </c>
      <c r="H127" s="23" t="s">
        <v>877</v>
      </c>
      <c r="I127" s="34" t="s">
        <v>20</v>
      </c>
      <c r="J127" s="1" t="str">
        <f t="shared" si="0"/>
        <v>과기</v>
      </c>
      <c r="K127" s="25"/>
      <c r="L127" s="25"/>
      <c r="M127" s="133">
        <v>124</v>
      </c>
      <c r="N127" s="133" t="s">
        <v>4337</v>
      </c>
      <c r="O127" s="134" t="s">
        <v>2493</v>
      </c>
      <c r="P127" s="133" t="s">
        <v>255</v>
      </c>
      <c r="Q127" s="133" t="s">
        <v>2494</v>
      </c>
      <c r="R127" s="133">
        <v>6</v>
      </c>
      <c r="S127" s="133" t="s">
        <v>4347</v>
      </c>
      <c r="T127" s="133" t="s">
        <v>4507</v>
      </c>
      <c r="U127" s="135"/>
      <c r="V127" s="135"/>
      <c r="W127" s="135"/>
      <c r="X127" s="135" t="s">
        <v>21</v>
      </c>
    </row>
    <row r="128" spans="1:24" ht="26.25" hidden="1" customHeight="1">
      <c r="A128" s="17">
        <f t="shared" si="1"/>
        <v>125</v>
      </c>
      <c r="B128" s="18" t="s">
        <v>27</v>
      </c>
      <c r="C128" s="19" t="s">
        <v>880</v>
      </c>
      <c r="D128" s="19" t="s">
        <v>665</v>
      </c>
      <c r="E128" s="20" t="s">
        <v>881</v>
      </c>
      <c r="F128" s="21" t="s">
        <v>882</v>
      </c>
      <c r="G128" s="22" t="s">
        <v>31</v>
      </c>
      <c r="H128" s="23" t="s">
        <v>883</v>
      </c>
      <c r="I128" s="24" t="s">
        <v>20</v>
      </c>
      <c r="J128" s="1" t="str">
        <f t="shared" si="0"/>
        <v>FRIC</v>
      </c>
      <c r="K128" s="1"/>
      <c r="L128" s="1"/>
      <c r="M128" s="130">
        <v>125</v>
      </c>
      <c r="N128" s="130" t="s">
        <v>4337</v>
      </c>
      <c r="O128" s="131" t="s">
        <v>2496</v>
      </c>
      <c r="P128" s="130" t="s">
        <v>1078</v>
      </c>
      <c r="Q128" s="130" t="s">
        <v>2497</v>
      </c>
      <c r="R128" s="130">
        <v>4</v>
      </c>
      <c r="S128" s="129"/>
      <c r="T128" s="130" t="s">
        <v>4508</v>
      </c>
      <c r="U128" s="130" t="s">
        <v>53</v>
      </c>
      <c r="V128" s="129" t="s">
        <v>4342</v>
      </c>
      <c r="W128" s="129"/>
      <c r="X128" s="129" t="s">
        <v>21</v>
      </c>
    </row>
    <row r="129" spans="1:24" ht="26.25" hidden="1" customHeight="1">
      <c r="A129" s="17">
        <f t="shared" si="1"/>
        <v>126</v>
      </c>
      <c r="B129" s="18" t="s">
        <v>27</v>
      </c>
      <c r="C129" s="31" t="s">
        <v>886</v>
      </c>
      <c r="D129" s="19" t="s">
        <v>808</v>
      </c>
      <c r="E129" s="20" t="s">
        <v>887</v>
      </c>
      <c r="F129" s="32" t="s">
        <v>252</v>
      </c>
      <c r="G129" s="22" t="s">
        <v>42</v>
      </c>
      <c r="H129" s="23" t="s">
        <v>888</v>
      </c>
      <c r="I129" s="24" t="s">
        <v>55</v>
      </c>
      <c r="J129" s="1" t="str">
        <f t="shared" si="0"/>
        <v/>
      </c>
      <c r="K129" s="1"/>
      <c r="L129" s="1"/>
      <c r="M129" s="130">
        <v>126</v>
      </c>
      <c r="N129" s="130" t="s">
        <v>4337</v>
      </c>
      <c r="O129" s="136" t="s">
        <v>4509</v>
      </c>
      <c r="P129" s="137" t="s">
        <v>447</v>
      </c>
      <c r="Q129" s="130" t="s">
        <v>2510</v>
      </c>
      <c r="R129" s="130">
        <v>6</v>
      </c>
      <c r="S129" s="130" t="s">
        <v>4347</v>
      </c>
      <c r="T129" s="130" t="s">
        <v>4494</v>
      </c>
      <c r="U129" s="130" t="s">
        <v>53</v>
      </c>
      <c r="V129" s="129" t="s">
        <v>4342</v>
      </c>
      <c r="W129" s="129"/>
      <c r="X129" s="129" t="s">
        <v>21</v>
      </c>
    </row>
    <row r="130" spans="1:24" ht="26.25" hidden="1" customHeight="1">
      <c r="A130" s="17">
        <f t="shared" si="1"/>
        <v>127</v>
      </c>
      <c r="B130" s="18" t="s">
        <v>27</v>
      </c>
      <c r="C130" s="19" t="s">
        <v>890</v>
      </c>
      <c r="D130" s="19" t="s">
        <v>891</v>
      </c>
      <c r="E130" s="20" t="s">
        <v>892</v>
      </c>
      <c r="F130" s="21" t="s">
        <v>893</v>
      </c>
      <c r="G130" s="22" t="s">
        <v>31</v>
      </c>
      <c r="H130" s="23" t="s">
        <v>894</v>
      </c>
      <c r="I130" s="24" t="s">
        <v>20</v>
      </c>
      <c r="J130" s="1" t="str">
        <f t="shared" si="0"/>
        <v>FRIC</v>
      </c>
      <c r="K130" s="1"/>
      <c r="L130" s="1"/>
      <c r="M130" s="130">
        <v>127</v>
      </c>
      <c r="N130" s="130" t="s">
        <v>4337</v>
      </c>
      <c r="O130" s="131" t="s">
        <v>2515</v>
      </c>
      <c r="P130" s="130" t="s">
        <v>1078</v>
      </c>
      <c r="Q130" s="130" t="s">
        <v>2516</v>
      </c>
      <c r="R130" s="130">
        <v>12</v>
      </c>
      <c r="S130" s="129"/>
      <c r="T130" s="130" t="s">
        <v>4510</v>
      </c>
      <c r="U130" s="130" t="s">
        <v>53</v>
      </c>
      <c r="V130" s="129" t="s">
        <v>4342</v>
      </c>
      <c r="W130" s="129"/>
      <c r="X130" s="129" t="s">
        <v>21</v>
      </c>
    </row>
    <row r="131" spans="1:24" ht="26.25" hidden="1" customHeight="1">
      <c r="A131" s="17">
        <f t="shared" si="1"/>
        <v>128</v>
      </c>
      <c r="B131" s="18" t="s">
        <v>27</v>
      </c>
      <c r="C131" s="19" t="s">
        <v>898</v>
      </c>
      <c r="D131" s="19" t="s">
        <v>227</v>
      </c>
      <c r="E131" s="20" t="s">
        <v>899</v>
      </c>
      <c r="F131" s="21" t="s">
        <v>900</v>
      </c>
      <c r="G131" s="22" t="s">
        <v>42</v>
      </c>
      <c r="H131" s="23" t="s">
        <v>901</v>
      </c>
      <c r="I131" s="24" t="s">
        <v>20</v>
      </c>
      <c r="J131" s="1" t="str">
        <f t="shared" si="0"/>
        <v>FRIC</v>
      </c>
      <c r="K131" s="1"/>
      <c r="L131" s="1"/>
      <c r="M131" s="130">
        <v>128</v>
      </c>
      <c r="N131" s="130" t="s">
        <v>4337</v>
      </c>
      <c r="O131" s="131" t="s">
        <v>2521</v>
      </c>
      <c r="P131" s="130" t="s">
        <v>1078</v>
      </c>
      <c r="Q131" s="130" t="s">
        <v>2522</v>
      </c>
      <c r="R131" s="130">
        <v>6</v>
      </c>
      <c r="S131" s="129"/>
      <c r="T131" s="130" t="s">
        <v>4511</v>
      </c>
      <c r="U131" s="130" t="s">
        <v>53</v>
      </c>
      <c r="V131" s="129" t="s">
        <v>4342</v>
      </c>
      <c r="W131" s="129"/>
      <c r="X131" s="129" t="s">
        <v>21</v>
      </c>
    </row>
    <row r="132" spans="1:24" ht="26.25" hidden="1" customHeight="1">
      <c r="A132" s="17">
        <f t="shared" si="1"/>
        <v>129</v>
      </c>
      <c r="B132" s="18" t="s">
        <v>27</v>
      </c>
      <c r="C132" s="19" t="s">
        <v>902</v>
      </c>
      <c r="D132" s="19" t="s">
        <v>903</v>
      </c>
      <c r="E132" s="20" t="s">
        <v>904</v>
      </c>
      <c r="F132" s="21" t="s">
        <v>905</v>
      </c>
      <c r="G132" s="22" t="s">
        <v>53</v>
      </c>
      <c r="H132" s="23" t="s">
        <v>906</v>
      </c>
      <c r="I132" s="24" t="s">
        <v>20</v>
      </c>
      <c r="J132" s="1" t="str">
        <f t="shared" si="0"/>
        <v>FRIC</v>
      </c>
      <c r="K132" s="1"/>
      <c r="L132" s="1"/>
      <c r="M132" s="130">
        <v>129</v>
      </c>
      <c r="N132" s="130" t="s">
        <v>4337</v>
      </c>
      <c r="O132" s="131" t="s">
        <v>2525</v>
      </c>
      <c r="P132" s="130" t="s">
        <v>255</v>
      </c>
      <c r="Q132" s="130" t="s">
        <v>2526</v>
      </c>
      <c r="R132" s="130">
        <v>6</v>
      </c>
      <c r="S132" s="130" t="s">
        <v>4347</v>
      </c>
      <c r="T132" s="130" t="s">
        <v>4512</v>
      </c>
      <c r="U132" s="129"/>
      <c r="V132" s="129"/>
      <c r="W132" s="129"/>
      <c r="X132" s="129" t="s">
        <v>21</v>
      </c>
    </row>
    <row r="133" spans="1:24" ht="26.25" hidden="1" customHeight="1">
      <c r="A133" s="17">
        <f t="shared" si="1"/>
        <v>130</v>
      </c>
      <c r="B133" s="18" t="s">
        <v>27</v>
      </c>
      <c r="C133" s="19" t="s">
        <v>908</v>
      </c>
      <c r="D133" s="19" t="s">
        <v>909</v>
      </c>
      <c r="E133" s="20" t="s">
        <v>910</v>
      </c>
      <c r="F133" s="21" t="s">
        <v>17</v>
      </c>
      <c r="G133" s="22" t="s">
        <v>53</v>
      </c>
      <c r="H133" s="23" t="s">
        <v>911</v>
      </c>
      <c r="I133" s="24" t="s">
        <v>20</v>
      </c>
      <c r="J133" s="1" t="str">
        <f t="shared" si="0"/>
        <v>FRIC</v>
      </c>
      <c r="K133" s="1"/>
      <c r="L133" s="1"/>
      <c r="M133" s="130">
        <v>130</v>
      </c>
      <c r="N133" s="130" t="s">
        <v>4337</v>
      </c>
      <c r="O133" s="131" t="s">
        <v>4513</v>
      </c>
      <c r="P133" s="130" t="s">
        <v>1068</v>
      </c>
      <c r="Q133" s="130" t="s">
        <v>2529</v>
      </c>
      <c r="R133" s="130">
        <v>6</v>
      </c>
      <c r="S133" s="130" t="s">
        <v>4347</v>
      </c>
      <c r="T133" s="130" t="s">
        <v>4514</v>
      </c>
      <c r="U133" s="130" t="s">
        <v>53</v>
      </c>
      <c r="V133" s="129" t="s">
        <v>4342</v>
      </c>
      <c r="W133" s="129"/>
      <c r="X133" s="129" t="s">
        <v>21</v>
      </c>
    </row>
    <row r="134" spans="1:24" ht="26.25" hidden="1" customHeight="1">
      <c r="A134" s="17">
        <f t="shared" si="1"/>
        <v>131</v>
      </c>
      <c r="B134" s="18" t="s">
        <v>27</v>
      </c>
      <c r="C134" s="31" t="s">
        <v>912</v>
      </c>
      <c r="D134" s="19" t="s">
        <v>913</v>
      </c>
      <c r="E134" s="20" t="s">
        <v>914</v>
      </c>
      <c r="F134" s="32" t="s">
        <v>915</v>
      </c>
      <c r="G134" s="22" t="s">
        <v>53</v>
      </c>
      <c r="H134" s="23" t="s">
        <v>916</v>
      </c>
      <c r="I134" s="24" t="s">
        <v>55</v>
      </c>
      <c r="J134" s="1" t="str">
        <f t="shared" si="0"/>
        <v/>
      </c>
      <c r="K134" s="1"/>
      <c r="L134" s="1"/>
      <c r="M134" s="130">
        <v>131</v>
      </c>
      <c r="N134" s="130" t="s">
        <v>4337</v>
      </c>
      <c r="O134" s="131" t="s">
        <v>2540</v>
      </c>
      <c r="P134" s="130" t="s">
        <v>196</v>
      </c>
      <c r="Q134" s="130" t="s">
        <v>2541</v>
      </c>
      <c r="R134" s="130">
        <v>12</v>
      </c>
      <c r="S134" s="130" t="s">
        <v>4347</v>
      </c>
      <c r="T134" s="130" t="s">
        <v>4515</v>
      </c>
      <c r="U134" s="129"/>
      <c r="V134" s="129"/>
      <c r="W134" s="129"/>
      <c r="X134" s="129" t="s">
        <v>21</v>
      </c>
    </row>
    <row r="135" spans="1:24" ht="26.25" hidden="1" customHeight="1">
      <c r="A135" s="17">
        <f t="shared" si="1"/>
        <v>132</v>
      </c>
      <c r="B135" s="18" t="s">
        <v>27</v>
      </c>
      <c r="C135" s="31" t="s">
        <v>544</v>
      </c>
      <c r="D135" s="19" t="s">
        <v>768</v>
      </c>
      <c r="E135" s="20" t="s">
        <v>546</v>
      </c>
      <c r="F135" s="32" t="s">
        <v>918</v>
      </c>
      <c r="G135" s="22" t="s">
        <v>42</v>
      </c>
      <c r="H135" s="23" t="s">
        <v>919</v>
      </c>
      <c r="I135" s="24" t="s">
        <v>55</v>
      </c>
      <c r="J135" s="1" t="str">
        <f t="shared" si="0"/>
        <v/>
      </c>
      <c r="K135" s="1"/>
      <c r="L135" s="1"/>
      <c r="M135" s="130">
        <v>132</v>
      </c>
      <c r="N135" s="130" t="s">
        <v>4337</v>
      </c>
      <c r="O135" s="131" t="s">
        <v>2566</v>
      </c>
      <c r="P135" s="130" t="s">
        <v>1028</v>
      </c>
      <c r="Q135" s="130" t="s">
        <v>2567</v>
      </c>
      <c r="R135" s="130">
        <v>12</v>
      </c>
      <c r="S135" s="129"/>
      <c r="T135" s="130" t="s">
        <v>4357</v>
      </c>
      <c r="U135" s="129"/>
      <c r="V135" s="129"/>
      <c r="W135" s="129"/>
      <c r="X135" s="129" t="s">
        <v>21</v>
      </c>
    </row>
    <row r="136" spans="1:24" ht="26.25" hidden="1" customHeight="1">
      <c r="A136" s="17">
        <f t="shared" si="1"/>
        <v>133</v>
      </c>
      <c r="B136" s="18" t="s">
        <v>175</v>
      </c>
      <c r="C136" s="31" t="s">
        <v>921</v>
      </c>
      <c r="D136" s="19" t="s">
        <v>196</v>
      </c>
      <c r="E136" s="20" t="s">
        <v>922</v>
      </c>
      <c r="F136" s="32" t="s">
        <v>738</v>
      </c>
      <c r="G136" s="33" t="s">
        <v>42</v>
      </c>
      <c r="H136" s="23" t="s">
        <v>923</v>
      </c>
      <c r="I136" s="24" t="s">
        <v>55</v>
      </c>
      <c r="J136" s="1" t="str">
        <f t="shared" si="0"/>
        <v/>
      </c>
      <c r="K136" s="1"/>
      <c r="L136" s="1"/>
      <c r="M136" s="130">
        <v>133</v>
      </c>
      <c r="N136" s="130" t="s">
        <v>4337</v>
      </c>
      <c r="O136" s="131" t="s">
        <v>4516</v>
      </c>
      <c r="P136" s="130" t="s">
        <v>255</v>
      </c>
      <c r="Q136" s="130" t="s">
        <v>2572</v>
      </c>
      <c r="R136" s="130">
        <v>6</v>
      </c>
      <c r="S136" s="130" t="s">
        <v>4347</v>
      </c>
      <c r="T136" s="130" t="s">
        <v>4517</v>
      </c>
      <c r="U136" s="129"/>
      <c r="V136" s="129"/>
      <c r="W136" s="129"/>
      <c r="X136" s="129" t="s">
        <v>21</v>
      </c>
    </row>
    <row r="137" spans="1:24" ht="26.25" hidden="1" customHeight="1">
      <c r="A137" s="17">
        <f t="shared" si="1"/>
        <v>134</v>
      </c>
      <c r="B137" s="18" t="s">
        <v>132</v>
      </c>
      <c r="C137" s="31" t="s">
        <v>925</v>
      </c>
      <c r="D137" s="19" t="s">
        <v>271</v>
      </c>
      <c r="E137" s="20" t="s">
        <v>926</v>
      </c>
      <c r="F137" s="32" t="s">
        <v>222</v>
      </c>
      <c r="G137" s="22" t="s">
        <v>42</v>
      </c>
      <c r="H137" s="23" t="s">
        <v>927</v>
      </c>
      <c r="I137" s="24" t="s">
        <v>55</v>
      </c>
      <c r="J137" s="1" t="str">
        <f t="shared" si="0"/>
        <v/>
      </c>
      <c r="K137" s="1"/>
      <c r="L137" s="1"/>
      <c r="M137" s="130">
        <v>134</v>
      </c>
      <c r="N137" s="130" t="s">
        <v>4337</v>
      </c>
      <c r="O137" s="131" t="s">
        <v>2574</v>
      </c>
      <c r="P137" s="130" t="s">
        <v>199</v>
      </c>
      <c r="Q137" s="130" t="s">
        <v>2575</v>
      </c>
      <c r="R137" s="130">
        <v>24</v>
      </c>
      <c r="S137" s="130" t="s">
        <v>4347</v>
      </c>
      <c r="T137" s="130" t="s">
        <v>4518</v>
      </c>
      <c r="U137" s="130" t="s">
        <v>53</v>
      </c>
      <c r="V137" s="129" t="s">
        <v>4394</v>
      </c>
      <c r="W137" s="129"/>
      <c r="X137" s="129" t="s">
        <v>21</v>
      </c>
    </row>
    <row r="138" spans="1:24" ht="26.25" hidden="1" customHeight="1">
      <c r="A138" s="17">
        <f t="shared" si="1"/>
        <v>135</v>
      </c>
      <c r="B138" s="18" t="s">
        <v>132</v>
      </c>
      <c r="C138" s="19" t="s">
        <v>931</v>
      </c>
      <c r="D138" s="19" t="s">
        <v>227</v>
      </c>
      <c r="E138" s="20" t="s">
        <v>932</v>
      </c>
      <c r="F138" s="21" t="s">
        <v>933</v>
      </c>
      <c r="G138" s="22" t="s">
        <v>42</v>
      </c>
      <c r="H138" s="23" t="s">
        <v>934</v>
      </c>
      <c r="I138" s="24" t="s">
        <v>20</v>
      </c>
      <c r="J138" s="1" t="str">
        <f t="shared" si="0"/>
        <v>FRIC</v>
      </c>
      <c r="K138" s="1"/>
      <c r="L138" s="1"/>
      <c r="M138" s="130">
        <v>135</v>
      </c>
      <c r="N138" s="130" t="s">
        <v>4337</v>
      </c>
      <c r="O138" s="131" t="s">
        <v>2595</v>
      </c>
      <c r="P138" s="130" t="s">
        <v>2377</v>
      </c>
      <c r="Q138" s="130" t="s">
        <v>2596</v>
      </c>
      <c r="R138" s="130">
        <v>4</v>
      </c>
      <c r="S138" s="130" t="s">
        <v>4347</v>
      </c>
      <c r="T138" s="130" t="s">
        <v>4519</v>
      </c>
      <c r="U138" s="130" t="s">
        <v>53</v>
      </c>
      <c r="V138" s="129" t="s">
        <v>4497</v>
      </c>
      <c r="W138" s="129"/>
      <c r="X138" s="129" t="s">
        <v>21</v>
      </c>
    </row>
    <row r="139" spans="1:24" ht="26.25" hidden="1" customHeight="1">
      <c r="A139" s="17">
        <f t="shared" si="1"/>
        <v>136</v>
      </c>
      <c r="B139" s="18" t="s">
        <v>13</v>
      </c>
      <c r="C139" s="31" t="s">
        <v>938</v>
      </c>
      <c r="D139" s="19" t="s">
        <v>939</v>
      </c>
      <c r="E139" s="20" t="s">
        <v>940</v>
      </c>
      <c r="F139" s="32" t="s">
        <v>941</v>
      </c>
      <c r="G139" s="22" t="s">
        <v>31</v>
      </c>
      <c r="H139" s="23" t="s">
        <v>942</v>
      </c>
      <c r="I139" s="24" t="s">
        <v>55</v>
      </c>
      <c r="J139" s="1" t="str">
        <f t="shared" si="0"/>
        <v/>
      </c>
      <c r="K139" s="1"/>
      <c r="L139" s="1"/>
      <c r="M139" s="130">
        <v>136</v>
      </c>
      <c r="N139" s="130" t="s">
        <v>4337</v>
      </c>
      <c r="O139" s="131" t="s">
        <v>2606</v>
      </c>
      <c r="P139" s="130" t="s">
        <v>255</v>
      </c>
      <c r="Q139" s="130" t="s">
        <v>2607</v>
      </c>
      <c r="R139" s="130">
        <v>16</v>
      </c>
      <c r="S139" s="130" t="s">
        <v>4347</v>
      </c>
      <c r="T139" s="130" t="s">
        <v>4520</v>
      </c>
      <c r="U139" s="129"/>
      <c r="V139" s="129"/>
      <c r="W139" s="129"/>
      <c r="X139" s="129" t="s">
        <v>21</v>
      </c>
    </row>
    <row r="140" spans="1:24" ht="26.25" hidden="1" customHeight="1">
      <c r="A140" s="17">
        <f t="shared" si="1"/>
        <v>137</v>
      </c>
      <c r="B140" s="18" t="s">
        <v>13</v>
      </c>
      <c r="C140" s="31" t="s">
        <v>844</v>
      </c>
      <c r="D140" s="19" t="s">
        <v>124</v>
      </c>
      <c r="E140" s="20" t="s">
        <v>845</v>
      </c>
      <c r="F140" s="32" t="s">
        <v>170</v>
      </c>
      <c r="G140" s="22" t="s">
        <v>42</v>
      </c>
      <c r="H140" s="23" t="s">
        <v>943</v>
      </c>
      <c r="I140" s="24" t="s">
        <v>55</v>
      </c>
      <c r="J140" s="1" t="str">
        <f t="shared" si="0"/>
        <v/>
      </c>
      <c r="K140" s="1"/>
      <c r="L140" s="1"/>
      <c r="M140" s="130">
        <v>137</v>
      </c>
      <c r="N140" s="130" t="s">
        <v>4337</v>
      </c>
      <c r="O140" s="131" t="s">
        <v>2613</v>
      </c>
      <c r="P140" s="130" t="s">
        <v>361</v>
      </c>
      <c r="Q140" s="130" t="s">
        <v>2614</v>
      </c>
      <c r="R140" s="130">
        <v>6</v>
      </c>
      <c r="S140" s="130" t="s">
        <v>4347</v>
      </c>
      <c r="T140" s="130" t="s">
        <v>4521</v>
      </c>
      <c r="U140" s="129"/>
      <c r="V140" s="129"/>
      <c r="W140" s="129"/>
      <c r="X140" s="129" t="s">
        <v>21</v>
      </c>
    </row>
    <row r="141" spans="1:24" ht="26.25" hidden="1" customHeight="1">
      <c r="A141" s="17">
        <f t="shared" si="1"/>
        <v>138</v>
      </c>
      <c r="B141" s="18" t="s">
        <v>105</v>
      </c>
      <c r="C141" s="31" t="s">
        <v>946</v>
      </c>
      <c r="D141" s="19" t="s">
        <v>45</v>
      </c>
      <c r="E141" s="20" t="s">
        <v>947</v>
      </c>
      <c r="F141" s="32" t="s">
        <v>948</v>
      </c>
      <c r="G141" s="33" t="s">
        <v>31</v>
      </c>
      <c r="H141" s="23" t="s">
        <v>949</v>
      </c>
      <c r="I141" s="24" t="s">
        <v>55</v>
      </c>
      <c r="J141" s="1" t="str">
        <f t="shared" si="0"/>
        <v/>
      </c>
      <c r="K141" s="1"/>
      <c r="L141" s="1"/>
      <c r="M141" s="130">
        <v>138</v>
      </c>
      <c r="N141" s="130" t="s">
        <v>4337</v>
      </c>
      <c r="O141" s="131" t="s">
        <v>2616</v>
      </c>
      <c r="P141" s="130" t="s">
        <v>4522</v>
      </c>
      <c r="Q141" s="130" t="s">
        <v>2618</v>
      </c>
      <c r="R141" s="130">
        <v>12</v>
      </c>
      <c r="S141" s="129"/>
      <c r="T141" s="130" t="s">
        <v>4523</v>
      </c>
      <c r="U141" s="130" t="s">
        <v>20</v>
      </c>
      <c r="V141" s="129"/>
      <c r="W141" s="129"/>
      <c r="X141" s="129" t="s">
        <v>21</v>
      </c>
    </row>
    <row r="142" spans="1:24" ht="26.25" hidden="1" customHeight="1">
      <c r="A142" s="17">
        <f t="shared" si="1"/>
        <v>139</v>
      </c>
      <c r="B142" s="18" t="s">
        <v>105</v>
      </c>
      <c r="C142" s="31" t="s">
        <v>951</v>
      </c>
      <c r="D142" s="19" t="s">
        <v>722</v>
      </c>
      <c r="E142" s="20" t="s">
        <v>952</v>
      </c>
      <c r="F142" s="32" t="s">
        <v>953</v>
      </c>
      <c r="G142" s="33" t="s">
        <v>42</v>
      </c>
      <c r="H142" s="23" t="s">
        <v>954</v>
      </c>
      <c r="I142" s="24" t="s">
        <v>55</v>
      </c>
      <c r="J142" s="1" t="str">
        <f t="shared" si="0"/>
        <v/>
      </c>
      <c r="K142" s="1"/>
      <c r="L142" s="1"/>
      <c r="M142" s="130">
        <v>139</v>
      </c>
      <c r="N142" s="130" t="s">
        <v>4337</v>
      </c>
      <c r="O142" s="131" t="s">
        <v>4524</v>
      </c>
      <c r="P142" s="130" t="s">
        <v>361</v>
      </c>
      <c r="Q142" s="130" t="s">
        <v>2622</v>
      </c>
      <c r="R142" s="130">
        <v>18</v>
      </c>
      <c r="S142" s="130" t="s">
        <v>4347</v>
      </c>
      <c r="T142" s="130" t="s">
        <v>4525</v>
      </c>
      <c r="U142" s="129"/>
      <c r="V142" s="129"/>
      <c r="W142" s="129"/>
      <c r="X142" s="129" t="s">
        <v>21</v>
      </c>
    </row>
    <row r="143" spans="1:24" ht="26.25" hidden="1" customHeight="1">
      <c r="A143" s="17">
        <f t="shared" si="1"/>
        <v>140</v>
      </c>
      <c r="B143" s="18" t="s">
        <v>37</v>
      </c>
      <c r="C143" s="19" t="s">
        <v>956</v>
      </c>
      <c r="D143" s="19" t="s">
        <v>957</v>
      </c>
      <c r="E143" s="20" t="s">
        <v>958</v>
      </c>
      <c r="F143" s="21" t="s">
        <v>959</v>
      </c>
      <c r="G143" s="22" t="s">
        <v>350</v>
      </c>
      <c r="H143" s="23" t="s">
        <v>960</v>
      </c>
      <c r="I143" s="24" t="s">
        <v>20</v>
      </c>
      <c r="J143" s="1" t="str">
        <f t="shared" si="0"/>
        <v>FRIC</v>
      </c>
      <c r="K143" s="1"/>
      <c r="L143" s="1"/>
      <c r="M143" s="130">
        <v>140</v>
      </c>
      <c r="N143" s="130" t="s">
        <v>4337</v>
      </c>
      <c r="O143" s="131" t="s">
        <v>4526</v>
      </c>
      <c r="P143" s="130" t="s">
        <v>4345</v>
      </c>
      <c r="Q143" s="130" t="s">
        <v>2625</v>
      </c>
      <c r="R143" s="130">
        <v>32</v>
      </c>
      <c r="S143" s="129"/>
      <c r="T143" s="130" t="s">
        <v>4527</v>
      </c>
      <c r="U143" s="130" t="s">
        <v>20</v>
      </c>
      <c r="V143" s="129"/>
      <c r="W143" s="129"/>
      <c r="X143" s="129" t="s">
        <v>21</v>
      </c>
    </row>
    <row r="144" spans="1:24" ht="26.25" hidden="1" customHeight="1">
      <c r="A144" s="17">
        <f t="shared" si="1"/>
        <v>141</v>
      </c>
      <c r="B144" s="18" t="s">
        <v>81</v>
      </c>
      <c r="C144" s="22" t="s">
        <v>961</v>
      </c>
      <c r="D144" s="19" t="s">
        <v>181</v>
      </c>
      <c r="E144" s="20" t="s">
        <v>232</v>
      </c>
      <c r="F144" s="32" t="s">
        <v>962</v>
      </c>
      <c r="G144" s="33" t="s">
        <v>42</v>
      </c>
      <c r="H144" s="23" t="s">
        <v>963</v>
      </c>
      <c r="I144" s="24" t="s">
        <v>55</v>
      </c>
      <c r="J144" s="1" t="str">
        <f t="shared" si="0"/>
        <v/>
      </c>
      <c r="K144" s="1"/>
      <c r="L144" s="1"/>
      <c r="M144" s="130">
        <v>141</v>
      </c>
      <c r="N144" s="130" t="s">
        <v>4337</v>
      </c>
      <c r="O144" s="131" t="s">
        <v>2627</v>
      </c>
      <c r="P144" s="130" t="s">
        <v>361</v>
      </c>
      <c r="Q144" s="130" t="s">
        <v>2628</v>
      </c>
      <c r="R144" s="130">
        <v>14</v>
      </c>
      <c r="S144" s="130" t="s">
        <v>4347</v>
      </c>
      <c r="T144" s="130" t="s">
        <v>4528</v>
      </c>
      <c r="U144" s="129"/>
      <c r="V144" s="129"/>
      <c r="W144" s="129"/>
      <c r="X144" s="129" t="s">
        <v>21</v>
      </c>
    </row>
    <row r="145" spans="1:24" ht="26.25" hidden="1" customHeight="1">
      <c r="A145" s="17">
        <f t="shared" si="1"/>
        <v>142</v>
      </c>
      <c r="B145" s="18" t="s">
        <v>248</v>
      </c>
      <c r="C145" s="31" t="s">
        <v>967</v>
      </c>
      <c r="D145" s="19" t="s">
        <v>227</v>
      </c>
      <c r="E145" s="20" t="s">
        <v>968</v>
      </c>
      <c r="F145" s="32" t="s">
        <v>969</v>
      </c>
      <c r="G145" s="33" t="s">
        <v>42</v>
      </c>
      <c r="H145" s="23" t="s">
        <v>970</v>
      </c>
      <c r="I145" s="24" t="s">
        <v>55</v>
      </c>
      <c r="J145" s="1" t="str">
        <f t="shared" si="0"/>
        <v/>
      </c>
      <c r="K145" s="1"/>
      <c r="L145" s="1"/>
      <c r="M145" s="130">
        <v>142</v>
      </c>
      <c r="N145" s="130" t="s">
        <v>4337</v>
      </c>
      <c r="O145" s="131" t="s">
        <v>2658</v>
      </c>
      <c r="P145" s="130" t="s">
        <v>255</v>
      </c>
      <c r="Q145" s="130" t="s">
        <v>2659</v>
      </c>
      <c r="R145" s="130">
        <v>24</v>
      </c>
      <c r="S145" s="130" t="s">
        <v>4347</v>
      </c>
      <c r="T145" s="130" t="s">
        <v>4529</v>
      </c>
      <c r="U145" s="129"/>
      <c r="V145" s="129"/>
      <c r="W145" s="129"/>
      <c r="X145" s="129" t="s">
        <v>21</v>
      </c>
    </row>
    <row r="146" spans="1:24" ht="26.25" hidden="1" customHeight="1">
      <c r="A146" s="17">
        <f t="shared" si="1"/>
        <v>143</v>
      </c>
      <c r="B146" s="18" t="s">
        <v>248</v>
      </c>
      <c r="C146" s="31" t="s">
        <v>336</v>
      </c>
      <c r="D146" s="19" t="s">
        <v>124</v>
      </c>
      <c r="E146" s="20" t="s">
        <v>974</v>
      </c>
      <c r="F146" s="32" t="s">
        <v>163</v>
      </c>
      <c r="G146" s="33" t="s">
        <v>31</v>
      </c>
      <c r="H146" s="59" t="s">
        <v>975</v>
      </c>
      <c r="I146" s="24" t="s">
        <v>55</v>
      </c>
      <c r="J146" s="1" t="str">
        <f t="shared" si="0"/>
        <v/>
      </c>
      <c r="K146" s="1"/>
      <c r="L146" s="1"/>
      <c r="M146" s="130">
        <v>143</v>
      </c>
      <c r="N146" s="130" t="s">
        <v>4337</v>
      </c>
      <c r="O146" s="131" t="s">
        <v>2666</v>
      </c>
      <c r="P146" s="130" t="s">
        <v>2667</v>
      </c>
      <c r="Q146" s="130" t="s">
        <v>2668</v>
      </c>
      <c r="R146" s="130">
        <v>4</v>
      </c>
      <c r="S146" s="129"/>
      <c r="T146" s="130" t="s">
        <v>4530</v>
      </c>
      <c r="U146" s="129"/>
      <c r="V146" s="129"/>
      <c r="W146" s="129"/>
      <c r="X146" s="129" t="s">
        <v>21</v>
      </c>
    </row>
    <row r="147" spans="1:24" ht="26.25" hidden="1" customHeight="1">
      <c r="A147" s="17">
        <f t="shared" si="1"/>
        <v>144</v>
      </c>
      <c r="B147" s="18" t="s">
        <v>27</v>
      </c>
      <c r="C147" s="31" t="s">
        <v>979</v>
      </c>
      <c r="D147" s="19" t="s">
        <v>196</v>
      </c>
      <c r="E147" s="20" t="s">
        <v>980</v>
      </c>
      <c r="F147" s="32" t="s">
        <v>981</v>
      </c>
      <c r="G147" s="22" t="s">
        <v>42</v>
      </c>
      <c r="H147" s="23" t="s">
        <v>982</v>
      </c>
      <c r="I147" s="24" t="s">
        <v>55</v>
      </c>
      <c r="J147" s="1" t="str">
        <f t="shared" si="0"/>
        <v/>
      </c>
      <c r="K147" s="1"/>
      <c r="L147" s="1"/>
      <c r="M147" s="130">
        <v>144</v>
      </c>
      <c r="N147" s="130" t="s">
        <v>4337</v>
      </c>
      <c r="O147" s="131" t="s">
        <v>2671</v>
      </c>
      <c r="P147" s="130" t="s">
        <v>2667</v>
      </c>
      <c r="Q147" s="130" t="s">
        <v>2672</v>
      </c>
      <c r="R147" s="130">
        <v>4</v>
      </c>
      <c r="S147" s="129"/>
      <c r="T147" s="130" t="s">
        <v>4531</v>
      </c>
      <c r="U147" s="129"/>
      <c r="V147" s="129"/>
      <c r="W147" s="129"/>
      <c r="X147" s="129" t="s">
        <v>21</v>
      </c>
    </row>
    <row r="148" spans="1:24" ht="26.25" hidden="1" customHeight="1">
      <c r="A148" s="17">
        <f t="shared" si="1"/>
        <v>145</v>
      </c>
      <c r="B148" s="18" t="s">
        <v>27</v>
      </c>
      <c r="C148" s="31" t="s">
        <v>986</v>
      </c>
      <c r="D148" s="19" t="s">
        <v>124</v>
      </c>
      <c r="E148" s="20" t="s">
        <v>987</v>
      </c>
      <c r="F148" s="32">
        <v>2010</v>
      </c>
      <c r="G148" s="22" t="s">
        <v>42</v>
      </c>
      <c r="H148" s="23" t="s">
        <v>988</v>
      </c>
      <c r="I148" s="24" t="s">
        <v>55</v>
      </c>
      <c r="J148" s="1" t="str">
        <f t="shared" si="0"/>
        <v/>
      </c>
      <c r="K148" s="1"/>
      <c r="L148" s="1"/>
      <c r="M148" s="130">
        <v>145</v>
      </c>
      <c r="N148" s="130" t="s">
        <v>4337</v>
      </c>
      <c r="O148" s="131" t="s">
        <v>2698</v>
      </c>
      <c r="P148" s="130" t="s">
        <v>255</v>
      </c>
      <c r="Q148" s="130" t="s">
        <v>2699</v>
      </c>
      <c r="R148" s="130">
        <v>6</v>
      </c>
      <c r="S148" s="130" t="s">
        <v>4347</v>
      </c>
      <c r="T148" s="130" t="s">
        <v>4532</v>
      </c>
      <c r="U148" s="129"/>
      <c r="V148" s="129"/>
      <c r="W148" s="129"/>
      <c r="X148" s="129" t="s">
        <v>21</v>
      </c>
    </row>
    <row r="149" spans="1:24" ht="26.25" hidden="1" customHeight="1">
      <c r="A149" s="17">
        <f t="shared" si="1"/>
        <v>146</v>
      </c>
      <c r="B149" s="18" t="s">
        <v>105</v>
      </c>
      <c r="C149" s="31" t="s">
        <v>992</v>
      </c>
      <c r="D149" s="19" t="s">
        <v>124</v>
      </c>
      <c r="E149" s="20" t="s">
        <v>993</v>
      </c>
      <c r="F149" s="32" t="s">
        <v>519</v>
      </c>
      <c r="G149" s="33" t="s">
        <v>42</v>
      </c>
      <c r="H149" s="23" t="s">
        <v>994</v>
      </c>
      <c r="I149" s="24" t="s">
        <v>55</v>
      </c>
      <c r="J149" s="1" t="str">
        <f t="shared" si="0"/>
        <v/>
      </c>
      <c r="K149" s="1"/>
      <c r="L149" s="1"/>
      <c r="M149" s="130">
        <v>146</v>
      </c>
      <c r="N149" s="130" t="s">
        <v>4337</v>
      </c>
      <c r="O149" s="131" t="s">
        <v>2707</v>
      </c>
      <c r="P149" s="130" t="s">
        <v>896</v>
      </c>
      <c r="Q149" s="130" t="s">
        <v>2708</v>
      </c>
      <c r="R149" s="130">
        <v>12</v>
      </c>
      <c r="S149" s="129"/>
      <c r="T149" s="130" t="s">
        <v>4533</v>
      </c>
      <c r="U149" s="130" t="s">
        <v>20</v>
      </c>
      <c r="V149" s="129"/>
      <c r="W149" s="129"/>
      <c r="X149" s="129" t="s">
        <v>21</v>
      </c>
    </row>
    <row r="150" spans="1:24" ht="26.25" hidden="1" customHeight="1">
      <c r="A150" s="17">
        <f t="shared" si="1"/>
        <v>147</v>
      </c>
      <c r="B150" s="18" t="s">
        <v>105</v>
      </c>
      <c r="C150" s="31" t="s">
        <v>997</v>
      </c>
      <c r="D150" s="19" t="s">
        <v>196</v>
      </c>
      <c r="E150" s="20" t="s">
        <v>998</v>
      </c>
      <c r="F150" s="32" t="s">
        <v>953</v>
      </c>
      <c r="G150" s="33" t="s">
        <v>42</v>
      </c>
      <c r="H150" s="23" t="s">
        <v>999</v>
      </c>
      <c r="I150" s="24" t="s">
        <v>55</v>
      </c>
      <c r="J150" s="1" t="str">
        <f t="shared" si="0"/>
        <v/>
      </c>
      <c r="K150" s="1"/>
      <c r="L150" s="1"/>
      <c r="M150" s="130">
        <v>147</v>
      </c>
      <c r="N150" s="130" t="s">
        <v>4337</v>
      </c>
      <c r="O150" s="131" t="s">
        <v>4534</v>
      </c>
      <c r="P150" s="130" t="s">
        <v>4436</v>
      </c>
      <c r="Q150" s="130" t="s">
        <v>2723</v>
      </c>
      <c r="R150" s="130">
        <v>12</v>
      </c>
      <c r="S150" s="130" t="s">
        <v>4347</v>
      </c>
      <c r="T150" s="130" t="s">
        <v>4535</v>
      </c>
      <c r="U150" s="129"/>
      <c r="V150" s="129"/>
      <c r="W150" s="129"/>
      <c r="X150" s="129" t="s">
        <v>21</v>
      </c>
    </row>
    <row r="151" spans="1:24" ht="26.25" customHeight="1">
      <c r="A151" s="17">
        <f t="shared" si="1"/>
        <v>148</v>
      </c>
      <c r="B151" s="18" t="s">
        <v>105</v>
      </c>
      <c r="C151" s="31" t="s">
        <v>1003</v>
      </c>
      <c r="D151" s="19" t="s">
        <v>124</v>
      </c>
      <c r="E151" s="20" t="s">
        <v>1004</v>
      </c>
      <c r="F151" s="21" t="s">
        <v>1005</v>
      </c>
      <c r="G151" s="33" t="s">
        <v>42</v>
      </c>
      <c r="H151" s="23" t="s">
        <v>1006</v>
      </c>
      <c r="I151" s="34" t="s">
        <v>20</v>
      </c>
      <c r="J151" s="1" t="str">
        <f t="shared" si="0"/>
        <v>과기</v>
      </c>
      <c r="K151" s="25"/>
      <c r="L151" s="25"/>
      <c r="M151" s="133">
        <v>148</v>
      </c>
      <c r="N151" s="133" t="s">
        <v>4337</v>
      </c>
      <c r="O151" s="134" t="s">
        <v>4536</v>
      </c>
      <c r="P151" s="133" t="s">
        <v>255</v>
      </c>
      <c r="Q151" s="133" t="s">
        <v>2781</v>
      </c>
      <c r="R151" s="133">
        <v>24</v>
      </c>
      <c r="S151" s="133" t="s">
        <v>4347</v>
      </c>
      <c r="T151" s="133" t="s">
        <v>4537</v>
      </c>
      <c r="U151" s="135"/>
      <c r="V151" s="135"/>
      <c r="W151" s="135"/>
      <c r="X151" s="135" t="s">
        <v>21</v>
      </c>
    </row>
    <row r="152" spans="1:24" ht="26.25" customHeight="1">
      <c r="A152" s="17">
        <f t="shared" si="1"/>
        <v>149</v>
      </c>
      <c r="B152" s="18" t="s">
        <v>105</v>
      </c>
      <c r="C152" s="31" t="s">
        <v>1009</v>
      </c>
      <c r="D152" s="19" t="s">
        <v>124</v>
      </c>
      <c r="E152" s="20" t="s">
        <v>1010</v>
      </c>
      <c r="F152" s="21" t="s">
        <v>1011</v>
      </c>
      <c r="G152" s="33" t="s">
        <v>42</v>
      </c>
      <c r="H152" s="23" t="s">
        <v>1012</v>
      </c>
      <c r="I152" s="34" t="s">
        <v>20</v>
      </c>
      <c r="J152" s="1" t="str">
        <f t="shared" si="0"/>
        <v>과기</v>
      </c>
      <c r="K152" s="25"/>
      <c r="L152" s="25"/>
      <c r="M152" s="133">
        <v>149</v>
      </c>
      <c r="N152" s="133" t="s">
        <v>4337</v>
      </c>
      <c r="O152" s="134" t="s">
        <v>4538</v>
      </c>
      <c r="P152" s="133" t="s">
        <v>255</v>
      </c>
      <c r="Q152" s="133" t="s">
        <v>2784</v>
      </c>
      <c r="R152" s="133">
        <v>12</v>
      </c>
      <c r="S152" s="133" t="s">
        <v>4347</v>
      </c>
      <c r="T152" s="133" t="s">
        <v>4539</v>
      </c>
      <c r="U152" s="135"/>
      <c r="V152" s="135"/>
      <c r="W152" s="135"/>
      <c r="X152" s="135" t="s">
        <v>21</v>
      </c>
    </row>
    <row r="153" spans="1:24" ht="26.25" customHeight="1">
      <c r="A153" s="17">
        <f t="shared" si="1"/>
        <v>150</v>
      </c>
      <c r="B153" s="18" t="s">
        <v>81</v>
      </c>
      <c r="C153" s="31" t="s">
        <v>1016</v>
      </c>
      <c r="D153" s="19" t="s">
        <v>83</v>
      </c>
      <c r="E153" s="20" t="s">
        <v>1017</v>
      </c>
      <c r="F153" s="21" t="s">
        <v>1018</v>
      </c>
      <c r="G153" s="33" t="s">
        <v>42</v>
      </c>
      <c r="H153" s="23" t="s">
        <v>1019</v>
      </c>
      <c r="I153" s="24" t="s">
        <v>20</v>
      </c>
      <c r="J153" s="1" t="str">
        <f t="shared" si="0"/>
        <v>과기</v>
      </c>
      <c r="K153" s="1"/>
      <c r="L153" s="1"/>
      <c r="M153" s="130">
        <v>150</v>
      </c>
      <c r="N153" s="130" t="s">
        <v>4337</v>
      </c>
      <c r="O153" s="131" t="s">
        <v>2844</v>
      </c>
      <c r="P153" s="130" t="s">
        <v>255</v>
      </c>
      <c r="Q153" s="130" t="s">
        <v>2845</v>
      </c>
      <c r="R153" s="130">
        <v>6</v>
      </c>
      <c r="S153" s="130" t="s">
        <v>4347</v>
      </c>
      <c r="T153" s="130" t="s">
        <v>4540</v>
      </c>
      <c r="U153" s="129"/>
      <c r="V153" s="129"/>
      <c r="W153" s="129"/>
      <c r="X153" s="129" t="s">
        <v>21</v>
      </c>
    </row>
    <row r="154" spans="1:24" ht="26.25" hidden="1" customHeight="1">
      <c r="A154" s="17">
        <f t="shared" si="1"/>
        <v>151</v>
      </c>
      <c r="B154" s="18" t="s">
        <v>105</v>
      </c>
      <c r="C154" s="31" t="s">
        <v>1023</v>
      </c>
      <c r="D154" s="19" t="s">
        <v>124</v>
      </c>
      <c r="E154" s="20" t="s">
        <v>1024</v>
      </c>
      <c r="F154" s="32" t="s">
        <v>1025</v>
      </c>
      <c r="G154" s="33" t="s">
        <v>42</v>
      </c>
      <c r="H154" s="23" t="s">
        <v>1026</v>
      </c>
      <c r="I154" s="24" t="s">
        <v>55</v>
      </c>
      <c r="J154" s="1" t="str">
        <f t="shared" si="0"/>
        <v/>
      </c>
      <c r="K154" s="1"/>
      <c r="L154" s="1"/>
      <c r="M154" s="130">
        <v>151</v>
      </c>
      <c r="N154" s="130" t="s">
        <v>4337</v>
      </c>
      <c r="O154" s="131" t="s">
        <v>4541</v>
      </c>
      <c r="P154" s="130" t="s">
        <v>1320</v>
      </c>
      <c r="Q154" s="130" t="s">
        <v>1326</v>
      </c>
      <c r="R154" s="130">
        <v>6</v>
      </c>
      <c r="S154" s="129"/>
      <c r="T154" s="130" t="s">
        <v>4542</v>
      </c>
      <c r="U154" s="130" t="s">
        <v>20</v>
      </c>
      <c r="V154" s="129"/>
      <c r="W154" s="129"/>
      <c r="X154" s="129" t="s">
        <v>21</v>
      </c>
    </row>
    <row r="155" spans="1:24" ht="26.25" hidden="1" customHeight="1">
      <c r="A155" s="17">
        <f t="shared" si="1"/>
        <v>152</v>
      </c>
      <c r="B155" s="18" t="s">
        <v>81</v>
      </c>
      <c r="C155" s="31" t="s">
        <v>1030</v>
      </c>
      <c r="D155" s="19" t="s">
        <v>1031</v>
      </c>
      <c r="E155" s="20" t="s">
        <v>1032</v>
      </c>
      <c r="F155" s="32" t="s">
        <v>1033</v>
      </c>
      <c r="G155" s="33" t="s">
        <v>53</v>
      </c>
      <c r="H155" s="23" t="s">
        <v>1034</v>
      </c>
      <c r="I155" s="24" t="s">
        <v>55</v>
      </c>
      <c r="J155" s="1" t="str">
        <f t="shared" si="0"/>
        <v/>
      </c>
      <c r="K155" s="1"/>
      <c r="L155" s="1"/>
      <c r="M155" s="130">
        <v>152</v>
      </c>
      <c r="N155" s="130" t="s">
        <v>4337</v>
      </c>
      <c r="O155" s="131" t="s">
        <v>4543</v>
      </c>
      <c r="P155" s="130" t="s">
        <v>361</v>
      </c>
      <c r="Q155" s="130" t="s">
        <v>2874</v>
      </c>
      <c r="R155" s="130">
        <v>10</v>
      </c>
      <c r="S155" s="130" t="s">
        <v>4347</v>
      </c>
      <c r="T155" s="130" t="s">
        <v>4544</v>
      </c>
      <c r="U155" s="129"/>
      <c r="V155" s="129"/>
      <c r="W155" s="129"/>
      <c r="X155" s="129" t="s">
        <v>21</v>
      </c>
    </row>
    <row r="156" spans="1:24" ht="26.25" hidden="1" customHeight="1">
      <c r="A156" s="17">
        <f t="shared" si="1"/>
        <v>153</v>
      </c>
      <c r="B156" s="18" t="s">
        <v>81</v>
      </c>
      <c r="C156" s="31" t="s">
        <v>1038</v>
      </c>
      <c r="D156" s="19" t="s">
        <v>1031</v>
      </c>
      <c r="E156" s="20" t="s">
        <v>852</v>
      </c>
      <c r="F156" s="32" t="s">
        <v>1039</v>
      </c>
      <c r="G156" s="33" t="s">
        <v>53</v>
      </c>
      <c r="H156" s="23" t="s">
        <v>1040</v>
      </c>
      <c r="I156" s="24" t="s">
        <v>55</v>
      </c>
      <c r="J156" s="1" t="str">
        <f t="shared" si="0"/>
        <v/>
      </c>
      <c r="K156" s="1"/>
      <c r="L156" s="1"/>
      <c r="M156" s="130">
        <v>153</v>
      </c>
      <c r="N156" s="130" t="s">
        <v>4337</v>
      </c>
      <c r="O156" s="131" t="s">
        <v>4545</v>
      </c>
      <c r="P156" s="130" t="s">
        <v>196</v>
      </c>
      <c r="Q156" s="130" t="s">
        <v>2877</v>
      </c>
      <c r="R156" s="130">
        <v>12</v>
      </c>
      <c r="S156" s="130" t="s">
        <v>4347</v>
      </c>
      <c r="T156" s="130" t="s">
        <v>4546</v>
      </c>
      <c r="U156" s="129"/>
      <c r="V156" s="129"/>
      <c r="W156" s="129"/>
      <c r="X156" s="129" t="s">
        <v>21</v>
      </c>
    </row>
    <row r="157" spans="1:24" ht="26.25" hidden="1" customHeight="1">
      <c r="A157" s="17">
        <f t="shared" si="1"/>
        <v>154</v>
      </c>
      <c r="B157" s="18" t="s">
        <v>81</v>
      </c>
      <c r="C157" s="31" t="s">
        <v>1044</v>
      </c>
      <c r="D157" s="19" t="s">
        <v>1045</v>
      </c>
      <c r="E157" s="20" t="s">
        <v>225</v>
      </c>
      <c r="F157" s="32" t="s">
        <v>962</v>
      </c>
      <c r="G157" s="33" t="s">
        <v>42</v>
      </c>
      <c r="H157" s="23" t="s">
        <v>1046</v>
      </c>
      <c r="I157" s="24" t="s">
        <v>55</v>
      </c>
      <c r="J157" s="1" t="str">
        <f t="shared" si="0"/>
        <v/>
      </c>
      <c r="K157" s="1"/>
      <c r="L157" s="1"/>
      <c r="M157" s="130">
        <v>154</v>
      </c>
      <c r="N157" s="130" t="s">
        <v>4337</v>
      </c>
      <c r="O157" s="131" t="s">
        <v>2887</v>
      </c>
      <c r="P157" s="130" t="s">
        <v>255</v>
      </c>
      <c r="Q157" s="130" t="s">
        <v>2888</v>
      </c>
      <c r="R157" s="130">
        <v>18</v>
      </c>
      <c r="S157" s="130" t="s">
        <v>4347</v>
      </c>
      <c r="T157" s="130" t="s">
        <v>4547</v>
      </c>
      <c r="U157" s="129"/>
      <c r="V157" s="129"/>
      <c r="W157" s="129"/>
      <c r="X157" s="129" t="s">
        <v>21</v>
      </c>
    </row>
    <row r="158" spans="1:24" ht="26.25" hidden="1" customHeight="1">
      <c r="A158" s="17">
        <f t="shared" si="1"/>
        <v>155</v>
      </c>
      <c r="B158" s="18" t="s">
        <v>81</v>
      </c>
      <c r="C158" s="31" t="s">
        <v>1049</v>
      </c>
      <c r="D158" s="19" t="s">
        <v>1050</v>
      </c>
      <c r="E158" s="20" t="s">
        <v>1051</v>
      </c>
      <c r="F158" s="32" t="s">
        <v>1052</v>
      </c>
      <c r="G158" s="33" t="s">
        <v>53</v>
      </c>
      <c r="H158" s="23" t="s">
        <v>1053</v>
      </c>
      <c r="I158" s="24" t="s">
        <v>55</v>
      </c>
      <c r="J158" s="1" t="str">
        <f t="shared" si="0"/>
        <v/>
      </c>
      <c r="K158" s="1"/>
      <c r="L158" s="1"/>
      <c r="M158" s="130">
        <v>155</v>
      </c>
      <c r="N158" s="130" t="s">
        <v>4337</v>
      </c>
      <c r="O158" s="131" t="s">
        <v>4548</v>
      </c>
      <c r="P158" s="130" t="s">
        <v>1456</v>
      </c>
      <c r="Q158" s="130" t="s">
        <v>2893</v>
      </c>
      <c r="R158" s="130">
        <v>9</v>
      </c>
      <c r="S158" s="130" t="s">
        <v>4347</v>
      </c>
      <c r="T158" s="130" t="s">
        <v>4549</v>
      </c>
      <c r="U158" s="129"/>
      <c r="V158" s="129"/>
      <c r="W158" s="129"/>
      <c r="X158" s="129" t="s">
        <v>21</v>
      </c>
    </row>
    <row r="159" spans="1:24" ht="26.25" hidden="1" customHeight="1">
      <c r="A159" s="17">
        <f t="shared" si="1"/>
        <v>156</v>
      </c>
      <c r="B159" s="18" t="s">
        <v>81</v>
      </c>
      <c r="C159" s="19" t="s">
        <v>1057</v>
      </c>
      <c r="D159" s="19" t="s">
        <v>1058</v>
      </c>
      <c r="E159" s="20" t="s">
        <v>1059</v>
      </c>
      <c r="F159" s="21" t="s">
        <v>135</v>
      </c>
      <c r="G159" s="33" t="s">
        <v>42</v>
      </c>
      <c r="H159" s="23" t="s">
        <v>1060</v>
      </c>
      <c r="I159" s="24" t="s">
        <v>20</v>
      </c>
      <c r="J159" s="1" t="str">
        <f t="shared" si="0"/>
        <v>FRIC</v>
      </c>
      <c r="K159" s="1"/>
      <c r="L159" s="1"/>
      <c r="M159" s="130">
        <v>156</v>
      </c>
      <c r="N159" s="130" t="s">
        <v>4337</v>
      </c>
      <c r="O159" s="131" t="s">
        <v>4550</v>
      </c>
      <c r="P159" s="130" t="s">
        <v>558</v>
      </c>
      <c r="Q159" s="130" t="s">
        <v>2921</v>
      </c>
      <c r="R159" s="132">
        <v>14</v>
      </c>
      <c r="S159" s="129"/>
      <c r="T159" s="130" t="s">
        <v>4551</v>
      </c>
      <c r="U159" s="129"/>
      <c r="V159" s="129"/>
      <c r="W159" s="129"/>
      <c r="X159" s="129" t="s">
        <v>21</v>
      </c>
    </row>
    <row r="160" spans="1:24" ht="26.25" hidden="1" customHeight="1">
      <c r="A160" s="17">
        <f t="shared" si="1"/>
        <v>157</v>
      </c>
      <c r="B160" s="18" t="s">
        <v>81</v>
      </c>
      <c r="C160" s="31" t="s">
        <v>1063</v>
      </c>
      <c r="D160" s="19" t="s">
        <v>83</v>
      </c>
      <c r="E160" s="20" t="s">
        <v>1064</v>
      </c>
      <c r="F160" s="32" t="s">
        <v>1065</v>
      </c>
      <c r="G160" s="33" t="s">
        <v>53</v>
      </c>
      <c r="H160" s="23" t="s">
        <v>1066</v>
      </c>
      <c r="I160" s="24" t="s">
        <v>55</v>
      </c>
      <c r="J160" s="1" t="str">
        <f t="shared" si="0"/>
        <v/>
      </c>
      <c r="K160" s="1"/>
      <c r="L160" s="1"/>
      <c r="M160" s="130">
        <v>157</v>
      </c>
      <c r="N160" s="130" t="s">
        <v>4337</v>
      </c>
      <c r="O160" s="131" t="s">
        <v>4552</v>
      </c>
      <c r="P160" s="130" t="s">
        <v>558</v>
      </c>
      <c r="Q160" s="130" t="s">
        <v>2925</v>
      </c>
      <c r="R160" s="130">
        <v>24</v>
      </c>
      <c r="S160" s="129"/>
      <c r="T160" s="130" t="s">
        <v>4553</v>
      </c>
      <c r="U160" s="129"/>
      <c r="V160" s="129"/>
      <c r="W160" s="129"/>
      <c r="X160" s="129" t="s">
        <v>21</v>
      </c>
    </row>
    <row r="161" spans="1:24" ht="26.25" hidden="1" customHeight="1">
      <c r="A161" s="17">
        <f t="shared" si="1"/>
        <v>158</v>
      </c>
      <c r="B161" s="18" t="s">
        <v>13</v>
      </c>
      <c r="C161" s="31" t="s">
        <v>971</v>
      </c>
      <c r="D161" s="19" t="s">
        <v>972</v>
      </c>
      <c r="E161" s="20" t="s">
        <v>973</v>
      </c>
      <c r="F161" s="32" t="s">
        <v>170</v>
      </c>
      <c r="G161" s="22" t="s">
        <v>53</v>
      </c>
      <c r="H161" s="23" t="s">
        <v>1070</v>
      </c>
      <c r="I161" s="24" t="s">
        <v>55</v>
      </c>
      <c r="J161" s="1" t="str">
        <f t="shared" si="0"/>
        <v/>
      </c>
      <c r="K161" s="1"/>
      <c r="L161" s="1"/>
      <c r="M161" s="130">
        <v>158</v>
      </c>
      <c r="N161" s="130" t="s">
        <v>4337</v>
      </c>
      <c r="O161" s="131" t="s">
        <v>4554</v>
      </c>
      <c r="P161" s="130" t="s">
        <v>558</v>
      </c>
      <c r="Q161" s="130" t="s">
        <v>2929</v>
      </c>
      <c r="R161" s="130">
        <v>14</v>
      </c>
      <c r="S161" s="129"/>
      <c r="T161" s="130" t="s">
        <v>4555</v>
      </c>
      <c r="U161" s="129"/>
      <c r="V161" s="129"/>
      <c r="W161" s="129"/>
      <c r="X161" s="129" t="s">
        <v>21</v>
      </c>
    </row>
    <row r="162" spans="1:24" ht="26.25" hidden="1" customHeight="1">
      <c r="A162" s="17">
        <f t="shared" si="1"/>
        <v>159</v>
      </c>
      <c r="B162" s="18" t="s">
        <v>13</v>
      </c>
      <c r="C162" s="19" t="s">
        <v>1073</v>
      </c>
      <c r="D162" s="19" t="s">
        <v>60</v>
      </c>
      <c r="E162" s="20" t="s">
        <v>1074</v>
      </c>
      <c r="F162" s="21" t="s">
        <v>1075</v>
      </c>
      <c r="G162" s="22" t="s">
        <v>53</v>
      </c>
      <c r="H162" s="23" t="s">
        <v>1076</v>
      </c>
      <c r="I162" s="24" t="s">
        <v>20</v>
      </c>
      <c r="J162" s="1" t="str">
        <f t="shared" si="0"/>
        <v>FRIC</v>
      </c>
      <c r="K162" s="1"/>
      <c r="L162" s="1"/>
      <c r="M162" s="130">
        <v>159</v>
      </c>
      <c r="N162" s="130" t="s">
        <v>4337</v>
      </c>
      <c r="O162" s="131" t="s">
        <v>4556</v>
      </c>
      <c r="P162" s="130" t="s">
        <v>558</v>
      </c>
      <c r="Q162" s="130" t="s">
        <v>2937</v>
      </c>
      <c r="R162" s="130">
        <v>10</v>
      </c>
      <c r="S162" s="129"/>
      <c r="T162" s="130" t="s">
        <v>4557</v>
      </c>
      <c r="U162" s="129"/>
      <c r="V162" s="129"/>
      <c r="W162" s="129"/>
      <c r="X162" s="129" t="s">
        <v>21</v>
      </c>
    </row>
    <row r="163" spans="1:24" ht="26.25" hidden="1" customHeight="1">
      <c r="A163" s="17">
        <f t="shared" si="1"/>
        <v>160</v>
      </c>
      <c r="B163" s="18" t="s">
        <v>81</v>
      </c>
      <c r="C163" s="19" t="s">
        <v>1080</v>
      </c>
      <c r="D163" s="19" t="s">
        <v>141</v>
      </c>
      <c r="E163" s="20" t="s">
        <v>1081</v>
      </c>
      <c r="F163" s="21" t="s">
        <v>905</v>
      </c>
      <c r="G163" s="33" t="s">
        <v>42</v>
      </c>
      <c r="H163" s="23" t="s">
        <v>1082</v>
      </c>
      <c r="I163" s="24" t="s">
        <v>20</v>
      </c>
      <c r="J163" s="1" t="str">
        <f t="shared" si="0"/>
        <v>FRIC</v>
      </c>
      <c r="K163" s="1"/>
      <c r="L163" s="1"/>
      <c r="M163" s="130">
        <v>160</v>
      </c>
      <c r="N163" s="130" t="s">
        <v>4337</v>
      </c>
      <c r="O163" s="131" t="s">
        <v>4558</v>
      </c>
      <c r="P163" s="130" t="s">
        <v>558</v>
      </c>
      <c r="Q163" s="130" t="s">
        <v>2941</v>
      </c>
      <c r="R163" s="130">
        <v>16</v>
      </c>
      <c r="S163" s="129"/>
      <c r="T163" s="130" t="s">
        <v>4559</v>
      </c>
      <c r="U163" s="129"/>
      <c r="V163" s="129"/>
      <c r="W163" s="129"/>
      <c r="X163" s="129" t="s">
        <v>21</v>
      </c>
    </row>
    <row r="164" spans="1:24" ht="26.25" hidden="1" customHeight="1">
      <c r="A164" s="17">
        <f t="shared" si="1"/>
        <v>161</v>
      </c>
      <c r="B164" s="18" t="s">
        <v>13</v>
      </c>
      <c r="C164" s="31" t="s">
        <v>360</v>
      </c>
      <c r="D164" s="19" t="s">
        <v>499</v>
      </c>
      <c r="E164" s="20" t="s">
        <v>362</v>
      </c>
      <c r="F164" s="32" t="s">
        <v>163</v>
      </c>
      <c r="G164" s="22" t="s">
        <v>1086</v>
      </c>
      <c r="H164" s="23" t="s">
        <v>1087</v>
      </c>
      <c r="I164" s="24" t="s">
        <v>55</v>
      </c>
      <c r="J164" s="1" t="str">
        <f t="shared" si="0"/>
        <v/>
      </c>
      <c r="K164" s="1"/>
      <c r="L164" s="1"/>
      <c r="M164" s="130">
        <v>161</v>
      </c>
      <c r="N164" s="130" t="s">
        <v>4337</v>
      </c>
      <c r="O164" s="131" t="s">
        <v>4560</v>
      </c>
      <c r="P164" s="130" t="s">
        <v>558</v>
      </c>
      <c r="Q164" s="130" t="s">
        <v>2944</v>
      </c>
      <c r="R164" s="130">
        <v>12</v>
      </c>
      <c r="S164" s="129"/>
      <c r="T164" s="130" t="s">
        <v>4561</v>
      </c>
      <c r="U164" s="129"/>
      <c r="V164" s="129"/>
      <c r="W164" s="129"/>
      <c r="X164" s="129" t="s">
        <v>21</v>
      </c>
    </row>
    <row r="165" spans="1:24" ht="26.25" hidden="1" customHeight="1">
      <c r="A165" s="17">
        <f t="shared" si="1"/>
        <v>162</v>
      </c>
      <c r="B165" s="18" t="s">
        <v>13</v>
      </c>
      <c r="C165" s="31" t="s">
        <v>976</v>
      </c>
      <c r="D165" s="19" t="s">
        <v>1090</v>
      </c>
      <c r="E165" s="20" t="s">
        <v>978</v>
      </c>
      <c r="F165" s="32" t="s">
        <v>170</v>
      </c>
      <c r="G165" s="22" t="s">
        <v>53</v>
      </c>
      <c r="H165" s="23" t="s">
        <v>1091</v>
      </c>
      <c r="I165" s="24" t="s">
        <v>55</v>
      </c>
      <c r="J165" s="1" t="str">
        <f t="shared" si="0"/>
        <v/>
      </c>
      <c r="K165" s="1"/>
      <c r="L165" s="1"/>
      <c r="M165" s="130">
        <v>162</v>
      </c>
      <c r="N165" s="130" t="s">
        <v>4337</v>
      </c>
      <c r="O165" s="131" t="s">
        <v>4562</v>
      </c>
      <c r="P165" s="130" t="s">
        <v>558</v>
      </c>
      <c r="Q165" s="130" t="s">
        <v>2947</v>
      </c>
      <c r="R165" s="130">
        <v>10</v>
      </c>
      <c r="S165" s="129"/>
      <c r="T165" s="130" t="s">
        <v>4563</v>
      </c>
      <c r="U165" s="129"/>
      <c r="V165" s="129"/>
      <c r="W165" s="129"/>
      <c r="X165" s="129" t="s">
        <v>21</v>
      </c>
    </row>
    <row r="166" spans="1:24" ht="26.25" hidden="1" customHeight="1">
      <c r="A166" s="17">
        <f t="shared" si="1"/>
        <v>163</v>
      </c>
      <c r="B166" s="18" t="s">
        <v>13</v>
      </c>
      <c r="C166" s="31" t="s">
        <v>983</v>
      </c>
      <c r="D166" s="19" t="s">
        <v>1094</v>
      </c>
      <c r="E166" s="20" t="s">
        <v>985</v>
      </c>
      <c r="F166" s="32" t="s">
        <v>170</v>
      </c>
      <c r="G166" s="22" t="s">
        <v>53</v>
      </c>
      <c r="H166" s="23" t="s">
        <v>1095</v>
      </c>
      <c r="I166" s="24" t="s">
        <v>55</v>
      </c>
      <c r="J166" s="1" t="str">
        <f t="shared" si="0"/>
        <v/>
      </c>
      <c r="K166" s="1"/>
      <c r="L166" s="1"/>
      <c r="M166" s="130">
        <v>163</v>
      </c>
      <c r="N166" s="130" t="s">
        <v>4337</v>
      </c>
      <c r="O166" s="131" t="s">
        <v>4564</v>
      </c>
      <c r="P166" s="130" t="s">
        <v>558</v>
      </c>
      <c r="Q166" s="130" t="s">
        <v>2954</v>
      </c>
      <c r="R166" s="130">
        <v>4</v>
      </c>
      <c r="S166" s="129"/>
      <c r="T166" s="130" t="s">
        <v>4565</v>
      </c>
      <c r="U166" s="129"/>
      <c r="V166" s="129"/>
      <c r="W166" s="129"/>
      <c r="X166" s="129" t="s">
        <v>21</v>
      </c>
    </row>
    <row r="167" spans="1:24" ht="26.25" hidden="1" customHeight="1">
      <c r="A167" s="17">
        <f t="shared" si="1"/>
        <v>164</v>
      </c>
      <c r="B167" s="18" t="s">
        <v>105</v>
      </c>
      <c r="C167" s="31" t="s">
        <v>1099</v>
      </c>
      <c r="D167" s="19" t="s">
        <v>196</v>
      </c>
      <c r="E167" s="20" t="s">
        <v>1100</v>
      </c>
      <c r="F167" s="32" t="s">
        <v>1101</v>
      </c>
      <c r="G167" s="33" t="s">
        <v>42</v>
      </c>
      <c r="H167" s="23" t="s">
        <v>1102</v>
      </c>
      <c r="I167" s="24" t="s">
        <v>55</v>
      </c>
      <c r="J167" s="1" t="str">
        <f t="shared" si="0"/>
        <v/>
      </c>
      <c r="K167" s="1"/>
      <c r="L167" s="1"/>
      <c r="M167" s="130">
        <v>164</v>
      </c>
      <c r="N167" s="130" t="s">
        <v>4337</v>
      </c>
      <c r="O167" s="131" t="s">
        <v>4566</v>
      </c>
      <c r="P167" s="130" t="s">
        <v>558</v>
      </c>
      <c r="Q167" s="130" t="s">
        <v>2966</v>
      </c>
      <c r="R167" s="130">
        <v>4</v>
      </c>
      <c r="S167" s="129"/>
      <c r="T167" s="130" t="s">
        <v>4567</v>
      </c>
      <c r="U167" s="129"/>
      <c r="V167" s="129"/>
      <c r="W167" s="129"/>
      <c r="X167" s="129" t="s">
        <v>21</v>
      </c>
    </row>
    <row r="168" spans="1:24" ht="26.25" hidden="1" customHeight="1">
      <c r="A168" s="17">
        <f t="shared" si="1"/>
        <v>165</v>
      </c>
      <c r="B168" s="18" t="s">
        <v>132</v>
      </c>
      <c r="C168" s="19" t="s">
        <v>1105</v>
      </c>
      <c r="D168" s="19" t="s">
        <v>1106</v>
      </c>
      <c r="E168" s="20" t="s">
        <v>1107</v>
      </c>
      <c r="F168" s="21" t="s">
        <v>1108</v>
      </c>
      <c r="G168" s="22" t="s">
        <v>42</v>
      </c>
      <c r="H168" s="23" t="s">
        <v>1109</v>
      </c>
      <c r="I168" s="24" t="s">
        <v>20</v>
      </c>
      <c r="J168" s="1" t="str">
        <f t="shared" si="0"/>
        <v>FRIC</v>
      </c>
      <c r="K168" s="1"/>
      <c r="L168" s="1"/>
      <c r="M168" s="130">
        <v>165</v>
      </c>
      <c r="N168" s="130" t="s">
        <v>4337</v>
      </c>
      <c r="O168" s="131" t="s">
        <v>4568</v>
      </c>
      <c r="P168" s="130" t="s">
        <v>558</v>
      </c>
      <c r="Q168" s="130" t="s">
        <v>2962</v>
      </c>
      <c r="R168" s="130">
        <v>4</v>
      </c>
      <c r="S168" s="129"/>
      <c r="T168" s="130" t="s">
        <v>4569</v>
      </c>
      <c r="U168" s="129"/>
      <c r="V168" s="129"/>
      <c r="W168" s="129"/>
      <c r="X168" s="129" t="s">
        <v>21</v>
      </c>
    </row>
    <row r="169" spans="1:24" ht="26.25" hidden="1" customHeight="1">
      <c r="A169" s="17">
        <f t="shared" si="1"/>
        <v>166</v>
      </c>
      <c r="B169" s="18" t="s">
        <v>48</v>
      </c>
      <c r="C169" s="31" t="s">
        <v>1113</v>
      </c>
      <c r="D169" s="19" t="s">
        <v>1114</v>
      </c>
      <c r="E169" s="20" t="s">
        <v>1115</v>
      </c>
      <c r="F169" s="32" t="s">
        <v>222</v>
      </c>
      <c r="G169" s="33" t="s">
        <v>53</v>
      </c>
      <c r="H169" s="23" t="s">
        <v>1116</v>
      </c>
      <c r="I169" s="24" t="s">
        <v>55</v>
      </c>
      <c r="J169" s="1" t="str">
        <f t="shared" si="0"/>
        <v/>
      </c>
      <c r="K169" s="1"/>
      <c r="L169" s="1"/>
      <c r="M169" s="130">
        <v>166</v>
      </c>
      <c r="N169" s="130" t="s">
        <v>4337</v>
      </c>
      <c r="O169" s="131" t="s">
        <v>4570</v>
      </c>
      <c r="P169" s="130" t="s">
        <v>255</v>
      </c>
      <c r="Q169" s="130" t="s">
        <v>2982</v>
      </c>
      <c r="R169" s="130">
        <v>16</v>
      </c>
      <c r="S169" s="130" t="s">
        <v>4347</v>
      </c>
      <c r="T169" s="130" t="s">
        <v>4571</v>
      </c>
      <c r="U169" s="129"/>
      <c r="V169" s="129"/>
      <c r="W169" s="129"/>
      <c r="X169" s="129" t="s">
        <v>21</v>
      </c>
    </row>
    <row r="170" spans="1:24" ht="26.25" hidden="1" customHeight="1">
      <c r="A170" s="17">
        <f t="shared" si="1"/>
        <v>167</v>
      </c>
      <c r="B170" s="18" t="s">
        <v>175</v>
      </c>
      <c r="C170" s="31" t="s">
        <v>1120</v>
      </c>
      <c r="D170" s="19" t="s">
        <v>588</v>
      </c>
      <c r="E170" s="20" t="s">
        <v>1121</v>
      </c>
      <c r="F170" s="32" t="s">
        <v>1122</v>
      </c>
      <c r="G170" s="70" t="s">
        <v>42</v>
      </c>
      <c r="H170" s="23" t="s">
        <v>1123</v>
      </c>
      <c r="I170" s="24" t="s">
        <v>55</v>
      </c>
      <c r="J170" s="1" t="str">
        <f t="shared" si="0"/>
        <v/>
      </c>
      <c r="K170" s="1"/>
      <c r="L170" s="1"/>
      <c r="M170" s="130">
        <v>167</v>
      </c>
      <c r="N170" s="130" t="s">
        <v>4337</v>
      </c>
      <c r="O170" s="131" t="s">
        <v>4572</v>
      </c>
      <c r="P170" s="130" t="s">
        <v>1042</v>
      </c>
      <c r="Q170" s="130" t="s">
        <v>2988</v>
      </c>
      <c r="R170" s="130">
        <v>6</v>
      </c>
      <c r="S170" s="129"/>
      <c r="T170" s="130" t="s">
        <v>4573</v>
      </c>
      <c r="U170" s="130" t="s">
        <v>20</v>
      </c>
      <c r="V170" s="129"/>
      <c r="W170" s="129"/>
      <c r="X170" s="129" t="s">
        <v>21</v>
      </c>
    </row>
    <row r="171" spans="1:24" ht="26.25" hidden="1" customHeight="1">
      <c r="A171" s="17">
        <f t="shared" si="1"/>
        <v>168</v>
      </c>
      <c r="B171" s="18" t="s">
        <v>105</v>
      </c>
      <c r="C171" s="31" t="s">
        <v>1127</v>
      </c>
      <c r="D171" s="19" t="s">
        <v>1128</v>
      </c>
      <c r="E171" s="20" t="s">
        <v>1129</v>
      </c>
      <c r="F171" s="32" t="s">
        <v>1130</v>
      </c>
      <c r="G171" s="33" t="s">
        <v>53</v>
      </c>
      <c r="H171" s="23" t="s">
        <v>1131</v>
      </c>
      <c r="I171" s="24" t="s">
        <v>55</v>
      </c>
      <c r="J171" s="1" t="str">
        <f t="shared" si="0"/>
        <v/>
      </c>
      <c r="K171" s="1"/>
      <c r="L171" s="1"/>
      <c r="M171" s="130">
        <v>168</v>
      </c>
      <c r="N171" s="130" t="s">
        <v>4337</v>
      </c>
      <c r="O171" s="131" t="s">
        <v>4574</v>
      </c>
      <c r="P171" s="130" t="s">
        <v>2445</v>
      </c>
      <c r="Q171" s="130" t="s">
        <v>3013</v>
      </c>
      <c r="R171" s="130">
        <v>4</v>
      </c>
      <c r="S171" s="130" t="s">
        <v>4347</v>
      </c>
      <c r="T171" s="130" t="s">
        <v>4575</v>
      </c>
      <c r="U171" s="129"/>
      <c r="V171" s="129"/>
      <c r="W171" s="129" t="s">
        <v>4377</v>
      </c>
      <c r="X171" s="129" t="s">
        <v>21</v>
      </c>
    </row>
    <row r="172" spans="1:24" ht="26.25" hidden="1" customHeight="1">
      <c r="A172" s="17">
        <f t="shared" si="1"/>
        <v>169</v>
      </c>
      <c r="B172" s="18" t="s">
        <v>27</v>
      </c>
      <c r="C172" s="31" t="s">
        <v>1135</v>
      </c>
      <c r="D172" s="19" t="s">
        <v>808</v>
      </c>
      <c r="E172" s="20" t="s">
        <v>1136</v>
      </c>
      <c r="F172" s="32" t="s">
        <v>1137</v>
      </c>
      <c r="G172" s="22" t="s">
        <v>42</v>
      </c>
      <c r="H172" s="23" t="s">
        <v>1138</v>
      </c>
      <c r="I172" s="24" t="s">
        <v>55</v>
      </c>
      <c r="J172" s="1" t="str">
        <f t="shared" si="0"/>
        <v/>
      </c>
      <c r="K172" s="1"/>
      <c r="L172" s="1"/>
      <c r="M172" s="130">
        <v>169</v>
      </c>
      <c r="N172" s="130" t="s">
        <v>4337</v>
      </c>
      <c r="O172" s="131" t="s">
        <v>3022</v>
      </c>
      <c r="P172" s="130" t="s">
        <v>4576</v>
      </c>
      <c r="Q172" s="130" t="s">
        <v>3024</v>
      </c>
      <c r="R172" s="130">
        <v>4</v>
      </c>
      <c r="S172" s="129"/>
      <c r="T172" s="130" t="s">
        <v>4577</v>
      </c>
      <c r="U172" s="130" t="s">
        <v>53</v>
      </c>
      <c r="V172" s="129" t="s">
        <v>4394</v>
      </c>
      <c r="W172" s="129"/>
      <c r="X172" s="129" t="s">
        <v>21</v>
      </c>
    </row>
    <row r="173" spans="1:24" ht="26.25" hidden="1" customHeight="1">
      <c r="A173" s="17">
        <f t="shared" si="1"/>
        <v>170</v>
      </c>
      <c r="B173" s="18" t="s">
        <v>13</v>
      </c>
      <c r="C173" s="19" t="s">
        <v>1142</v>
      </c>
      <c r="D173" s="19" t="s">
        <v>1143</v>
      </c>
      <c r="E173" s="20" t="s">
        <v>1144</v>
      </c>
      <c r="F173" s="21" t="s">
        <v>135</v>
      </c>
      <c r="G173" s="22" t="s">
        <v>53</v>
      </c>
      <c r="H173" s="23" t="s">
        <v>1145</v>
      </c>
      <c r="I173" s="24" t="s">
        <v>20</v>
      </c>
      <c r="J173" s="1" t="str">
        <f t="shared" si="0"/>
        <v>FRIC</v>
      </c>
      <c r="K173" s="1"/>
      <c r="L173" s="1"/>
      <c r="M173" s="130">
        <v>170</v>
      </c>
      <c r="N173" s="130" t="s">
        <v>4337</v>
      </c>
      <c r="O173" s="131" t="s">
        <v>3026</v>
      </c>
      <c r="P173" s="130" t="s">
        <v>4578</v>
      </c>
      <c r="Q173" s="130" t="s">
        <v>3028</v>
      </c>
      <c r="R173" s="130">
        <v>12</v>
      </c>
      <c r="S173" s="129"/>
      <c r="T173" s="130" t="s">
        <v>4579</v>
      </c>
      <c r="U173" s="130" t="s">
        <v>20</v>
      </c>
      <c r="V173" s="129"/>
      <c r="W173" s="129"/>
      <c r="X173" s="129" t="s">
        <v>21</v>
      </c>
    </row>
    <row r="174" spans="1:24" ht="26.25" hidden="1" customHeight="1">
      <c r="A174" s="17">
        <f t="shared" si="1"/>
        <v>171</v>
      </c>
      <c r="B174" s="18" t="s">
        <v>132</v>
      </c>
      <c r="C174" s="31" t="s">
        <v>238</v>
      </c>
      <c r="D174" s="19" t="s">
        <v>239</v>
      </c>
      <c r="E174" s="20" t="s">
        <v>240</v>
      </c>
      <c r="F174" s="32" t="s">
        <v>62</v>
      </c>
      <c r="G174" s="22" t="s">
        <v>53</v>
      </c>
      <c r="H174" s="23" t="s">
        <v>1149</v>
      </c>
      <c r="I174" s="24" t="s">
        <v>55</v>
      </c>
      <c r="J174" s="1" t="str">
        <f t="shared" si="0"/>
        <v/>
      </c>
      <c r="K174" s="1"/>
      <c r="L174" s="1"/>
      <c r="M174" s="130">
        <v>171</v>
      </c>
      <c r="N174" s="130" t="s">
        <v>4337</v>
      </c>
      <c r="O174" s="131" t="s">
        <v>3030</v>
      </c>
      <c r="P174" s="130" t="s">
        <v>255</v>
      </c>
      <c r="Q174" s="130" t="s">
        <v>3031</v>
      </c>
      <c r="R174" s="130">
        <v>6</v>
      </c>
      <c r="S174" s="130" t="s">
        <v>4347</v>
      </c>
      <c r="T174" s="130" t="s">
        <v>4580</v>
      </c>
      <c r="U174" s="129"/>
      <c r="V174" s="129"/>
      <c r="W174" s="129"/>
      <c r="X174" s="129" t="s">
        <v>21</v>
      </c>
    </row>
    <row r="175" spans="1:24" ht="26.25" hidden="1" customHeight="1">
      <c r="A175" s="17">
        <f t="shared" si="1"/>
        <v>172</v>
      </c>
      <c r="B175" s="18" t="s">
        <v>132</v>
      </c>
      <c r="C175" s="31" t="s">
        <v>1153</v>
      </c>
      <c r="D175" s="19" t="s">
        <v>1154</v>
      </c>
      <c r="E175" s="20" t="s">
        <v>1155</v>
      </c>
      <c r="F175" s="32" t="s">
        <v>496</v>
      </c>
      <c r="G175" s="22" t="s">
        <v>53</v>
      </c>
      <c r="H175" s="23" t="s">
        <v>1156</v>
      </c>
      <c r="I175" s="24" t="s">
        <v>55</v>
      </c>
      <c r="J175" s="1" t="str">
        <f t="shared" si="0"/>
        <v/>
      </c>
      <c r="K175" s="1"/>
      <c r="L175" s="1"/>
      <c r="M175" s="130">
        <v>172</v>
      </c>
      <c r="N175" s="130" t="s">
        <v>4337</v>
      </c>
      <c r="O175" s="131" t="s">
        <v>4581</v>
      </c>
      <c r="P175" s="130" t="s">
        <v>4582</v>
      </c>
      <c r="Q175" s="130" t="s">
        <v>3051</v>
      </c>
      <c r="R175" s="130">
        <v>12</v>
      </c>
      <c r="S175" s="130" t="s">
        <v>4347</v>
      </c>
      <c r="T175" s="130" t="s">
        <v>4583</v>
      </c>
      <c r="U175" s="129"/>
      <c r="V175" s="129"/>
      <c r="W175" s="129"/>
      <c r="X175" s="129" t="s">
        <v>21</v>
      </c>
    </row>
    <row r="176" spans="1:24" ht="26.25" hidden="1" customHeight="1">
      <c r="A176" s="17">
        <f t="shared" si="1"/>
        <v>173</v>
      </c>
      <c r="B176" s="18" t="s">
        <v>132</v>
      </c>
      <c r="C176" s="31" t="s">
        <v>1159</v>
      </c>
      <c r="D176" s="19" t="s">
        <v>239</v>
      </c>
      <c r="E176" s="20" t="s">
        <v>996</v>
      </c>
      <c r="F176" s="32" t="s">
        <v>170</v>
      </c>
      <c r="G176" s="22" t="s">
        <v>53</v>
      </c>
      <c r="H176" s="23" t="s">
        <v>1160</v>
      </c>
      <c r="I176" s="24" t="s">
        <v>55</v>
      </c>
      <c r="J176" s="1" t="str">
        <f t="shared" si="0"/>
        <v/>
      </c>
      <c r="K176" s="1"/>
      <c r="L176" s="1"/>
      <c r="M176" s="130">
        <v>173</v>
      </c>
      <c r="N176" s="130" t="s">
        <v>4337</v>
      </c>
      <c r="O176" s="131" t="s">
        <v>3053</v>
      </c>
      <c r="P176" s="130" t="s">
        <v>255</v>
      </c>
      <c r="Q176" s="130" t="s">
        <v>3054</v>
      </c>
      <c r="R176" s="130">
        <v>10</v>
      </c>
      <c r="S176" s="129"/>
      <c r="T176" s="130" t="s">
        <v>4584</v>
      </c>
      <c r="U176" s="129"/>
      <c r="V176" s="129"/>
      <c r="W176" s="129"/>
      <c r="X176" s="129" t="s">
        <v>21</v>
      </c>
    </row>
    <row r="177" spans="1:24" ht="26.25" hidden="1" customHeight="1">
      <c r="A177" s="17">
        <f t="shared" si="1"/>
        <v>174</v>
      </c>
      <c r="B177" s="18" t="s">
        <v>105</v>
      </c>
      <c r="C177" s="31" t="s">
        <v>725</v>
      </c>
      <c r="D177" s="19" t="s">
        <v>726</v>
      </c>
      <c r="E177" s="20" t="s">
        <v>727</v>
      </c>
      <c r="F177" s="32" t="s">
        <v>1164</v>
      </c>
      <c r="G177" s="33" t="s">
        <v>42</v>
      </c>
      <c r="H177" s="23" t="s">
        <v>1165</v>
      </c>
      <c r="I177" s="24" t="s">
        <v>55</v>
      </c>
      <c r="J177" s="1" t="str">
        <f t="shared" si="0"/>
        <v/>
      </c>
      <c r="K177" s="1"/>
      <c r="L177" s="1"/>
      <c r="M177" s="130">
        <v>174</v>
      </c>
      <c r="N177" s="130" t="s">
        <v>4337</v>
      </c>
      <c r="O177" s="131" t="s">
        <v>4585</v>
      </c>
      <c r="P177" s="130" t="s">
        <v>840</v>
      </c>
      <c r="Q177" s="130" t="s">
        <v>3106</v>
      </c>
      <c r="R177" s="132">
        <v>12</v>
      </c>
      <c r="S177" s="130" t="s">
        <v>4347</v>
      </c>
      <c r="T177" s="130" t="s">
        <v>4462</v>
      </c>
      <c r="U177" s="130" t="s">
        <v>53</v>
      </c>
      <c r="V177" s="129" t="s">
        <v>4394</v>
      </c>
      <c r="W177" s="129"/>
      <c r="X177" s="129" t="s">
        <v>21</v>
      </c>
    </row>
    <row r="178" spans="1:24" ht="26.25" hidden="1" customHeight="1">
      <c r="A178" s="17">
        <f t="shared" si="1"/>
        <v>175</v>
      </c>
      <c r="B178" s="18" t="s">
        <v>13</v>
      </c>
      <c r="C178" s="19" t="s">
        <v>1168</v>
      </c>
      <c r="D178" s="19" t="s">
        <v>1169</v>
      </c>
      <c r="E178" s="20" t="s">
        <v>1170</v>
      </c>
      <c r="F178" s="21" t="s">
        <v>1171</v>
      </c>
      <c r="G178" s="22" t="s">
        <v>53</v>
      </c>
      <c r="H178" s="23" t="s">
        <v>1172</v>
      </c>
      <c r="I178" s="24" t="s">
        <v>20</v>
      </c>
      <c r="J178" s="1" t="str">
        <f t="shared" si="0"/>
        <v>FRIC</v>
      </c>
      <c r="K178" s="1"/>
      <c r="L178" s="1"/>
      <c r="M178" s="130">
        <v>175</v>
      </c>
      <c r="N178" s="130" t="s">
        <v>4337</v>
      </c>
      <c r="O178" s="131" t="s">
        <v>3117</v>
      </c>
      <c r="P178" s="130" t="s">
        <v>840</v>
      </c>
      <c r="Q178" s="130" t="s">
        <v>3118</v>
      </c>
      <c r="R178" s="130">
        <v>12</v>
      </c>
      <c r="S178" s="130" t="s">
        <v>4347</v>
      </c>
      <c r="T178" s="130" t="s">
        <v>4586</v>
      </c>
      <c r="U178" s="130" t="s">
        <v>53</v>
      </c>
      <c r="V178" s="129" t="s">
        <v>4394</v>
      </c>
      <c r="W178" s="129"/>
      <c r="X178" s="129" t="s">
        <v>21</v>
      </c>
    </row>
    <row r="179" spans="1:24" ht="26.25" hidden="1" customHeight="1">
      <c r="A179" s="17">
        <f t="shared" si="1"/>
        <v>176</v>
      </c>
      <c r="B179" s="18" t="s">
        <v>175</v>
      </c>
      <c r="C179" s="31" t="s">
        <v>1176</v>
      </c>
      <c r="D179" s="19" t="s">
        <v>124</v>
      </c>
      <c r="E179" s="20" t="s">
        <v>1177</v>
      </c>
      <c r="F179" s="32" t="s">
        <v>1178</v>
      </c>
      <c r="G179" s="33" t="s">
        <v>42</v>
      </c>
      <c r="H179" s="23" t="s">
        <v>1179</v>
      </c>
      <c r="I179" s="24" t="s">
        <v>55</v>
      </c>
      <c r="J179" s="1" t="str">
        <f t="shared" si="0"/>
        <v/>
      </c>
      <c r="K179" s="1"/>
      <c r="L179" s="1"/>
      <c r="M179" s="130">
        <v>176</v>
      </c>
      <c r="N179" s="130" t="s">
        <v>4337</v>
      </c>
      <c r="O179" s="131" t="s">
        <v>4587</v>
      </c>
      <c r="P179" s="130" t="s">
        <v>255</v>
      </c>
      <c r="Q179" s="130" t="s">
        <v>3125</v>
      </c>
      <c r="R179" s="130">
        <v>18</v>
      </c>
      <c r="S179" s="130" t="s">
        <v>4347</v>
      </c>
      <c r="T179" s="130" t="s">
        <v>4588</v>
      </c>
      <c r="U179" s="129"/>
      <c r="V179" s="129"/>
      <c r="W179" s="129"/>
      <c r="X179" s="129" t="s">
        <v>21</v>
      </c>
    </row>
    <row r="180" spans="1:24" ht="26.25" hidden="1" customHeight="1">
      <c r="A180" s="17">
        <f t="shared" si="1"/>
        <v>177</v>
      </c>
      <c r="B180" s="18" t="s">
        <v>105</v>
      </c>
      <c r="C180" s="31" t="s">
        <v>1183</v>
      </c>
      <c r="D180" s="19" t="s">
        <v>1184</v>
      </c>
      <c r="E180" s="20" t="s">
        <v>1185</v>
      </c>
      <c r="F180" s="32" t="s">
        <v>1186</v>
      </c>
      <c r="G180" s="33" t="s">
        <v>42</v>
      </c>
      <c r="H180" s="23" t="s">
        <v>1187</v>
      </c>
      <c r="I180" s="24" t="s">
        <v>55</v>
      </c>
      <c r="J180" s="1" t="str">
        <f t="shared" si="0"/>
        <v/>
      </c>
      <c r="K180" s="1"/>
      <c r="L180" s="1"/>
      <c r="M180" s="130">
        <v>177</v>
      </c>
      <c r="N180" s="130" t="s">
        <v>4337</v>
      </c>
      <c r="O180" s="131" t="s">
        <v>3133</v>
      </c>
      <c r="P180" s="130" t="s">
        <v>255</v>
      </c>
      <c r="Q180" s="130" t="s">
        <v>3134</v>
      </c>
      <c r="R180" s="130">
        <v>8</v>
      </c>
      <c r="S180" s="130" t="s">
        <v>4347</v>
      </c>
      <c r="T180" s="130" t="s">
        <v>4589</v>
      </c>
      <c r="U180" s="129"/>
      <c r="V180" s="129"/>
      <c r="W180" s="129"/>
      <c r="X180" s="129" t="s">
        <v>21</v>
      </c>
    </row>
    <row r="181" spans="1:24" ht="26.25" hidden="1" customHeight="1">
      <c r="A181" s="17">
        <f t="shared" si="1"/>
        <v>178</v>
      </c>
      <c r="B181" s="64" t="s">
        <v>81</v>
      </c>
      <c r="C181" s="19" t="s">
        <v>1191</v>
      </c>
      <c r="D181" s="19" t="s">
        <v>124</v>
      </c>
      <c r="E181" s="20" t="s">
        <v>1192</v>
      </c>
      <c r="F181" s="21" t="s">
        <v>135</v>
      </c>
      <c r="G181" s="33" t="s">
        <v>42</v>
      </c>
      <c r="H181" s="23" t="s">
        <v>1193</v>
      </c>
      <c r="I181" s="24" t="s">
        <v>20</v>
      </c>
      <c r="J181" s="1" t="str">
        <f t="shared" si="0"/>
        <v>FRIC</v>
      </c>
      <c r="K181" s="1"/>
      <c r="L181" s="1"/>
      <c r="M181" s="130">
        <v>178</v>
      </c>
      <c r="N181" s="130" t="s">
        <v>4337</v>
      </c>
      <c r="O181" s="131" t="s">
        <v>4590</v>
      </c>
      <c r="P181" s="130" t="s">
        <v>34</v>
      </c>
      <c r="Q181" s="130" t="s">
        <v>3151</v>
      </c>
      <c r="R181" s="130">
        <v>1</v>
      </c>
      <c r="S181" s="130" t="s">
        <v>4347</v>
      </c>
      <c r="T181" s="130" t="s">
        <v>4591</v>
      </c>
      <c r="U181" s="129"/>
      <c r="V181" s="129"/>
      <c r="W181" s="129"/>
      <c r="X181" s="129" t="s">
        <v>21</v>
      </c>
    </row>
    <row r="182" spans="1:24" ht="26.25" hidden="1" customHeight="1">
      <c r="A182" s="17">
        <f t="shared" si="1"/>
        <v>179</v>
      </c>
      <c r="B182" s="18" t="s">
        <v>1197</v>
      </c>
      <c r="C182" s="71" t="s">
        <v>1198</v>
      </c>
      <c r="D182" s="19" t="s">
        <v>1199</v>
      </c>
      <c r="E182" s="20" t="s">
        <v>1200</v>
      </c>
      <c r="F182" s="32" t="s">
        <v>1201</v>
      </c>
      <c r="G182" s="33" t="s">
        <v>42</v>
      </c>
      <c r="H182" s="23" t="s">
        <v>1202</v>
      </c>
      <c r="I182" s="24" t="s">
        <v>55</v>
      </c>
      <c r="J182" s="1" t="str">
        <f t="shared" si="0"/>
        <v/>
      </c>
      <c r="K182" s="1"/>
      <c r="L182" s="1"/>
      <c r="M182" s="130">
        <v>179</v>
      </c>
      <c r="N182" s="130" t="s">
        <v>4337</v>
      </c>
      <c r="O182" s="131" t="s">
        <v>4592</v>
      </c>
      <c r="P182" s="130" t="s">
        <v>1058</v>
      </c>
      <c r="Q182" s="130" t="s">
        <v>3158</v>
      </c>
      <c r="R182" s="130">
        <v>12</v>
      </c>
      <c r="S182" s="129"/>
      <c r="T182" s="130" t="s">
        <v>4593</v>
      </c>
      <c r="U182" s="130" t="s">
        <v>20</v>
      </c>
      <c r="V182" s="129"/>
      <c r="W182" s="129"/>
      <c r="X182" s="129" t="s">
        <v>21</v>
      </c>
    </row>
    <row r="183" spans="1:24" ht="26.25" hidden="1" customHeight="1">
      <c r="A183" s="17">
        <f t="shared" si="1"/>
        <v>180</v>
      </c>
      <c r="B183" s="18" t="s">
        <v>1197</v>
      </c>
      <c r="C183" s="71" t="s">
        <v>1206</v>
      </c>
      <c r="D183" s="19" t="s">
        <v>308</v>
      </c>
      <c r="E183" s="20" t="s">
        <v>1207</v>
      </c>
      <c r="F183" s="32" t="s">
        <v>1208</v>
      </c>
      <c r="G183" s="33" t="s">
        <v>42</v>
      </c>
      <c r="H183" s="23" t="s">
        <v>1209</v>
      </c>
      <c r="I183" s="24" t="s">
        <v>55</v>
      </c>
      <c r="J183" s="1" t="str">
        <f t="shared" si="0"/>
        <v/>
      </c>
      <c r="K183" s="1"/>
      <c r="L183" s="1"/>
      <c r="M183" s="130">
        <v>180</v>
      </c>
      <c r="N183" s="130" t="s">
        <v>4337</v>
      </c>
      <c r="O183" s="131" t="s">
        <v>3160</v>
      </c>
      <c r="P183" s="130" t="s">
        <v>255</v>
      </c>
      <c r="Q183" s="130" t="s">
        <v>3161</v>
      </c>
      <c r="R183" s="130">
        <v>4</v>
      </c>
      <c r="S183" s="130" t="s">
        <v>4347</v>
      </c>
      <c r="T183" s="130" t="s">
        <v>4594</v>
      </c>
      <c r="U183" s="129"/>
      <c r="V183" s="129"/>
      <c r="W183" s="129"/>
      <c r="X183" s="129" t="s">
        <v>21</v>
      </c>
    </row>
    <row r="184" spans="1:24" ht="26.25" hidden="1" customHeight="1">
      <c r="A184" s="17">
        <f t="shared" si="1"/>
        <v>181</v>
      </c>
      <c r="B184" s="67" t="s">
        <v>105</v>
      </c>
      <c r="C184" s="31" t="s">
        <v>1212</v>
      </c>
      <c r="D184" s="19" t="s">
        <v>1213</v>
      </c>
      <c r="E184" s="20" t="s">
        <v>1214</v>
      </c>
      <c r="F184" s="32" t="s">
        <v>1215</v>
      </c>
      <c r="G184" s="33" t="s">
        <v>42</v>
      </c>
      <c r="H184" s="23" t="s">
        <v>1216</v>
      </c>
      <c r="I184" s="24" t="s">
        <v>55</v>
      </c>
      <c r="J184" s="1" t="str">
        <f t="shared" si="0"/>
        <v/>
      </c>
      <c r="K184" s="1"/>
      <c r="L184" s="1"/>
      <c r="M184" s="130">
        <v>181</v>
      </c>
      <c r="N184" s="130" t="s">
        <v>4337</v>
      </c>
      <c r="O184" s="131" t="s">
        <v>4326</v>
      </c>
      <c r="P184" s="130" t="s">
        <v>4327</v>
      </c>
      <c r="Q184" s="130" t="s">
        <v>4328</v>
      </c>
      <c r="R184" s="130">
        <v>6</v>
      </c>
      <c r="S184" s="129"/>
      <c r="T184" s="130" t="s">
        <v>4595</v>
      </c>
      <c r="U184" s="130" t="s">
        <v>20</v>
      </c>
      <c r="V184" s="129"/>
      <c r="W184" s="129"/>
      <c r="X184" s="129" t="s">
        <v>21</v>
      </c>
    </row>
    <row r="185" spans="1:24" ht="26.25" hidden="1" customHeight="1">
      <c r="A185" s="17">
        <f t="shared" si="1"/>
        <v>182</v>
      </c>
      <c r="B185" s="18" t="s">
        <v>27</v>
      </c>
      <c r="C185" s="31" t="s">
        <v>1219</v>
      </c>
      <c r="D185" s="19" t="s">
        <v>246</v>
      </c>
      <c r="E185" s="20" t="s">
        <v>1220</v>
      </c>
      <c r="F185" s="32" t="s">
        <v>693</v>
      </c>
      <c r="G185" s="22" t="s">
        <v>53</v>
      </c>
      <c r="H185" s="23" t="s">
        <v>1221</v>
      </c>
      <c r="I185" s="24" t="s">
        <v>55</v>
      </c>
      <c r="J185" s="1" t="str">
        <f t="shared" si="0"/>
        <v/>
      </c>
      <c r="K185" s="1"/>
      <c r="L185" s="1"/>
      <c r="M185" s="130">
        <v>182</v>
      </c>
      <c r="N185" s="130" t="s">
        <v>4337</v>
      </c>
      <c r="O185" s="131" t="s">
        <v>4596</v>
      </c>
      <c r="P185" s="130" t="s">
        <v>255</v>
      </c>
      <c r="Q185" s="130" t="s">
        <v>3164</v>
      </c>
      <c r="R185" s="130">
        <v>8</v>
      </c>
      <c r="S185" s="130" t="s">
        <v>4347</v>
      </c>
      <c r="T185" s="130" t="s">
        <v>4597</v>
      </c>
      <c r="U185" s="129"/>
      <c r="V185" s="129"/>
      <c r="W185" s="129"/>
      <c r="X185" s="129" t="s">
        <v>21</v>
      </c>
    </row>
    <row r="186" spans="1:24" ht="26.25" hidden="1" customHeight="1">
      <c r="A186" s="17">
        <f t="shared" si="1"/>
        <v>183</v>
      </c>
      <c r="B186" s="18" t="s">
        <v>13</v>
      </c>
      <c r="C186" s="19" t="s">
        <v>1224</v>
      </c>
      <c r="D186" s="19" t="s">
        <v>1225</v>
      </c>
      <c r="E186" s="20" t="s">
        <v>1226</v>
      </c>
      <c r="F186" s="21" t="s">
        <v>135</v>
      </c>
      <c r="G186" s="22" t="s">
        <v>53</v>
      </c>
      <c r="H186" s="23" t="s">
        <v>1227</v>
      </c>
      <c r="I186" s="24" t="s">
        <v>20</v>
      </c>
      <c r="J186" s="1" t="str">
        <f t="shared" si="0"/>
        <v>FRIC</v>
      </c>
      <c r="K186" s="1"/>
      <c r="L186" s="1"/>
      <c r="M186" s="130">
        <v>183</v>
      </c>
      <c r="N186" s="130" t="s">
        <v>4337</v>
      </c>
      <c r="O186" s="131" t="s">
        <v>4598</v>
      </c>
      <c r="P186" s="130" t="s">
        <v>1058</v>
      </c>
      <c r="Q186" s="130" t="s">
        <v>3211</v>
      </c>
      <c r="R186" s="130">
        <v>24</v>
      </c>
      <c r="S186" s="129"/>
      <c r="T186" s="130" t="s">
        <v>4437</v>
      </c>
      <c r="U186" s="130" t="s">
        <v>20</v>
      </c>
      <c r="V186" s="129"/>
      <c r="W186" s="129"/>
      <c r="X186" s="129" t="s">
        <v>21</v>
      </c>
    </row>
    <row r="187" spans="1:24" ht="26.25" hidden="1" customHeight="1">
      <c r="A187" s="17">
        <f t="shared" si="1"/>
        <v>184</v>
      </c>
      <c r="B187" s="18" t="s">
        <v>48</v>
      </c>
      <c r="C187" s="31" t="s">
        <v>1231</v>
      </c>
      <c r="D187" s="19" t="s">
        <v>124</v>
      </c>
      <c r="E187" s="20" t="s">
        <v>1232</v>
      </c>
      <c r="F187" s="32" t="s">
        <v>416</v>
      </c>
      <c r="G187" s="33" t="s">
        <v>42</v>
      </c>
      <c r="H187" s="23" t="s">
        <v>1233</v>
      </c>
      <c r="I187" s="24" t="s">
        <v>55</v>
      </c>
      <c r="J187" s="1" t="str">
        <f t="shared" si="0"/>
        <v/>
      </c>
      <c r="K187" s="1"/>
      <c r="L187" s="1"/>
      <c r="M187" s="130">
        <v>184</v>
      </c>
      <c r="N187" s="130" t="s">
        <v>4337</v>
      </c>
      <c r="O187" s="131" t="s">
        <v>3215</v>
      </c>
      <c r="P187" s="130" t="s">
        <v>1058</v>
      </c>
      <c r="Q187" s="130" t="s">
        <v>3216</v>
      </c>
      <c r="R187" s="130">
        <v>24</v>
      </c>
      <c r="S187" s="129"/>
      <c r="T187" s="130" t="s">
        <v>4599</v>
      </c>
      <c r="U187" s="130" t="s">
        <v>20</v>
      </c>
      <c r="V187" s="129"/>
      <c r="W187" s="129"/>
      <c r="X187" s="129" t="s">
        <v>21</v>
      </c>
    </row>
    <row r="188" spans="1:24" ht="26.25" hidden="1" customHeight="1">
      <c r="A188" s="17">
        <f t="shared" si="1"/>
        <v>185</v>
      </c>
      <c r="B188" s="18" t="s">
        <v>48</v>
      </c>
      <c r="C188" s="31" t="s">
        <v>1236</v>
      </c>
      <c r="D188" s="19" t="s">
        <v>1237</v>
      </c>
      <c r="E188" s="20" t="s">
        <v>1238</v>
      </c>
      <c r="F188" s="32" t="s">
        <v>1239</v>
      </c>
      <c r="G188" s="33" t="s">
        <v>53</v>
      </c>
      <c r="H188" s="23" t="s">
        <v>1240</v>
      </c>
      <c r="I188" s="24" t="s">
        <v>55</v>
      </c>
      <c r="J188" s="1" t="str">
        <f t="shared" si="0"/>
        <v/>
      </c>
      <c r="K188" s="1"/>
      <c r="L188" s="1"/>
      <c r="M188" s="130">
        <v>185</v>
      </c>
      <c r="N188" s="130" t="s">
        <v>4337</v>
      </c>
      <c r="O188" s="131" t="s">
        <v>3218</v>
      </c>
      <c r="P188" s="130" t="s">
        <v>361</v>
      </c>
      <c r="Q188" s="130" t="s">
        <v>3219</v>
      </c>
      <c r="R188" s="130">
        <v>4</v>
      </c>
      <c r="S188" s="130" t="s">
        <v>4347</v>
      </c>
      <c r="T188" s="130" t="s">
        <v>4600</v>
      </c>
      <c r="U188" s="129"/>
      <c r="V188" s="129"/>
      <c r="W188" s="129"/>
      <c r="X188" s="129" t="s">
        <v>21</v>
      </c>
    </row>
    <row r="189" spans="1:24" ht="26.25" hidden="1" customHeight="1">
      <c r="A189" s="17">
        <f t="shared" si="1"/>
        <v>186</v>
      </c>
      <c r="B189" s="18" t="s">
        <v>27</v>
      </c>
      <c r="C189" s="31" t="s">
        <v>1243</v>
      </c>
      <c r="D189" s="19" t="s">
        <v>1244</v>
      </c>
      <c r="E189" s="20" t="s">
        <v>1245</v>
      </c>
      <c r="F189" s="32" t="s">
        <v>1246</v>
      </c>
      <c r="G189" s="22" t="s">
        <v>31</v>
      </c>
      <c r="H189" s="23" t="s">
        <v>1247</v>
      </c>
      <c r="I189" s="24" t="s">
        <v>55</v>
      </c>
      <c r="J189" s="1" t="str">
        <f t="shared" si="0"/>
        <v/>
      </c>
      <c r="K189" s="1"/>
      <c r="L189" s="1"/>
      <c r="M189" s="130">
        <v>186</v>
      </c>
      <c r="N189" s="130" t="s">
        <v>4337</v>
      </c>
      <c r="O189" s="131" t="s">
        <v>3221</v>
      </c>
      <c r="P189" s="130" t="s">
        <v>558</v>
      </c>
      <c r="Q189" s="130" t="s">
        <v>3222</v>
      </c>
      <c r="R189" s="130">
        <v>6</v>
      </c>
      <c r="S189" s="129"/>
      <c r="T189" s="130" t="s">
        <v>4601</v>
      </c>
      <c r="U189" s="129"/>
      <c r="V189" s="129"/>
      <c r="W189" s="129"/>
      <c r="X189" s="129" t="s">
        <v>21</v>
      </c>
    </row>
    <row r="190" spans="1:24" ht="26.25" hidden="1" customHeight="1">
      <c r="A190" s="17">
        <f t="shared" si="1"/>
        <v>187</v>
      </c>
      <c r="B190" s="18" t="s">
        <v>1197</v>
      </c>
      <c r="C190" s="31" t="s">
        <v>1251</v>
      </c>
      <c r="D190" s="19" t="s">
        <v>1252</v>
      </c>
      <c r="E190" s="20" t="s">
        <v>1002</v>
      </c>
      <c r="F190" s="32" t="s">
        <v>1164</v>
      </c>
      <c r="G190" s="33" t="s">
        <v>53</v>
      </c>
      <c r="H190" s="23" t="s">
        <v>1253</v>
      </c>
      <c r="I190" s="24" t="s">
        <v>55</v>
      </c>
      <c r="J190" s="1" t="str">
        <f t="shared" si="0"/>
        <v/>
      </c>
      <c r="K190" s="1"/>
      <c r="L190" s="1"/>
      <c r="M190" s="130">
        <v>187</v>
      </c>
      <c r="N190" s="130" t="s">
        <v>4337</v>
      </c>
      <c r="O190" s="131" t="s">
        <v>4602</v>
      </c>
      <c r="P190" s="130" t="s">
        <v>255</v>
      </c>
      <c r="Q190" s="130" t="s">
        <v>3226</v>
      </c>
      <c r="R190" s="130">
        <v>12</v>
      </c>
      <c r="S190" s="130" t="s">
        <v>4347</v>
      </c>
      <c r="T190" s="130" t="s">
        <v>4603</v>
      </c>
      <c r="U190" s="129"/>
      <c r="V190" s="129"/>
      <c r="W190" s="129"/>
      <c r="X190" s="129" t="s">
        <v>21</v>
      </c>
    </row>
    <row r="191" spans="1:24" ht="26.25" hidden="1" customHeight="1">
      <c r="A191" s="17">
        <f t="shared" si="1"/>
        <v>188</v>
      </c>
      <c r="B191" s="18" t="s">
        <v>146</v>
      </c>
      <c r="C191" s="31" t="s">
        <v>1256</v>
      </c>
      <c r="D191" s="19" t="s">
        <v>227</v>
      </c>
      <c r="E191" s="20" t="s">
        <v>1257</v>
      </c>
      <c r="F191" s="32" t="s">
        <v>1258</v>
      </c>
      <c r="G191" s="33" t="s">
        <v>42</v>
      </c>
      <c r="H191" s="23" t="s">
        <v>1259</v>
      </c>
      <c r="I191" s="24" t="s">
        <v>55</v>
      </c>
      <c r="J191" s="1" t="str">
        <f t="shared" si="0"/>
        <v/>
      </c>
      <c r="K191" s="1"/>
      <c r="L191" s="1"/>
      <c r="M191" s="130">
        <v>188</v>
      </c>
      <c r="N191" s="130" t="s">
        <v>4337</v>
      </c>
      <c r="O191" s="131" t="s">
        <v>3228</v>
      </c>
      <c r="P191" s="130" t="s">
        <v>361</v>
      </c>
      <c r="Q191" s="130" t="s">
        <v>3230</v>
      </c>
      <c r="R191" s="130">
        <v>8</v>
      </c>
      <c r="S191" s="130" t="s">
        <v>4347</v>
      </c>
      <c r="T191" s="130" t="s">
        <v>4604</v>
      </c>
      <c r="U191" s="129"/>
      <c r="V191" s="129"/>
      <c r="W191" s="129"/>
      <c r="X191" s="129" t="s">
        <v>21</v>
      </c>
    </row>
    <row r="192" spans="1:24" ht="26.25" hidden="1" customHeight="1">
      <c r="A192" s="17">
        <f t="shared" si="1"/>
        <v>189</v>
      </c>
      <c r="B192" s="18" t="s">
        <v>132</v>
      </c>
      <c r="C192" s="19" t="s">
        <v>1262</v>
      </c>
      <c r="D192" s="19" t="s">
        <v>1263</v>
      </c>
      <c r="E192" s="20" t="s">
        <v>1264</v>
      </c>
      <c r="F192" s="21" t="s">
        <v>135</v>
      </c>
      <c r="G192" s="22" t="s">
        <v>53</v>
      </c>
      <c r="H192" s="23" t="s">
        <v>1265</v>
      </c>
      <c r="I192" s="24" t="s">
        <v>20</v>
      </c>
      <c r="J192" s="1" t="str">
        <f t="shared" si="0"/>
        <v>FRIC</v>
      </c>
      <c r="K192" s="1"/>
      <c r="L192" s="1"/>
      <c r="M192" s="130">
        <v>189</v>
      </c>
      <c r="N192" s="130" t="s">
        <v>4337</v>
      </c>
      <c r="O192" s="131" t="s">
        <v>3236</v>
      </c>
      <c r="P192" s="130" t="s">
        <v>361</v>
      </c>
      <c r="Q192" s="130" t="s">
        <v>3238</v>
      </c>
      <c r="R192" s="130">
        <v>12</v>
      </c>
      <c r="S192" s="130" t="s">
        <v>4347</v>
      </c>
      <c r="T192" s="130" t="s">
        <v>4605</v>
      </c>
      <c r="U192" s="129"/>
      <c r="V192" s="129"/>
      <c r="W192" s="129"/>
      <c r="X192" s="129" t="s">
        <v>21</v>
      </c>
    </row>
    <row r="193" spans="1:24" ht="26.25" hidden="1" customHeight="1">
      <c r="A193" s="17">
        <f t="shared" si="1"/>
        <v>190</v>
      </c>
      <c r="B193" s="18" t="s">
        <v>132</v>
      </c>
      <c r="C193" s="31" t="s">
        <v>1269</v>
      </c>
      <c r="D193" s="19" t="s">
        <v>227</v>
      </c>
      <c r="E193" s="20" t="s">
        <v>1270</v>
      </c>
      <c r="F193" s="32" t="s">
        <v>1271</v>
      </c>
      <c r="G193" s="22" t="s">
        <v>42</v>
      </c>
      <c r="H193" s="23" t="s">
        <v>1272</v>
      </c>
      <c r="I193" s="24" t="s">
        <v>55</v>
      </c>
      <c r="J193" s="1" t="str">
        <f t="shared" si="0"/>
        <v/>
      </c>
      <c r="K193" s="1"/>
      <c r="L193" s="1"/>
      <c r="M193" s="130">
        <v>190</v>
      </c>
      <c r="N193" s="130" t="s">
        <v>4337</v>
      </c>
      <c r="O193" s="131" t="s">
        <v>3268</v>
      </c>
      <c r="P193" s="130" t="s">
        <v>2664</v>
      </c>
      <c r="Q193" s="130" t="s">
        <v>3269</v>
      </c>
      <c r="R193" s="130">
        <v>6</v>
      </c>
      <c r="S193" s="129"/>
      <c r="T193" s="130" t="s">
        <v>4606</v>
      </c>
      <c r="U193" s="130" t="s">
        <v>20</v>
      </c>
      <c r="V193" s="129"/>
      <c r="W193" s="129"/>
      <c r="X193" s="129" t="s">
        <v>21</v>
      </c>
    </row>
    <row r="194" spans="1:24" ht="26.25" hidden="1" customHeight="1">
      <c r="A194" s="17">
        <f t="shared" si="1"/>
        <v>191</v>
      </c>
      <c r="B194" s="18" t="s">
        <v>13</v>
      </c>
      <c r="C194" s="31" t="s">
        <v>1277</v>
      </c>
      <c r="D194" s="19" t="s">
        <v>1278</v>
      </c>
      <c r="E194" s="20" t="s">
        <v>1279</v>
      </c>
      <c r="F194" s="32" t="s">
        <v>1280</v>
      </c>
      <c r="G194" s="22" t="s">
        <v>42</v>
      </c>
      <c r="H194" s="23" t="s">
        <v>1281</v>
      </c>
      <c r="I194" s="24" t="s">
        <v>55</v>
      </c>
      <c r="J194" s="1" t="str">
        <f t="shared" si="0"/>
        <v/>
      </c>
      <c r="K194" s="1"/>
      <c r="L194" s="1"/>
      <c r="M194" s="130">
        <v>191</v>
      </c>
      <c r="N194" s="130" t="s">
        <v>4337</v>
      </c>
      <c r="O194" s="131" t="s">
        <v>3280</v>
      </c>
      <c r="P194" s="130" t="s">
        <v>332</v>
      </c>
      <c r="Q194" s="130" t="s">
        <v>3281</v>
      </c>
      <c r="R194" s="130">
        <v>4</v>
      </c>
      <c r="S194" s="129"/>
      <c r="T194" s="130" t="s">
        <v>4607</v>
      </c>
      <c r="U194" s="129"/>
      <c r="V194" s="129"/>
      <c r="W194" s="129"/>
      <c r="X194" s="129" t="s">
        <v>21</v>
      </c>
    </row>
    <row r="195" spans="1:24" ht="26.25" hidden="1" customHeight="1">
      <c r="A195" s="17">
        <f t="shared" si="1"/>
        <v>192</v>
      </c>
      <c r="B195" s="18" t="s">
        <v>248</v>
      </c>
      <c r="C195" s="31" t="s">
        <v>378</v>
      </c>
      <c r="D195" s="19" t="s">
        <v>124</v>
      </c>
      <c r="E195" s="20" t="s">
        <v>379</v>
      </c>
      <c r="F195" s="32" t="s">
        <v>163</v>
      </c>
      <c r="G195" s="33" t="s">
        <v>42</v>
      </c>
      <c r="H195" s="23" t="s">
        <v>1284</v>
      </c>
      <c r="I195" s="24" t="s">
        <v>55</v>
      </c>
      <c r="J195" s="1" t="str">
        <f t="shared" si="0"/>
        <v/>
      </c>
      <c r="K195" s="1"/>
      <c r="L195" s="1"/>
      <c r="M195" s="130">
        <v>192</v>
      </c>
      <c r="N195" s="130" t="s">
        <v>4337</v>
      </c>
      <c r="O195" s="131" t="s">
        <v>3284</v>
      </c>
      <c r="P195" s="130" t="s">
        <v>255</v>
      </c>
      <c r="Q195" s="130" t="s">
        <v>3286</v>
      </c>
      <c r="R195" s="130">
        <v>4</v>
      </c>
      <c r="S195" s="130" t="s">
        <v>4347</v>
      </c>
      <c r="T195" s="130" t="s">
        <v>4608</v>
      </c>
      <c r="U195" s="129"/>
      <c r="V195" s="129"/>
      <c r="W195" s="129"/>
      <c r="X195" s="129" t="s">
        <v>21</v>
      </c>
    </row>
    <row r="196" spans="1:24" ht="26.25" hidden="1" customHeight="1">
      <c r="A196" s="17">
        <f t="shared" si="1"/>
        <v>193</v>
      </c>
      <c r="B196" s="18" t="s">
        <v>248</v>
      </c>
      <c r="C196" s="19" t="s">
        <v>1288</v>
      </c>
      <c r="D196" s="19" t="s">
        <v>499</v>
      </c>
      <c r="E196" s="20" t="s">
        <v>1289</v>
      </c>
      <c r="F196" s="32" t="s">
        <v>52</v>
      </c>
      <c r="G196" s="33" t="s">
        <v>1290</v>
      </c>
      <c r="H196" s="23" t="s">
        <v>1291</v>
      </c>
      <c r="I196" s="34" t="s">
        <v>55</v>
      </c>
      <c r="J196" s="1" t="str">
        <f t="shared" si="0"/>
        <v/>
      </c>
      <c r="K196" s="25"/>
      <c r="L196" s="25"/>
      <c r="M196" s="133">
        <v>193</v>
      </c>
      <c r="N196" s="133" t="s">
        <v>4337</v>
      </c>
      <c r="O196" s="134" t="s">
        <v>3291</v>
      </c>
      <c r="P196" s="133" t="s">
        <v>558</v>
      </c>
      <c r="Q196" s="133" t="s">
        <v>3292</v>
      </c>
      <c r="R196" s="133">
        <v>24</v>
      </c>
      <c r="S196" s="135"/>
      <c r="T196" s="133" t="s">
        <v>4609</v>
      </c>
      <c r="U196" s="135"/>
      <c r="V196" s="135"/>
      <c r="W196" s="135"/>
      <c r="X196" s="135" t="s">
        <v>21</v>
      </c>
    </row>
    <row r="197" spans="1:24" ht="26.25" hidden="1" customHeight="1">
      <c r="A197" s="17">
        <f t="shared" si="1"/>
        <v>194</v>
      </c>
      <c r="B197" s="18" t="s">
        <v>1197</v>
      </c>
      <c r="C197" s="31" t="s">
        <v>1294</v>
      </c>
      <c r="D197" s="19" t="s">
        <v>1295</v>
      </c>
      <c r="E197" s="20" t="s">
        <v>1296</v>
      </c>
      <c r="F197" s="32" t="s">
        <v>1297</v>
      </c>
      <c r="G197" s="33" t="s">
        <v>1290</v>
      </c>
      <c r="H197" s="23" t="s">
        <v>1298</v>
      </c>
      <c r="I197" s="24" t="s">
        <v>55</v>
      </c>
      <c r="J197" s="1" t="str">
        <f t="shared" si="0"/>
        <v/>
      </c>
      <c r="K197" s="1"/>
      <c r="L197" s="1"/>
      <c r="M197" s="130">
        <v>194</v>
      </c>
      <c r="N197" s="130" t="s">
        <v>4337</v>
      </c>
      <c r="O197" s="131" t="s">
        <v>4610</v>
      </c>
      <c r="P197" s="130" t="s">
        <v>3272</v>
      </c>
      <c r="Q197" s="130" t="s">
        <v>3273</v>
      </c>
      <c r="R197" s="130">
        <v>12</v>
      </c>
      <c r="S197" s="130" t="s">
        <v>4347</v>
      </c>
      <c r="T197" s="130" t="s">
        <v>4611</v>
      </c>
      <c r="U197" s="130" t="s">
        <v>53</v>
      </c>
      <c r="V197" s="129" t="s">
        <v>4342</v>
      </c>
      <c r="W197" s="129"/>
      <c r="X197" s="129" t="s">
        <v>21</v>
      </c>
    </row>
    <row r="198" spans="1:24" ht="26.25" hidden="1" customHeight="1">
      <c r="A198" s="17">
        <f t="shared" si="1"/>
        <v>195</v>
      </c>
      <c r="B198" s="18" t="s">
        <v>1197</v>
      </c>
      <c r="C198" s="31" t="s">
        <v>1302</v>
      </c>
      <c r="D198" s="19" t="s">
        <v>665</v>
      </c>
      <c r="E198" s="20" t="s">
        <v>1303</v>
      </c>
      <c r="F198" s="32" t="s">
        <v>1304</v>
      </c>
      <c r="G198" s="33" t="s">
        <v>42</v>
      </c>
      <c r="H198" s="23" t="s">
        <v>1305</v>
      </c>
      <c r="I198" s="24" t="s">
        <v>55</v>
      </c>
      <c r="J198" s="1" t="str">
        <f t="shared" si="0"/>
        <v/>
      </c>
      <c r="K198" s="1"/>
      <c r="L198" s="1"/>
      <c r="M198" s="130">
        <v>195</v>
      </c>
      <c r="N198" s="130" t="s">
        <v>4337</v>
      </c>
      <c r="O198" s="131" t="s">
        <v>3470</v>
      </c>
      <c r="P198" s="130" t="s">
        <v>361</v>
      </c>
      <c r="Q198" s="130" t="s">
        <v>3471</v>
      </c>
      <c r="R198" s="130">
        <v>6</v>
      </c>
      <c r="S198" s="130" t="s">
        <v>4347</v>
      </c>
      <c r="T198" s="130" t="s">
        <v>4612</v>
      </c>
      <c r="U198" s="129"/>
      <c r="V198" s="129"/>
      <c r="W198" s="129"/>
      <c r="X198" s="129" t="s">
        <v>21</v>
      </c>
    </row>
    <row r="199" spans="1:24" ht="26.25" hidden="1" customHeight="1">
      <c r="A199" s="17">
        <f t="shared" si="1"/>
        <v>196</v>
      </c>
      <c r="B199" s="18" t="s">
        <v>105</v>
      </c>
      <c r="C199" s="31" t="s">
        <v>1308</v>
      </c>
      <c r="D199" s="19" t="s">
        <v>575</v>
      </c>
      <c r="E199" s="20" t="s">
        <v>1309</v>
      </c>
      <c r="F199" s="32" t="s">
        <v>416</v>
      </c>
      <c r="G199" s="33" t="s">
        <v>42</v>
      </c>
      <c r="H199" s="23" t="s">
        <v>1310</v>
      </c>
      <c r="I199" s="24" t="s">
        <v>55</v>
      </c>
      <c r="J199" s="1" t="str">
        <f t="shared" si="0"/>
        <v/>
      </c>
      <c r="K199" s="1"/>
      <c r="L199" s="1"/>
      <c r="M199" s="130">
        <v>196</v>
      </c>
      <c r="N199" s="130" t="s">
        <v>4337</v>
      </c>
      <c r="O199" s="131" t="s">
        <v>3489</v>
      </c>
      <c r="P199" s="130" t="s">
        <v>255</v>
      </c>
      <c r="Q199" s="130" t="s">
        <v>3490</v>
      </c>
      <c r="R199" s="130">
        <v>6</v>
      </c>
      <c r="S199" s="130" t="s">
        <v>4347</v>
      </c>
      <c r="T199" s="130" t="s">
        <v>4471</v>
      </c>
      <c r="U199" s="129"/>
      <c r="V199" s="129"/>
      <c r="W199" s="129"/>
      <c r="X199" s="129" t="s">
        <v>21</v>
      </c>
    </row>
    <row r="200" spans="1:24" ht="26.25" hidden="1" customHeight="1">
      <c r="A200" s="17">
        <f t="shared" si="1"/>
        <v>197</v>
      </c>
      <c r="B200" s="18" t="s">
        <v>81</v>
      </c>
      <c r="C200" s="19" t="s">
        <v>1313</v>
      </c>
      <c r="D200" s="19" t="s">
        <v>227</v>
      </c>
      <c r="E200" s="20" t="s">
        <v>1314</v>
      </c>
      <c r="F200" s="21" t="s">
        <v>135</v>
      </c>
      <c r="G200" s="33" t="s">
        <v>42</v>
      </c>
      <c r="H200" s="23" t="s">
        <v>1315</v>
      </c>
      <c r="I200" s="24" t="s">
        <v>20</v>
      </c>
      <c r="J200" s="1" t="str">
        <f t="shared" si="0"/>
        <v>FRIC</v>
      </c>
      <c r="K200" s="1"/>
      <c r="L200" s="1"/>
      <c r="M200" s="130">
        <v>197</v>
      </c>
      <c r="N200" s="130" t="s">
        <v>4337</v>
      </c>
      <c r="O200" s="131" t="s">
        <v>3499</v>
      </c>
      <c r="P200" s="130" t="s">
        <v>255</v>
      </c>
      <c r="Q200" s="130" t="s">
        <v>3500</v>
      </c>
      <c r="R200" s="130">
        <v>12</v>
      </c>
      <c r="S200" s="130" t="s">
        <v>4347</v>
      </c>
      <c r="T200" s="130" t="s">
        <v>4613</v>
      </c>
      <c r="U200" s="129"/>
      <c r="V200" s="129"/>
      <c r="W200" s="129"/>
      <c r="X200" s="129" t="s">
        <v>21</v>
      </c>
    </row>
    <row r="201" spans="1:24" ht="26.25" hidden="1" customHeight="1">
      <c r="A201" s="17">
        <f t="shared" si="1"/>
        <v>198</v>
      </c>
      <c r="B201" s="18" t="s">
        <v>37</v>
      </c>
      <c r="C201" s="19" t="s">
        <v>1319</v>
      </c>
      <c r="D201" s="19" t="s">
        <v>1320</v>
      </c>
      <c r="E201" s="20" t="s">
        <v>1321</v>
      </c>
      <c r="F201" s="21" t="s">
        <v>135</v>
      </c>
      <c r="G201" s="22" t="s">
        <v>42</v>
      </c>
      <c r="H201" s="23" t="s">
        <v>1322</v>
      </c>
      <c r="I201" s="24" t="s">
        <v>20</v>
      </c>
      <c r="J201" s="1" t="str">
        <f t="shared" si="0"/>
        <v>FRIC</v>
      </c>
      <c r="K201" s="1"/>
      <c r="L201" s="1"/>
      <c r="M201" s="130">
        <v>198</v>
      </c>
      <c r="N201" s="130" t="s">
        <v>4337</v>
      </c>
      <c r="O201" s="131" t="s">
        <v>3524</v>
      </c>
      <c r="P201" s="130" t="s">
        <v>255</v>
      </c>
      <c r="Q201" s="130" t="s">
        <v>3526</v>
      </c>
      <c r="R201" s="130">
        <v>8</v>
      </c>
      <c r="S201" s="130" t="s">
        <v>4347</v>
      </c>
      <c r="T201" s="130" t="s">
        <v>4614</v>
      </c>
      <c r="U201" s="129"/>
      <c r="V201" s="129"/>
      <c r="W201" s="129"/>
      <c r="X201" s="129" t="s">
        <v>21</v>
      </c>
    </row>
    <row r="202" spans="1:24" ht="26.25" hidden="1" customHeight="1">
      <c r="A202" s="17">
        <f t="shared" si="1"/>
        <v>199</v>
      </c>
      <c r="B202" s="18" t="s">
        <v>37</v>
      </c>
      <c r="C202" s="19" t="s">
        <v>1325</v>
      </c>
      <c r="D202" s="19" t="s">
        <v>1320</v>
      </c>
      <c r="E202" s="20" t="s">
        <v>1326</v>
      </c>
      <c r="F202" s="21" t="s">
        <v>1327</v>
      </c>
      <c r="G202" s="22" t="s">
        <v>31</v>
      </c>
      <c r="H202" s="23" t="s">
        <v>1328</v>
      </c>
      <c r="I202" s="24" t="s">
        <v>20</v>
      </c>
      <c r="J202" s="1" t="str">
        <f t="shared" si="0"/>
        <v>FRIC</v>
      </c>
      <c r="K202" s="1"/>
      <c r="L202" s="1"/>
      <c r="M202" s="130">
        <v>199</v>
      </c>
      <c r="N202" s="130" t="s">
        <v>4337</v>
      </c>
      <c r="O202" s="131" t="s">
        <v>3536</v>
      </c>
      <c r="P202" s="130" t="s">
        <v>3537</v>
      </c>
      <c r="Q202" s="130" t="s">
        <v>3538</v>
      </c>
      <c r="R202" s="130">
        <v>12</v>
      </c>
      <c r="S202" s="129"/>
      <c r="T202" s="130" t="s">
        <v>4615</v>
      </c>
      <c r="U202" s="130" t="s">
        <v>20</v>
      </c>
      <c r="V202" s="129"/>
      <c r="W202" s="129"/>
      <c r="X202" s="129" t="s">
        <v>21</v>
      </c>
    </row>
    <row r="203" spans="1:24" ht="26.25" hidden="1" customHeight="1">
      <c r="A203" s="17">
        <f t="shared" si="1"/>
        <v>200</v>
      </c>
      <c r="B203" s="18" t="s">
        <v>27</v>
      </c>
      <c r="C203" s="19" t="s">
        <v>1331</v>
      </c>
      <c r="D203" s="19" t="s">
        <v>141</v>
      </c>
      <c r="E203" s="20" t="s">
        <v>1332</v>
      </c>
      <c r="F203" s="21" t="s">
        <v>135</v>
      </c>
      <c r="G203" s="22" t="s">
        <v>42</v>
      </c>
      <c r="H203" s="23" t="s">
        <v>1333</v>
      </c>
      <c r="I203" s="24" t="s">
        <v>20</v>
      </c>
      <c r="J203" s="1" t="str">
        <f t="shared" si="0"/>
        <v>FRIC</v>
      </c>
      <c r="K203" s="1"/>
      <c r="L203" s="1"/>
      <c r="M203" s="130">
        <v>200</v>
      </c>
      <c r="N203" s="130" t="s">
        <v>4337</v>
      </c>
      <c r="O203" s="131" t="s">
        <v>4616</v>
      </c>
      <c r="P203" s="130" t="s">
        <v>1058</v>
      </c>
      <c r="Q203" s="130" t="s">
        <v>3544</v>
      </c>
      <c r="R203" s="130">
        <v>12</v>
      </c>
      <c r="S203" s="129"/>
      <c r="T203" s="130" t="s">
        <v>4386</v>
      </c>
      <c r="U203" s="130" t="s">
        <v>20</v>
      </c>
      <c r="V203" s="129"/>
      <c r="W203" s="129"/>
      <c r="X203" s="129" t="s">
        <v>21</v>
      </c>
    </row>
    <row r="204" spans="1:24" ht="26.25" hidden="1" customHeight="1">
      <c r="A204" s="17">
        <f t="shared" si="1"/>
        <v>201</v>
      </c>
      <c r="B204" s="18" t="s">
        <v>105</v>
      </c>
      <c r="C204" s="19" t="s">
        <v>1337</v>
      </c>
      <c r="D204" s="19" t="s">
        <v>1338</v>
      </c>
      <c r="E204" s="20" t="s">
        <v>1339</v>
      </c>
      <c r="F204" s="21" t="s">
        <v>1011</v>
      </c>
      <c r="G204" s="33" t="s">
        <v>42</v>
      </c>
      <c r="H204" s="23" t="s">
        <v>1340</v>
      </c>
      <c r="I204" s="24" t="s">
        <v>20</v>
      </c>
      <c r="J204" s="1" t="str">
        <f t="shared" si="0"/>
        <v>FRIC</v>
      </c>
      <c r="K204" s="1"/>
      <c r="L204" s="1"/>
      <c r="M204" s="130">
        <v>201</v>
      </c>
      <c r="N204" s="130" t="s">
        <v>4617</v>
      </c>
      <c r="O204" s="131" t="s">
        <v>3614</v>
      </c>
      <c r="P204" s="130" t="s">
        <v>4618</v>
      </c>
      <c r="Q204" s="130" t="s">
        <v>3616</v>
      </c>
      <c r="R204" s="130">
        <v>12</v>
      </c>
      <c r="S204" s="129"/>
      <c r="T204" s="130" t="s">
        <v>4619</v>
      </c>
      <c r="U204" s="129"/>
      <c r="V204" s="129"/>
      <c r="W204" s="129"/>
      <c r="X204" s="129" t="s">
        <v>21</v>
      </c>
    </row>
    <row r="205" spans="1:24" ht="26.25" hidden="1" customHeight="1">
      <c r="A205" s="17">
        <f t="shared" si="1"/>
        <v>202</v>
      </c>
      <c r="B205" s="18" t="s">
        <v>48</v>
      </c>
      <c r="C205" s="31" t="s">
        <v>1343</v>
      </c>
      <c r="D205" s="19" t="s">
        <v>1344</v>
      </c>
      <c r="E205" s="20" t="s">
        <v>1345</v>
      </c>
      <c r="F205" s="32" t="s">
        <v>416</v>
      </c>
      <c r="G205" s="33" t="s">
        <v>53</v>
      </c>
      <c r="H205" s="23" t="s">
        <v>1346</v>
      </c>
      <c r="I205" s="24" t="s">
        <v>55</v>
      </c>
      <c r="J205" s="1" t="str">
        <f t="shared" si="0"/>
        <v/>
      </c>
      <c r="K205" s="1"/>
      <c r="L205" s="1"/>
      <c r="M205" s="130">
        <v>202</v>
      </c>
      <c r="N205" s="130" t="s">
        <v>4617</v>
      </c>
      <c r="O205" s="131" t="s">
        <v>3618</v>
      </c>
      <c r="P205" s="130" t="s">
        <v>1780</v>
      </c>
      <c r="Q205" s="130" t="s">
        <v>3619</v>
      </c>
      <c r="R205" s="130">
        <v>12</v>
      </c>
      <c r="S205" s="129"/>
      <c r="T205" s="130" t="s">
        <v>4341</v>
      </c>
      <c r="U205" s="129"/>
      <c r="V205" s="129"/>
      <c r="W205" s="129"/>
      <c r="X205" s="129" t="s">
        <v>21</v>
      </c>
    </row>
    <row r="206" spans="1:24" ht="26.25" hidden="1" customHeight="1">
      <c r="A206" s="17">
        <f t="shared" si="1"/>
        <v>203</v>
      </c>
      <c r="B206" s="18" t="s">
        <v>132</v>
      </c>
      <c r="C206" s="77" t="s">
        <v>1350</v>
      </c>
      <c r="D206" s="19" t="s">
        <v>277</v>
      </c>
      <c r="E206" s="20" t="s">
        <v>1351</v>
      </c>
      <c r="F206" s="21" t="s">
        <v>1075</v>
      </c>
      <c r="G206" s="22" t="s">
        <v>42</v>
      </c>
      <c r="H206" s="23" t="s">
        <v>1352</v>
      </c>
      <c r="I206" s="24" t="s">
        <v>20</v>
      </c>
      <c r="J206" s="1" t="str">
        <f t="shared" si="0"/>
        <v>FRIC</v>
      </c>
      <c r="K206" s="1"/>
      <c r="L206" s="1"/>
      <c r="M206" s="130">
        <v>203</v>
      </c>
      <c r="N206" s="130" t="s">
        <v>4617</v>
      </c>
      <c r="O206" s="131" t="s">
        <v>3624</v>
      </c>
      <c r="P206" s="130" t="s">
        <v>4620</v>
      </c>
      <c r="Q206" s="130" t="s">
        <v>3626</v>
      </c>
      <c r="R206" s="132">
        <v>12</v>
      </c>
      <c r="S206" s="129"/>
      <c r="T206" s="130" t="s">
        <v>4621</v>
      </c>
      <c r="U206" s="129"/>
      <c r="V206" s="129"/>
      <c r="W206" s="129"/>
      <c r="X206" s="129" t="s">
        <v>21</v>
      </c>
    </row>
    <row r="207" spans="1:24" ht="26.25" hidden="1" customHeight="1">
      <c r="A207" s="17">
        <f t="shared" si="1"/>
        <v>204</v>
      </c>
      <c r="B207" s="18" t="s">
        <v>132</v>
      </c>
      <c r="C207" s="31" t="s">
        <v>1355</v>
      </c>
      <c r="D207" s="19" t="s">
        <v>277</v>
      </c>
      <c r="E207" s="20" t="s">
        <v>1356</v>
      </c>
      <c r="F207" s="32" t="s">
        <v>1357</v>
      </c>
      <c r="G207" s="22" t="s">
        <v>42</v>
      </c>
      <c r="H207" s="23" t="s">
        <v>1358</v>
      </c>
      <c r="I207" s="24" t="s">
        <v>55</v>
      </c>
      <c r="J207" s="1" t="str">
        <f t="shared" si="0"/>
        <v/>
      </c>
      <c r="K207" s="1"/>
      <c r="L207" s="1"/>
      <c r="M207" s="130">
        <v>204</v>
      </c>
      <c r="N207" s="130" t="s">
        <v>4617</v>
      </c>
      <c r="O207" s="131" t="s">
        <v>3634</v>
      </c>
      <c r="P207" s="130" t="s">
        <v>4622</v>
      </c>
      <c r="Q207" s="130" t="s">
        <v>3636</v>
      </c>
      <c r="R207" s="130">
        <v>12</v>
      </c>
      <c r="S207" s="129"/>
      <c r="T207" s="130" t="s">
        <v>4623</v>
      </c>
      <c r="U207" s="129"/>
      <c r="V207" s="129"/>
      <c r="W207" s="129"/>
      <c r="X207" s="129" t="s">
        <v>21</v>
      </c>
    </row>
    <row r="208" spans="1:24" ht="26.25" hidden="1" customHeight="1">
      <c r="A208" s="17">
        <f t="shared" si="1"/>
        <v>205</v>
      </c>
      <c r="B208" s="18" t="s">
        <v>132</v>
      </c>
      <c r="C208" s="19" t="s">
        <v>1361</v>
      </c>
      <c r="D208" s="19" t="s">
        <v>196</v>
      </c>
      <c r="E208" s="20" t="s">
        <v>1362</v>
      </c>
      <c r="F208" s="21" t="s">
        <v>1363</v>
      </c>
      <c r="G208" s="22" t="s">
        <v>42</v>
      </c>
      <c r="H208" s="23" t="s">
        <v>1364</v>
      </c>
      <c r="I208" s="24" t="s">
        <v>20</v>
      </c>
      <c r="J208" s="1" t="str">
        <f t="shared" si="0"/>
        <v>FRIC</v>
      </c>
      <c r="K208" s="1"/>
      <c r="L208" s="1"/>
      <c r="M208" s="130">
        <v>205</v>
      </c>
      <c r="N208" s="130" t="s">
        <v>4617</v>
      </c>
      <c r="O208" s="131" t="s">
        <v>4624</v>
      </c>
      <c r="P208" s="130" t="s">
        <v>1740</v>
      </c>
      <c r="Q208" s="130" t="s">
        <v>3641</v>
      </c>
      <c r="R208" s="130">
        <v>12</v>
      </c>
      <c r="S208" s="129"/>
      <c r="T208" s="130" t="s">
        <v>4625</v>
      </c>
      <c r="U208" s="129"/>
      <c r="V208" s="129"/>
      <c r="W208" s="129"/>
      <c r="X208" s="129" t="s">
        <v>21</v>
      </c>
    </row>
    <row r="209" spans="1:24" ht="26.25" hidden="1" customHeight="1">
      <c r="A209" s="17">
        <f t="shared" si="1"/>
        <v>206</v>
      </c>
      <c r="B209" s="18" t="s">
        <v>1368</v>
      </c>
      <c r="C209" s="31" t="s">
        <v>1369</v>
      </c>
      <c r="D209" s="19" t="s">
        <v>1370</v>
      </c>
      <c r="E209" s="20"/>
      <c r="F209" s="32" t="s">
        <v>1371</v>
      </c>
      <c r="G209" s="33" t="s">
        <v>53</v>
      </c>
      <c r="H209" s="23" t="s">
        <v>1372</v>
      </c>
      <c r="I209" s="24" t="s">
        <v>55</v>
      </c>
      <c r="J209" s="1" t="str">
        <f t="shared" si="0"/>
        <v/>
      </c>
      <c r="K209" s="1"/>
      <c r="L209" s="1"/>
      <c r="M209" s="130">
        <v>206</v>
      </c>
      <c r="N209" s="130" t="s">
        <v>4617</v>
      </c>
      <c r="O209" s="131" t="s">
        <v>4626</v>
      </c>
      <c r="P209" s="130" t="s">
        <v>4627</v>
      </c>
      <c r="Q209" s="130" t="s">
        <v>3646</v>
      </c>
      <c r="R209" s="130">
        <v>12</v>
      </c>
      <c r="S209" s="129"/>
      <c r="T209" s="130" t="s">
        <v>4628</v>
      </c>
      <c r="U209" s="129"/>
      <c r="V209" s="129"/>
      <c r="W209" s="129"/>
      <c r="X209" s="129" t="s">
        <v>21</v>
      </c>
    </row>
    <row r="210" spans="1:24" ht="26.25" hidden="1" customHeight="1">
      <c r="A210" s="17">
        <f t="shared" si="1"/>
        <v>207</v>
      </c>
      <c r="B210" s="18" t="s">
        <v>1375</v>
      </c>
      <c r="C210" s="31" t="s">
        <v>1376</v>
      </c>
      <c r="D210" s="19" t="s">
        <v>1377</v>
      </c>
      <c r="E210" s="20" t="s">
        <v>1378</v>
      </c>
      <c r="F210" s="32" t="s">
        <v>416</v>
      </c>
      <c r="G210" s="22" t="s">
        <v>53</v>
      </c>
      <c r="H210" s="23" t="s">
        <v>1379</v>
      </c>
      <c r="I210" s="24" t="s">
        <v>55</v>
      </c>
      <c r="J210" s="1" t="str">
        <f t="shared" si="0"/>
        <v/>
      </c>
      <c r="K210" s="1"/>
      <c r="L210" s="1"/>
      <c r="M210" s="130">
        <v>207</v>
      </c>
      <c r="N210" s="130" t="s">
        <v>4617</v>
      </c>
      <c r="O210" s="131" t="s">
        <v>3654</v>
      </c>
      <c r="P210" s="130" t="s">
        <v>4629</v>
      </c>
      <c r="Q210" s="130" t="s">
        <v>3656</v>
      </c>
      <c r="R210" s="130">
        <v>12</v>
      </c>
      <c r="S210" s="129"/>
      <c r="T210" s="130" t="s">
        <v>4630</v>
      </c>
      <c r="U210" s="129"/>
      <c r="V210" s="129"/>
      <c r="W210" s="129"/>
      <c r="X210" s="129" t="s">
        <v>21</v>
      </c>
    </row>
    <row r="211" spans="1:24" ht="26.25" hidden="1" customHeight="1">
      <c r="A211" s="17">
        <f t="shared" si="1"/>
        <v>208</v>
      </c>
      <c r="B211" s="18" t="s">
        <v>132</v>
      </c>
      <c r="C211" s="31" t="s">
        <v>1007</v>
      </c>
      <c r="D211" s="19" t="s">
        <v>277</v>
      </c>
      <c r="E211" s="20" t="s">
        <v>1008</v>
      </c>
      <c r="F211" s="32" t="s">
        <v>1382</v>
      </c>
      <c r="G211" s="22" t="s">
        <v>42</v>
      </c>
      <c r="H211" s="23" t="s">
        <v>1383</v>
      </c>
      <c r="I211" s="24" t="s">
        <v>55</v>
      </c>
      <c r="J211" s="1" t="str">
        <f t="shared" si="0"/>
        <v/>
      </c>
      <c r="K211" s="1"/>
      <c r="L211" s="1"/>
      <c r="M211" s="130">
        <v>208</v>
      </c>
      <c r="N211" s="130" t="s">
        <v>4617</v>
      </c>
      <c r="O211" s="131" t="s">
        <v>3664</v>
      </c>
      <c r="P211" s="130" t="s">
        <v>4631</v>
      </c>
      <c r="Q211" s="130" t="s">
        <v>3666</v>
      </c>
      <c r="R211" s="130">
        <v>12</v>
      </c>
      <c r="S211" s="129"/>
      <c r="T211" s="130" t="s">
        <v>4632</v>
      </c>
      <c r="U211" s="129"/>
      <c r="V211" s="129"/>
      <c r="W211" s="129"/>
      <c r="X211" s="129" t="s">
        <v>21</v>
      </c>
    </row>
    <row r="212" spans="1:24" ht="26.25" hidden="1" customHeight="1">
      <c r="A212" s="17">
        <f t="shared" si="1"/>
        <v>209</v>
      </c>
      <c r="B212" s="18" t="s">
        <v>132</v>
      </c>
      <c r="C212" s="31" t="s">
        <v>572</v>
      </c>
      <c r="D212" s="19" t="s">
        <v>1338</v>
      </c>
      <c r="E212" s="20" t="s">
        <v>573</v>
      </c>
      <c r="F212" s="32" t="s">
        <v>496</v>
      </c>
      <c r="G212" s="22" t="s">
        <v>42</v>
      </c>
      <c r="H212" s="23" t="s">
        <v>1387</v>
      </c>
      <c r="I212" s="24" t="s">
        <v>55</v>
      </c>
      <c r="J212" s="1" t="str">
        <f t="shared" si="0"/>
        <v/>
      </c>
      <c r="K212" s="1"/>
      <c r="L212" s="1"/>
      <c r="M212" s="130">
        <v>209</v>
      </c>
      <c r="N212" s="130" t="s">
        <v>4617</v>
      </c>
      <c r="O212" s="131" t="s">
        <v>4633</v>
      </c>
      <c r="P212" s="130" t="s">
        <v>757</v>
      </c>
      <c r="Q212" s="130" t="s">
        <v>3671</v>
      </c>
      <c r="R212" s="130">
        <v>12</v>
      </c>
      <c r="S212" s="129"/>
      <c r="T212" s="130" t="s">
        <v>4634</v>
      </c>
      <c r="U212" s="129"/>
      <c r="V212" s="129"/>
      <c r="W212" s="129"/>
      <c r="X212" s="129" t="s">
        <v>21</v>
      </c>
    </row>
    <row r="213" spans="1:24" ht="26.25" hidden="1" customHeight="1">
      <c r="A213" s="17">
        <f t="shared" si="1"/>
        <v>210</v>
      </c>
      <c r="B213" s="18" t="s">
        <v>175</v>
      </c>
      <c r="C213" s="31" t="s">
        <v>1390</v>
      </c>
      <c r="D213" s="19" t="s">
        <v>1391</v>
      </c>
      <c r="E213" s="20" t="s">
        <v>1392</v>
      </c>
      <c r="F213" s="32" t="s">
        <v>1393</v>
      </c>
      <c r="G213" s="33" t="s">
        <v>63</v>
      </c>
      <c r="H213" s="23" t="s">
        <v>1394</v>
      </c>
      <c r="I213" s="24" t="s">
        <v>55</v>
      </c>
      <c r="J213" s="1" t="str">
        <f t="shared" si="0"/>
        <v/>
      </c>
      <c r="K213" s="1"/>
      <c r="L213" s="1"/>
      <c r="M213" s="130">
        <v>210</v>
      </c>
      <c r="N213" s="130" t="s">
        <v>4617</v>
      </c>
      <c r="O213" s="131" t="s">
        <v>3675</v>
      </c>
      <c r="P213" s="130" t="s">
        <v>1797</v>
      </c>
      <c r="Q213" s="130" t="s">
        <v>3677</v>
      </c>
      <c r="R213" s="130">
        <v>12</v>
      </c>
      <c r="S213" s="129"/>
      <c r="T213" s="130" t="s">
        <v>4635</v>
      </c>
      <c r="U213" s="129"/>
      <c r="V213" s="129"/>
      <c r="W213" s="129"/>
      <c r="X213" s="129" t="s">
        <v>21</v>
      </c>
    </row>
    <row r="214" spans="1:24" ht="26.25" hidden="1" customHeight="1">
      <c r="A214" s="17">
        <f t="shared" si="1"/>
        <v>211</v>
      </c>
      <c r="B214" s="18" t="s">
        <v>867</v>
      </c>
      <c r="C214" s="31" t="s">
        <v>1398</v>
      </c>
      <c r="D214" s="19" t="s">
        <v>1399</v>
      </c>
      <c r="E214" s="20" t="s">
        <v>1400</v>
      </c>
      <c r="F214" s="32" t="s">
        <v>1401</v>
      </c>
      <c r="G214" s="33" t="s">
        <v>31</v>
      </c>
      <c r="H214" s="23" t="s">
        <v>1402</v>
      </c>
      <c r="I214" s="24" t="s">
        <v>55</v>
      </c>
      <c r="J214" s="1" t="str">
        <f t="shared" si="0"/>
        <v/>
      </c>
      <c r="K214" s="1"/>
      <c r="L214" s="1"/>
      <c r="M214" s="130">
        <v>211</v>
      </c>
      <c r="N214" s="130" t="s">
        <v>4617</v>
      </c>
      <c r="O214" s="131" t="s">
        <v>3700</v>
      </c>
      <c r="P214" s="130" t="s">
        <v>4636</v>
      </c>
      <c r="Q214" s="130" t="s">
        <v>3702</v>
      </c>
      <c r="R214" s="130">
        <v>12</v>
      </c>
      <c r="S214" s="129"/>
      <c r="T214" s="130" t="s">
        <v>4637</v>
      </c>
      <c r="U214" s="129"/>
      <c r="V214" s="129"/>
      <c r="W214" s="129"/>
      <c r="X214" s="129" t="s">
        <v>21</v>
      </c>
    </row>
    <row r="215" spans="1:24" ht="26.25" hidden="1" customHeight="1">
      <c r="A215" s="17">
        <f t="shared" si="1"/>
        <v>212</v>
      </c>
      <c r="B215" s="18" t="s">
        <v>105</v>
      </c>
      <c r="C215" s="31" t="s">
        <v>1407</v>
      </c>
      <c r="D215" s="19" t="s">
        <v>1408</v>
      </c>
      <c r="E215" s="20" t="s">
        <v>1409</v>
      </c>
      <c r="F215" s="32">
        <v>2011</v>
      </c>
      <c r="G215" s="33" t="s">
        <v>31</v>
      </c>
      <c r="H215" s="23" t="s">
        <v>1410</v>
      </c>
      <c r="I215" s="24" t="s">
        <v>55</v>
      </c>
      <c r="J215" s="1" t="str">
        <f t="shared" si="0"/>
        <v/>
      </c>
      <c r="K215" s="1"/>
      <c r="L215" s="1"/>
      <c r="M215" s="130">
        <v>212</v>
      </c>
      <c r="N215" s="130" t="s">
        <v>4617</v>
      </c>
      <c r="O215" s="131" t="s">
        <v>3704</v>
      </c>
      <c r="P215" s="130" t="s">
        <v>4638</v>
      </c>
      <c r="Q215" s="130" t="s">
        <v>3706</v>
      </c>
      <c r="R215" s="130">
        <v>12</v>
      </c>
      <c r="S215" s="129"/>
      <c r="T215" s="130" t="s">
        <v>4639</v>
      </c>
      <c r="U215" s="129"/>
      <c r="V215" s="129"/>
      <c r="W215" s="129"/>
      <c r="X215" s="129" t="s">
        <v>21</v>
      </c>
    </row>
    <row r="216" spans="1:24" ht="26.25" hidden="1" customHeight="1">
      <c r="A216" s="17">
        <f t="shared" si="1"/>
        <v>213</v>
      </c>
      <c r="B216" s="18" t="s">
        <v>105</v>
      </c>
      <c r="C216" s="31" t="s">
        <v>1414</v>
      </c>
      <c r="D216" s="19" t="s">
        <v>277</v>
      </c>
      <c r="E216" s="20" t="s">
        <v>1415</v>
      </c>
      <c r="F216" s="32" t="s">
        <v>252</v>
      </c>
      <c r="G216" s="33" t="s">
        <v>42</v>
      </c>
      <c r="H216" s="23" t="s">
        <v>1416</v>
      </c>
      <c r="I216" s="24" t="s">
        <v>55</v>
      </c>
      <c r="J216" s="1" t="str">
        <f t="shared" si="0"/>
        <v/>
      </c>
      <c r="K216" s="1"/>
      <c r="L216" s="1"/>
      <c r="M216" s="130">
        <v>213</v>
      </c>
      <c r="N216" s="130" t="s">
        <v>4617</v>
      </c>
      <c r="O216" s="131" t="s">
        <v>4640</v>
      </c>
      <c r="P216" s="130" t="s">
        <v>4641</v>
      </c>
      <c r="Q216" s="130" t="s">
        <v>3710</v>
      </c>
      <c r="R216" s="130">
        <v>12</v>
      </c>
      <c r="S216" s="129"/>
      <c r="T216" s="130" t="s">
        <v>4642</v>
      </c>
      <c r="U216" s="129"/>
      <c r="V216" s="129"/>
      <c r="W216" s="129"/>
      <c r="X216" s="129" t="s">
        <v>21</v>
      </c>
    </row>
    <row r="217" spans="1:24" ht="26.25" hidden="1" customHeight="1">
      <c r="A217" s="17">
        <f t="shared" si="1"/>
        <v>214</v>
      </c>
      <c r="B217" s="18" t="s">
        <v>27</v>
      </c>
      <c r="C217" s="31" t="s">
        <v>1420</v>
      </c>
      <c r="D217" s="19" t="s">
        <v>124</v>
      </c>
      <c r="E217" s="20" t="s">
        <v>386</v>
      </c>
      <c r="F217" s="32" t="s">
        <v>1421</v>
      </c>
      <c r="G217" s="22" t="s">
        <v>42</v>
      </c>
      <c r="H217" s="23" t="s">
        <v>1422</v>
      </c>
      <c r="I217" s="24" t="s">
        <v>55</v>
      </c>
      <c r="J217" s="1" t="str">
        <f t="shared" si="0"/>
        <v/>
      </c>
      <c r="K217" s="1"/>
      <c r="L217" s="1"/>
      <c r="M217" s="130">
        <v>214</v>
      </c>
      <c r="N217" s="130" t="s">
        <v>4617</v>
      </c>
      <c r="O217" s="131" t="s">
        <v>3723</v>
      </c>
      <c r="P217" s="130" t="s">
        <v>1797</v>
      </c>
      <c r="Q217" s="130" t="s">
        <v>3724</v>
      </c>
      <c r="R217" s="132">
        <v>12</v>
      </c>
      <c r="S217" s="129"/>
      <c r="T217" s="130" t="s">
        <v>4643</v>
      </c>
      <c r="U217" s="129"/>
      <c r="V217" s="129"/>
      <c r="W217" s="129"/>
      <c r="X217" s="129" t="s">
        <v>21</v>
      </c>
    </row>
    <row r="218" spans="1:24" ht="26.25" hidden="1" customHeight="1">
      <c r="A218" s="17">
        <f t="shared" si="1"/>
        <v>215</v>
      </c>
      <c r="B218" s="18" t="s">
        <v>13</v>
      </c>
      <c r="C218" s="19" t="s">
        <v>1426</v>
      </c>
      <c r="D218" s="19" t="s">
        <v>1427</v>
      </c>
      <c r="E218" s="20" t="s">
        <v>1428</v>
      </c>
      <c r="F218" s="21" t="s">
        <v>135</v>
      </c>
      <c r="G218" s="22" t="s">
        <v>53</v>
      </c>
      <c r="H218" s="23" t="s">
        <v>1429</v>
      </c>
      <c r="I218" s="24" t="s">
        <v>20</v>
      </c>
      <c r="J218" s="1" t="str">
        <f t="shared" si="0"/>
        <v>FRIC</v>
      </c>
      <c r="K218" s="1"/>
      <c r="L218" s="1"/>
      <c r="M218" s="130">
        <v>215</v>
      </c>
      <c r="N218" s="130" t="s">
        <v>4617</v>
      </c>
      <c r="O218" s="131" t="s">
        <v>3726</v>
      </c>
      <c r="P218" s="130" t="s">
        <v>4644</v>
      </c>
      <c r="Q218" s="130" t="s">
        <v>3728</v>
      </c>
      <c r="R218" s="130">
        <v>12</v>
      </c>
      <c r="S218" s="129"/>
      <c r="T218" s="130" t="s">
        <v>4645</v>
      </c>
      <c r="U218" s="129"/>
      <c r="V218" s="129"/>
      <c r="W218" s="129"/>
      <c r="X218" s="129" t="s">
        <v>21</v>
      </c>
    </row>
    <row r="219" spans="1:24" ht="26.25" hidden="1" customHeight="1">
      <c r="A219" s="17">
        <f t="shared" si="1"/>
        <v>216</v>
      </c>
      <c r="B219" s="18" t="s">
        <v>132</v>
      </c>
      <c r="C219" s="31" t="s">
        <v>1013</v>
      </c>
      <c r="D219" s="19" t="s">
        <v>1433</v>
      </c>
      <c r="E219" s="20" t="s">
        <v>1015</v>
      </c>
      <c r="F219" s="32" t="s">
        <v>170</v>
      </c>
      <c r="G219" s="22" t="s">
        <v>53</v>
      </c>
      <c r="H219" s="23" t="s">
        <v>1434</v>
      </c>
      <c r="I219" s="24" t="s">
        <v>55</v>
      </c>
      <c r="J219" s="1" t="str">
        <f t="shared" si="0"/>
        <v/>
      </c>
      <c r="K219" s="1"/>
      <c r="L219" s="1"/>
      <c r="M219" s="130">
        <v>216</v>
      </c>
      <c r="N219" s="130" t="s">
        <v>4617</v>
      </c>
      <c r="O219" s="131" t="s">
        <v>4646</v>
      </c>
      <c r="P219" s="130" t="s">
        <v>4647</v>
      </c>
      <c r="Q219" s="130" t="s">
        <v>3265</v>
      </c>
      <c r="R219" s="130">
        <v>12</v>
      </c>
      <c r="S219" s="129"/>
      <c r="T219" s="130" t="s">
        <v>4531</v>
      </c>
      <c r="U219" s="129"/>
      <c r="V219" s="129"/>
      <c r="W219" s="129"/>
      <c r="X219" s="129" t="s">
        <v>21</v>
      </c>
    </row>
    <row r="220" spans="1:24" ht="26.25" customHeight="1">
      <c r="A220" s="17">
        <f t="shared" si="1"/>
        <v>217</v>
      </c>
      <c r="B220" s="18" t="s">
        <v>1197</v>
      </c>
      <c r="C220" s="19" t="s">
        <v>1437</v>
      </c>
      <c r="D220" s="19" t="s">
        <v>790</v>
      </c>
      <c r="E220" s="20" t="s">
        <v>1438</v>
      </c>
      <c r="F220" s="21" t="s">
        <v>135</v>
      </c>
      <c r="G220" s="33" t="s">
        <v>31</v>
      </c>
      <c r="H220" s="23" t="s">
        <v>1439</v>
      </c>
      <c r="I220" s="24" t="s">
        <v>20</v>
      </c>
      <c r="J220" s="1" t="str">
        <f t="shared" si="0"/>
        <v>과기</v>
      </c>
      <c r="K220" s="1"/>
      <c r="L220" s="1"/>
      <c r="M220" s="130">
        <v>217</v>
      </c>
      <c r="N220" s="130" t="s">
        <v>4617</v>
      </c>
      <c r="O220" s="131" t="s">
        <v>3743</v>
      </c>
      <c r="P220" s="130" t="s">
        <v>4648</v>
      </c>
      <c r="Q220" s="130" t="s">
        <v>3745</v>
      </c>
      <c r="R220" s="130">
        <v>12</v>
      </c>
      <c r="S220" s="129"/>
      <c r="T220" s="130" t="s">
        <v>4623</v>
      </c>
      <c r="U220" s="129"/>
      <c r="V220" s="129"/>
      <c r="W220" s="129"/>
      <c r="X220" s="129" t="s">
        <v>21</v>
      </c>
    </row>
    <row r="221" spans="1:24" ht="26.25" hidden="1" customHeight="1">
      <c r="A221" s="17">
        <f t="shared" si="1"/>
        <v>218</v>
      </c>
      <c r="B221" s="18" t="s">
        <v>175</v>
      </c>
      <c r="C221" s="31" t="s">
        <v>1443</v>
      </c>
      <c r="D221" s="19" t="s">
        <v>1444</v>
      </c>
      <c r="E221" s="20" t="s">
        <v>1445</v>
      </c>
      <c r="F221" s="32" t="s">
        <v>1446</v>
      </c>
      <c r="G221" s="33" t="s">
        <v>53</v>
      </c>
      <c r="H221" s="23" t="s">
        <v>1447</v>
      </c>
      <c r="I221" s="24" t="s">
        <v>55</v>
      </c>
      <c r="J221" s="1" t="str">
        <f t="shared" si="0"/>
        <v/>
      </c>
      <c r="K221" s="1"/>
      <c r="L221" s="1"/>
      <c r="M221" s="130">
        <v>218</v>
      </c>
      <c r="N221" s="130" t="s">
        <v>4617</v>
      </c>
      <c r="O221" s="131" t="s">
        <v>4649</v>
      </c>
      <c r="P221" s="130" t="s">
        <v>4650</v>
      </c>
      <c r="Q221" s="130" t="s">
        <v>3758</v>
      </c>
      <c r="R221" s="130">
        <v>6</v>
      </c>
      <c r="S221" s="129"/>
      <c r="T221" s="130" t="s">
        <v>4651</v>
      </c>
      <c r="U221" s="129"/>
      <c r="V221" s="129"/>
      <c r="W221" s="129"/>
      <c r="X221" s="129" t="s">
        <v>21</v>
      </c>
    </row>
    <row r="222" spans="1:24" ht="26.25" hidden="1" customHeight="1">
      <c r="A222" s="17">
        <f t="shared" si="1"/>
        <v>219</v>
      </c>
      <c r="B222" s="18" t="s">
        <v>175</v>
      </c>
      <c r="C222" s="31" t="s">
        <v>1451</v>
      </c>
      <c r="D222" s="19" t="s">
        <v>45</v>
      </c>
      <c r="E222" s="20" t="s">
        <v>1452</v>
      </c>
      <c r="F222" s="32" t="s">
        <v>1453</v>
      </c>
      <c r="G222" s="33" t="s">
        <v>42</v>
      </c>
      <c r="H222" s="23" t="s">
        <v>1454</v>
      </c>
      <c r="I222" s="24" t="s">
        <v>55</v>
      </c>
      <c r="J222" s="1" t="str">
        <f t="shared" si="0"/>
        <v/>
      </c>
      <c r="K222" s="1"/>
      <c r="L222" s="1"/>
      <c r="M222" s="130">
        <v>219</v>
      </c>
      <c r="N222" s="130" t="s">
        <v>4617</v>
      </c>
      <c r="O222" s="131" t="s">
        <v>4652</v>
      </c>
      <c r="P222" s="130" t="s">
        <v>4653</v>
      </c>
      <c r="Q222" s="130" t="s">
        <v>783</v>
      </c>
      <c r="R222" s="130">
        <v>12</v>
      </c>
      <c r="S222" s="129"/>
      <c r="T222" s="130" t="s">
        <v>4654</v>
      </c>
      <c r="U222" s="129"/>
      <c r="V222" s="129"/>
      <c r="W222" s="129"/>
      <c r="X222" s="129" t="s">
        <v>21</v>
      </c>
    </row>
    <row r="223" spans="1:24" ht="26.25" hidden="1" customHeight="1">
      <c r="A223" s="17">
        <f t="shared" si="1"/>
        <v>220</v>
      </c>
      <c r="B223" s="18" t="s">
        <v>175</v>
      </c>
      <c r="C223" s="31" t="s">
        <v>1458</v>
      </c>
      <c r="D223" s="19" t="s">
        <v>1459</v>
      </c>
      <c r="E223" s="20" t="s">
        <v>1460</v>
      </c>
      <c r="F223" s="32" t="s">
        <v>1461</v>
      </c>
      <c r="G223" s="33" t="s">
        <v>42</v>
      </c>
      <c r="H223" s="23" t="s">
        <v>1462</v>
      </c>
      <c r="I223" s="24" t="s">
        <v>55</v>
      </c>
      <c r="J223" s="1" t="str">
        <f t="shared" si="0"/>
        <v/>
      </c>
      <c r="K223" s="1"/>
      <c r="L223" s="1"/>
      <c r="M223" s="130">
        <v>220</v>
      </c>
      <c r="N223" s="130" t="s">
        <v>4617</v>
      </c>
      <c r="O223" s="131" t="s">
        <v>4655</v>
      </c>
      <c r="P223" s="130" t="s">
        <v>4656</v>
      </c>
      <c r="Q223" s="130" t="s">
        <v>3783</v>
      </c>
      <c r="R223" s="130">
        <v>12</v>
      </c>
      <c r="S223" s="129"/>
      <c r="T223" s="130" t="s">
        <v>4657</v>
      </c>
      <c r="U223" s="129"/>
      <c r="V223" s="129"/>
      <c r="W223" s="129"/>
      <c r="X223" s="129" t="s">
        <v>21</v>
      </c>
    </row>
    <row r="224" spans="1:24" ht="26.25" customHeight="1">
      <c r="A224" s="17">
        <f t="shared" si="1"/>
        <v>221</v>
      </c>
      <c r="B224" s="18" t="s">
        <v>175</v>
      </c>
      <c r="C224" s="31" t="s">
        <v>1465</v>
      </c>
      <c r="D224" s="19" t="s">
        <v>1466</v>
      </c>
      <c r="E224" s="20" t="s">
        <v>1467</v>
      </c>
      <c r="F224" s="21" t="s">
        <v>1468</v>
      </c>
      <c r="G224" s="33" t="s">
        <v>42</v>
      </c>
      <c r="H224" s="23" t="s">
        <v>1469</v>
      </c>
      <c r="I224" s="34" t="s">
        <v>20</v>
      </c>
      <c r="J224" s="1" t="str">
        <f t="shared" si="0"/>
        <v>과기</v>
      </c>
      <c r="K224" s="25"/>
      <c r="L224" s="25"/>
      <c r="M224" s="133">
        <v>221</v>
      </c>
      <c r="N224" s="133" t="s">
        <v>4617</v>
      </c>
      <c r="O224" s="134" t="s">
        <v>3789</v>
      </c>
      <c r="P224" s="133" t="s">
        <v>3790</v>
      </c>
      <c r="Q224" s="133" t="s">
        <v>3791</v>
      </c>
      <c r="R224" s="133">
        <v>12</v>
      </c>
      <c r="S224" s="135"/>
      <c r="T224" s="133" t="s">
        <v>4658</v>
      </c>
      <c r="U224" s="135"/>
      <c r="V224" s="135"/>
      <c r="W224" s="135"/>
      <c r="X224" s="135" t="s">
        <v>21</v>
      </c>
    </row>
    <row r="225" spans="1:24" ht="26.25" hidden="1" customHeight="1">
      <c r="A225" s="17">
        <f t="shared" si="1"/>
        <v>222</v>
      </c>
      <c r="B225" s="18" t="s">
        <v>105</v>
      </c>
      <c r="C225" s="19" t="s">
        <v>1472</v>
      </c>
      <c r="D225" s="19" t="s">
        <v>124</v>
      </c>
      <c r="E225" s="20" t="s">
        <v>1473</v>
      </c>
      <c r="F225" s="21" t="s">
        <v>135</v>
      </c>
      <c r="G225" s="33" t="s">
        <v>42</v>
      </c>
      <c r="H225" s="23" t="s">
        <v>1474</v>
      </c>
      <c r="I225" s="24" t="s">
        <v>20</v>
      </c>
      <c r="J225" s="1" t="str">
        <f t="shared" si="0"/>
        <v>FRIC</v>
      </c>
      <c r="K225" s="1"/>
      <c r="L225" s="1"/>
      <c r="M225" s="130">
        <v>222</v>
      </c>
      <c r="N225" s="130" t="s">
        <v>4617</v>
      </c>
      <c r="O225" s="131" t="s">
        <v>4659</v>
      </c>
      <c r="P225" s="130" t="s">
        <v>313</v>
      </c>
      <c r="Q225" s="130" t="s">
        <v>3799</v>
      </c>
      <c r="R225" s="130">
        <v>12</v>
      </c>
      <c r="S225" s="129"/>
      <c r="T225" s="130" t="s">
        <v>4660</v>
      </c>
      <c r="U225" s="129"/>
      <c r="V225" s="129"/>
      <c r="W225" s="129"/>
      <c r="X225" s="129" t="s">
        <v>21</v>
      </c>
    </row>
    <row r="226" spans="1:24" ht="26.25" hidden="1" customHeight="1">
      <c r="A226" s="17">
        <f t="shared" si="1"/>
        <v>223</v>
      </c>
      <c r="B226" s="18" t="s">
        <v>105</v>
      </c>
      <c r="C226" s="31" t="s">
        <v>1478</v>
      </c>
      <c r="D226" s="19" t="s">
        <v>1479</v>
      </c>
      <c r="E226" s="20" t="s">
        <v>1480</v>
      </c>
      <c r="F226" s="32" t="s">
        <v>1481</v>
      </c>
      <c r="G226" s="33" t="s">
        <v>42</v>
      </c>
      <c r="H226" s="23" t="s">
        <v>1482</v>
      </c>
      <c r="I226" s="24" t="s">
        <v>55</v>
      </c>
      <c r="J226" s="1" t="str">
        <f t="shared" si="0"/>
        <v/>
      </c>
      <c r="K226" s="1"/>
      <c r="L226" s="1"/>
      <c r="M226" s="130">
        <v>223</v>
      </c>
      <c r="N226" s="130" t="s">
        <v>4617</v>
      </c>
      <c r="O226" s="131" t="s">
        <v>2398</v>
      </c>
      <c r="P226" s="130" t="s">
        <v>4661</v>
      </c>
      <c r="Q226" s="130" t="s">
        <v>2400</v>
      </c>
      <c r="R226" s="130">
        <v>6</v>
      </c>
      <c r="S226" s="129"/>
      <c r="T226" s="130" t="s">
        <v>4412</v>
      </c>
      <c r="U226" s="129"/>
      <c r="V226" s="129"/>
      <c r="W226" s="141" t="s">
        <v>4662</v>
      </c>
      <c r="X226" s="129" t="s">
        <v>21</v>
      </c>
    </row>
    <row r="227" spans="1:24" ht="26.25" hidden="1" customHeight="1">
      <c r="A227" s="17">
        <f t="shared" si="1"/>
        <v>224</v>
      </c>
      <c r="B227" s="18" t="s">
        <v>105</v>
      </c>
      <c r="C227" s="19" t="s">
        <v>1485</v>
      </c>
      <c r="D227" s="19" t="s">
        <v>1486</v>
      </c>
      <c r="E227" s="20" t="s">
        <v>1487</v>
      </c>
      <c r="F227" s="21" t="s">
        <v>135</v>
      </c>
      <c r="G227" s="33" t="s">
        <v>42</v>
      </c>
      <c r="H227" s="23" t="s">
        <v>1488</v>
      </c>
      <c r="I227" s="24" t="s">
        <v>20</v>
      </c>
      <c r="J227" s="1" t="str">
        <f t="shared" si="0"/>
        <v>FRIC</v>
      </c>
      <c r="K227" s="1"/>
      <c r="L227" s="1"/>
      <c r="M227" s="130">
        <v>224</v>
      </c>
      <c r="N227" s="130" t="s">
        <v>4617</v>
      </c>
      <c r="O227" s="131" t="s">
        <v>4663</v>
      </c>
      <c r="P227" s="130" t="s">
        <v>4664</v>
      </c>
      <c r="Q227" s="130" t="s">
        <v>3804</v>
      </c>
      <c r="R227" s="130">
        <v>12</v>
      </c>
      <c r="S227" s="129"/>
      <c r="T227" s="130" t="s">
        <v>4665</v>
      </c>
      <c r="U227" s="129"/>
      <c r="V227" s="129"/>
      <c r="W227" s="129"/>
      <c r="X227" s="129" t="s">
        <v>21</v>
      </c>
    </row>
    <row r="228" spans="1:24" ht="26.25" hidden="1" customHeight="1">
      <c r="A228" s="17">
        <f t="shared" si="1"/>
        <v>225</v>
      </c>
      <c r="B228" s="18" t="s">
        <v>37</v>
      </c>
      <c r="C228" s="19" t="s">
        <v>1490</v>
      </c>
      <c r="D228" s="19" t="s">
        <v>1491</v>
      </c>
      <c r="E228" s="20" t="s">
        <v>1492</v>
      </c>
      <c r="F228" s="21" t="s">
        <v>1493</v>
      </c>
      <c r="G228" s="22" t="s">
        <v>53</v>
      </c>
      <c r="H228" s="23" t="s">
        <v>1494</v>
      </c>
      <c r="I228" s="24" t="s">
        <v>20</v>
      </c>
      <c r="J228" s="1" t="str">
        <f t="shared" si="0"/>
        <v>FRIC</v>
      </c>
      <c r="K228" s="1"/>
      <c r="L228" s="1"/>
      <c r="M228" s="130">
        <v>225</v>
      </c>
      <c r="N228" s="130" t="s">
        <v>4617</v>
      </c>
      <c r="O228" s="131" t="s">
        <v>4666</v>
      </c>
      <c r="P228" s="130" t="s">
        <v>4667</v>
      </c>
      <c r="Q228" s="130" t="s">
        <v>3809</v>
      </c>
      <c r="R228" s="130">
        <v>12</v>
      </c>
      <c r="S228" s="129"/>
      <c r="T228" s="130" t="s">
        <v>4668</v>
      </c>
      <c r="U228" s="129"/>
      <c r="V228" s="129"/>
      <c r="W228" s="129"/>
      <c r="X228" s="129" t="s">
        <v>21</v>
      </c>
    </row>
    <row r="229" spans="1:24" ht="26.25" hidden="1" customHeight="1">
      <c r="A229" s="17">
        <f t="shared" si="1"/>
        <v>226</v>
      </c>
      <c r="B229" s="18" t="s">
        <v>105</v>
      </c>
      <c r="C229" s="31" t="s">
        <v>628</v>
      </c>
      <c r="D229" s="19" t="s">
        <v>1496</v>
      </c>
      <c r="E229" s="20" t="s">
        <v>630</v>
      </c>
      <c r="F229" s="32" t="s">
        <v>496</v>
      </c>
      <c r="G229" s="33" t="s">
        <v>1086</v>
      </c>
      <c r="H229" s="23" t="s">
        <v>1497</v>
      </c>
      <c r="I229" s="24" t="s">
        <v>55</v>
      </c>
      <c r="J229" s="1" t="str">
        <f t="shared" si="0"/>
        <v/>
      </c>
      <c r="K229" s="1"/>
      <c r="L229" s="1"/>
      <c r="M229" s="130">
        <v>226</v>
      </c>
      <c r="N229" s="130" t="s">
        <v>4617</v>
      </c>
      <c r="O229" s="131" t="s">
        <v>3817</v>
      </c>
      <c r="P229" s="130" t="s">
        <v>4669</v>
      </c>
      <c r="Q229" s="130" t="s">
        <v>3819</v>
      </c>
      <c r="R229" s="130">
        <v>12</v>
      </c>
      <c r="S229" s="129"/>
      <c r="T229" s="130" t="s">
        <v>4670</v>
      </c>
      <c r="U229" s="129"/>
      <c r="V229" s="129"/>
      <c r="W229" s="129"/>
      <c r="X229" s="129" t="s">
        <v>21</v>
      </c>
    </row>
    <row r="230" spans="1:24" ht="26.25" hidden="1" customHeight="1">
      <c r="A230" s="17">
        <f t="shared" si="1"/>
        <v>227</v>
      </c>
      <c r="B230" s="18" t="s">
        <v>13</v>
      </c>
      <c r="C230" s="31" t="s">
        <v>578</v>
      </c>
      <c r="D230" s="19" t="s">
        <v>1499</v>
      </c>
      <c r="E230" s="20" t="s">
        <v>580</v>
      </c>
      <c r="F230" s="32" t="s">
        <v>1500</v>
      </c>
      <c r="G230" s="22" t="s">
        <v>42</v>
      </c>
      <c r="H230" s="23" t="s">
        <v>1501</v>
      </c>
      <c r="I230" s="24" t="s">
        <v>55</v>
      </c>
      <c r="J230" s="1" t="str">
        <f t="shared" si="0"/>
        <v/>
      </c>
      <c r="K230" s="1"/>
      <c r="L230" s="1"/>
      <c r="M230" s="130">
        <v>227</v>
      </c>
      <c r="N230" s="130" t="s">
        <v>4617</v>
      </c>
      <c r="O230" s="131" t="s">
        <v>4671</v>
      </c>
      <c r="P230" s="130" t="s">
        <v>4672</v>
      </c>
      <c r="Q230" s="130" t="s">
        <v>3171</v>
      </c>
      <c r="R230" s="130">
        <v>12</v>
      </c>
      <c r="S230" s="129"/>
      <c r="T230" s="130" t="s">
        <v>4619</v>
      </c>
      <c r="U230" s="129"/>
      <c r="V230" s="129"/>
      <c r="W230" s="129"/>
      <c r="X230" s="129" t="s">
        <v>21</v>
      </c>
    </row>
    <row r="231" spans="1:24" ht="26.25" hidden="1" customHeight="1">
      <c r="A231" s="17">
        <f t="shared" si="1"/>
        <v>228</v>
      </c>
      <c r="B231" s="18" t="s">
        <v>13</v>
      </c>
      <c r="C231" s="19" t="s">
        <v>1503</v>
      </c>
      <c r="D231" s="19" t="s">
        <v>199</v>
      </c>
      <c r="E231" s="20" t="s">
        <v>1504</v>
      </c>
      <c r="F231" s="21" t="s">
        <v>1505</v>
      </c>
      <c r="G231" s="22" t="s">
        <v>42</v>
      </c>
      <c r="H231" s="23" t="s">
        <v>1506</v>
      </c>
      <c r="I231" s="24" t="s">
        <v>20</v>
      </c>
      <c r="J231" s="1" t="str">
        <f t="shared" si="0"/>
        <v>FRIC</v>
      </c>
      <c r="K231" s="1"/>
      <c r="L231" s="1"/>
      <c r="M231" s="130">
        <v>228</v>
      </c>
      <c r="N231" s="130" t="s">
        <v>4617</v>
      </c>
      <c r="O231" s="131" t="s">
        <v>4673</v>
      </c>
      <c r="P231" s="130" t="s">
        <v>4674</v>
      </c>
      <c r="Q231" s="142" t="s">
        <v>3843</v>
      </c>
      <c r="R231" s="132">
        <v>6</v>
      </c>
      <c r="S231" s="129"/>
      <c r="T231" s="130" t="s">
        <v>4675</v>
      </c>
      <c r="U231" s="129"/>
      <c r="V231" s="129"/>
      <c r="W231" s="129"/>
      <c r="X231" s="129" t="s">
        <v>21</v>
      </c>
    </row>
    <row r="232" spans="1:24" ht="26.25" hidden="1" customHeight="1">
      <c r="A232" s="17">
        <f t="shared" si="1"/>
        <v>229</v>
      </c>
      <c r="B232" s="18" t="s">
        <v>37</v>
      </c>
      <c r="C232" s="31" t="s">
        <v>1507</v>
      </c>
      <c r="D232" s="19" t="s">
        <v>1320</v>
      </c>
      <c r="E232" s="20" t="s">
        <v>1508</v>
      </c>
      <c r="F232" s="32" t="s">
        <v>1509</v>
      </c>
      <c r="G232" s="22" t="s">
        <v>53</v>
      </c>
      <c r="H232" s="23" t="s">
        <v>1510</v>
      </c>
      <c r="I232" s="24" t="s">
        <v>55</v>
      </c>
      <c r="J232" s="1" t="str">
        <f t="shared" si="0"/>
        <v/>
      </c>
      <c r="K232" s="1"/>
      <c r="L232" s="1"/>
      <c r="M232" s="130">
        <v>229</v>
      </c>
      <c r="N232" s="130" t="s">
        <v>4617</v>
      </c>
      <c r="O232" s="131" t="s">
        <v>3845</v>
      </c>
      <c r="P232" s="130" t="s">
        <v>4676</v>
      </c>
      <c r="Q232" s="130" t="s">
        <v>3847</v>
      </c>
      <c r="R232" s="130">
        <v>12</v>
      </c>
      <c r="S232" s="129"/>
      <c r="T232" s="130" t="s">
        <v>4677</v>
      </c>
      <c r="U232" s="129"/>
      <c r="V232" s="129"/>
      <c r="W232" s="129"/>
      <c r="X232" s="129" t="s">
        <v>21</v>
      </c>
    </row>
    <row r="233" spans="1:24" ht="26.25" hidden="1" customHeight="1">
      <c r="A233" s="17">
        <f t="shared" si="1"/>
        <v>230</v>
      </c>
      <c r="B233" s="18" t="s">
        <v>13</v>
      </c>
      <c r="C233" s="31" t="s">
        <v>1020</v>
      </c>
      <c r="D233" s="19" t="s">
        <v>1514</v>
      </c>
      <c r="E233" s="20" t="s">
        <v>1022</v>
      </c>
      <c r="F233" s="32" t="s">
        <v>170</v>
      </c>
      <c r="G233" s="22" t="s">
        <v>53</v>
      </c>
      <c r="H233" s="23" t="s">
        <v>1515</v>
      </c>
      <c r="I233" s="24" t="s">
        <v>55</v>
      </c>
      <c r="J233" s="1" t="str">
        <f t="shared" si="0"/>
        <v/>
      </c>
      <c r="K233" s="1"/>
      <c r="L233" s="1"/>
      <c r="M233" s="130">
        <v>230</v>
      </c>
      <c r="N233" s="130" t="s">
        <v>4617</v>
      </c>
      <c r="O233" s="131" t="s">
        <v>4678</v>
      </c>
      <c r="P233" s="130" t="s">
        <v>1863</v>
      </c>
      <c r="Q233" s="130" t="s">
        <v>3852</v>
      </c>
      <c r="R233" s="130">
        <v>6</v>
      </c>
      <c r="S233" s="129"/>
      <c r="T233" s="130" t="s">
        <v>4679</v>
      </c>
      <c r="U233" s="129"/>
      <c r="V233" s="129"/>
      <c r="W233" s="129"/>
      <c r="X233" s="129" t="s">
        <v>21</v>
      </c>
    </row>
    <row r="234" spans="1:24" ht="26.25" hidden="1" customHeight="1">
      <c r="A234" s="17">
        <f t="shared" si="1"/>
        <v>231</v>
      </c>
      <c r="B234" s="18" t="s">
        <v>27</v>
      </c>
      <c r="C234" s="19" t="s">
        <v>1518</v>
      </c>
      <c r="D234" s="19" t="s">
        <v>124</v>
      </c>
      <c r="E234" s="20" t="s">
        <v>1519</v>
      </c>
      <c r="F234" s="21" t="s">
        <v>135</v>
      </c>
      <c r="G234" s="22" t="s">
        <v>42</v>
      </c>
      <c r="H234" s="23" t="s">
        <v>1520</v>
      </c>
      <c r="I234" s="24" t="s">
        <v>20</v>
      </c>
      <c r="J234" s="1" t="str">
        <f t="shared" si="0"/>
        <v>FRIC</v>
      </c>
      <c r="K234" s="1"/>
      <c r="L234" s="1"/>
      <c r="M234" s="130">
        <v>231</v>
      </c>
      <c r="N234" s="130" t="s">
        <v>4617</v>
      </c>
      <c r="O234" s="131" t="s">
        <v>4680</v>
      </c>
      <c r="P234" s="130" t="s">
        <v>4681</v>
      </c>
      <c r="Q234" s="130" t="s">
        <v>3897</v>
      </c>
      <c r="R234" s="130">
        <v>8</v>
      </c>
      <c r="S234" s="129"/>
      <c r="T234" s="130" t="s">
        <v>4682</v>
      </c>
      <c r="U234" s="129"/>
      <c r="V234" s="129"/>
      <c r="W234" s="129"/>
      <c r="X234" s="129" t="s">
        <v>21</v>
      </c>
    </row>
    <row r="235" spans="1:24" ht="26.25" hidden="1" customHeight="1">
      <c r="A235" s="17">
        <f t="shared" si="1"/>
        <v>232</v>
      </c>
      <c r="B235" s="18" t="s">
        <v>132</v>
      </c>
      <c r="C235" s="19" t="s">
        <v>1522</v>
      </c>
      <c r="D235" s="19" t="s">
        <v>588</v>
      </c>
      <c r="E235" s="20" t="s">
        <v>1523</v>
      </c>
      <c r="F235" s="21" t="s">
        <v>135</v>
      </c>
      <c r="G235" s="22" t="s">
        <v>42</v>
      </c>
      <c r="H235" s="23" t="s">
        <v>1524</v>
      </c>
      <c r="I235" s="24" t="s">
        <v>20</v>
      </c>
      <c r="J235" s="1" t="str">
        <f t="shared" si="0"/>
        <v>FRIC</v>
      </c>
      <c r="K235" s="1"/>
      <c r="L235" s="1"/>
      <c r="M235" s="130">
        <v>232</v>
      </c>
      <c r="N235" s="130" t="s">
        <v>4617</v>
      </c>
      <c r="O235" s="131" t="s">
        <v>4683</v>
      </c>
      <c r="P235" s="130" t="s">
        <v>4684</v>
      </c>
      <c r="Q235" s="130" t="s">
        <v>3928</v>
      </c>
      <c r="R235" s="132">
        <v>10</v>
      </c>
      <c r="S235" s="129"/>
      <c r="T235" s="130" t="s">
        <v>4685</v>
      </c>
      <c r="U235" s="129"/>
      <c r="V235" s="129"/>
      <c r="W235" s="129"/>
      <c r="X235" s="129" t="s">
        <v>21</v>
      </c>
    </row>
    <row r="236" spans="1:24" ht="26.25" hidden="1" customHeight="1">
      <c r="A236" s="17">
        <f t="shared" si="1"/>
        <v>233</v>
      </c>
      <c r="B236" s="18" t="s">
        <v>27</v>
      </c>
      <c r="C236" s="19" t="s">
        <v>1527</v>
      </c>
      <c r="D236" s="19" t="s">
        <v>141</v>
      </c>
      <c r="E236" s="20" t="s">
        <v>1528</v>
      </c>
      <c r="F236" s="21" t="s">
        <v>905</v>
      </c>
      <c r="G236" s="22" t="s">
        <v>42</v>
      </c>
      <c r="H236" s="23" t="s">
        <v>1529</v>
      </c>
      <c r="I236" s="24" t="s">
        <v>20</v>
      </c>
      <c r="J236" s="1" t="str">
        <f t="shared" si="0"/>
        <v>FRIC</v>
      </c>
      <c r="K236" s="1"/>
      <c r="L236" s="1"/>
      <c r="M236" s="130">
        <v>233</v>
      </c>
      <c r="N236" s="130" t="s">
        <v>4617</v>
      </c>
      <c r="O236" s="131" t="s">
        <v>3973</v>
      </c>
      <c r="P236" s="130" t="s">
        <v>4686</v>
      </c>
      <c r="Q236" s="130" t="s">
        <v>3974</v>
      </c>
      <c r="R236" s="130">
        <v>12</v>
      </c>
      <c r="S236" s="129"/>
      <c r="T236" s="130" t="s">
        <v>4687</v>
      </c>
      <c r="U236" s="129"/>
      <c r="V236" s="129"/>
      <c r="W236" s="129"/>
      <c r="X236" s="129" t="s">
        <v>21</v>
      </c>
    </row>
    <row r="237" spans="1:24" ht="26.25" hidden="1" customHeight="1">
      <c r="A237" s="17">
        <f t="shared" si="1"/>
        <v>234</v>
      </c>
      <c r="B237" s="18" t="s">
        <v>27</v>
      </c>
      <c r="C237" s="31" t="s">
        <v>71</v>
      </c>
      <c r="D237" s="19" t="s">
        <v>588</v>
      </c>
      <c r="E237" s="20" t="s">
        <v>73</v>
      </c>
      <c r="F237" s="32" t="s">
        <v>962</v>
      </c>
      <c r="G237" s="22" t="s">
        <v>1086</v>
      </c>
      <c r="H237" s="23" t="s">
        <v>1533</v>
      </c>
      <c r="I237" s="24" t="s">
        <v>55</v>
      </c>
      <c r="J237" s="1" t="str">
        <f t="shared" si="0"/>
        <v/>
      </c>
      <c r="K237" s="1"/>
      <c r="L237" s="1"/>
      <c r="M237" s="130">
        <v>234</v>
      </c>
      <c r="N237" s="130" t="s">
        <v>4617</v>
      </c>
      <c r="O237" s="131" t="s">
        <v>4688</v>
      </c>
      <c r="P237" s="130" t="s">
        <v>4689</v>
      </c>
      <c r="Q237" s="130" t="s">
        <v>2767</v>
      </c>
      <c r="R237" s="130">
        <v>12</v>
      </c>
      <c r="S237" s="129"/>
      <c r="T237" s="130" t="s">
        <v>4690</v>
      </c>
      <c r="U237" s="129"/>
      <c r="V237" s="129"/>
      <c r="W237" s="129"/>
      <c r="X237" s="129" t="s">
        <v>21</v>
      </c>
    </row>
    <row r="238" spans="1:24" ht="26.25" hidden="1" customHeight="1">
      <c r="A238" s="17">
        <f t="shared" si="1"/>
        <v>235</v>
      </c>
      <c r="B238" s="18" t="s">
        <v>132</v>
      </c>
      <c r="C238" s="31" t="s">
        <v>831</v>
      </c>
      <c r="D238" s="19" t="s">
        <v>112</v>
      </c>
      <c r="E238" s="20" t="s">
        <v>833</v>
      </c>
      <c r="F238" s="32" t="s">
        <v>170</v>
      </c>
      <c r="G238" s="22" t="s">
        <v>42</v>
      </c>
      <c r="H238" s="23" t="s">
        <v>1537</v>
      </c>
      <c r="I238" s="24" t="s">
        <v>55</v>
      </c>
      <c r="J238" s="1" t="str">
        <f t="shared" si="0"/>
        <v/>
      </c>
      <c r="K238" s="1"/>
      <c r="L238" s="1"/>
      <c r="M238" s="130">
        <v>235</v>
      </c>
      <c r="N238" s="130" t="s">
        <v>4617</v>
      </c>
      <c r="O238" s="131" t="s">
        <v>4691</v>
      </c>
      <c r="P238" s="130" t="s">
        <v>4689</v>
      </c>
      <c r="Q238" s="130" t="s">
        <v>3961</v>
      </c>
      <c r="R238" s="130">
        <v>12</v>
      </c>
      <c r="S238" s="129"/>
      <c r="T238" s="130" t="s">
        <v>4692</v>
      </c>
      <c r="U238" s="129"/>
      <c r="V238" s="129"/>
      <c r="W238" s="129"/>
      <c r="X238" s="129" t="s">
        <v>21</v>
      </c>
    </row>
    <row r="239" spans="1:24" ht="26.25" customHeight="1">
      <c r="A239" s="17">
        <f t="shared" si="1"/>
        <v>236</v>
      </c>
      <c r="B239" s="18" t="s">
        <v>105</v>
      </c>
      <c r="C239" s="31" t="s">
        <v>1541</v>
      </c>
      <c r="D239" s="19" t="s">
        <v>1542</v>
      </c>
      <c r="E239" s="20" t="s">
        <v>1543</v>
      </c>
      <c r="F239" s="21" t="s">
        <v>17</v>
      </c>
      <c r="G239" s="33" t="s">
        <v>31</v>
      </c>
      <c r="H239" s="23" t="s">
        <v>1544</v>
      </c>
      <c r="I239" s="34" t="s">
        <v>20</v>
      </c>
      <c r="J239" s="1" t="str">
        <f t="shared" si="0"/>
        <v>과기</v>
      </c>
      <c r="K239" s="25"/>
      <c r="L239" s="25"/>
      <c r="M239" s="133">
        <v>236</v>
      </c>
      <c r="N239" s="133" t="s">
        <v>4617</v>
      </c>
      <c r="O239" s="134" t="s">
        <v>4693</v>
      </c>
      <c r="P239" s="133" t="s">
        <v>4694</v>
      </c>
      <c r="Q239" s="133" t="s">
        <v>3979</v>
      </c>
      <c r="R239" s="133">
        <v>6</v>
      </c>
      <c r="S239" s="135"/>
      <c r="T239" s="133" t="s">
        <v>4695</v>
      </c>
      <c r="U239" s="135"/>
      <c r="V239" s="135"/>
      <c r="W239" s="135"/>
      <c r="X239" s="135" t="s">
        <v>21</v>
      </c>
    </row>
    <row r="240" spans="1:24" ht="26.25" hidden="1" customHeight="1">
      <c r="A240" s="17">
        <f t="shared" si="1"/>
        <v>237</v>
      </c>
      <c r="B240" s="18" t="s">
        <v>175</v>
      </c>
      <c r="C240" s="31" t="s">
        <v>1548</v>
      </c>
      <c r="D240" s="19" t="s">
        <v>277</v>
      </c>
      <c r="E240" s="20" t="s">
        <v>1549</v>
      </c>
      <c r="F240" s="32" t="s">
        <v>738</v>
      </c>
      <c r="G240" s="33" t="s">
        <v>350</v>
      </c>
      <c r="H240" s="23" t="s">
        <v>1550</v>
      </c>
      <c r="I240" s="24" t="s">
        <v>55</v>
      </c>
      <c r="J240" s="1" t="str">
        <f t="shared" si="0"/>
        <v/>
      </c>
      <c r="K240" s="1"/>
      <c r="L240" s="1"/>
      <c r="M240" s="130">
        <v>237</v>
      </c>
      <c r="N240" s="130" t="s">
        <v>4617</v>
      </c>
      <c r="O240" s="131" t="s">
        <v>4696</v>
      </c>
      <c r="P240" s="130" t="s">
        <v>766</v>
      </c>
      <c r="Q240" s="130" t="s">
        <v>3988</v>
      </c>
      <c r="R240" s="130">
        <v>2</v>
      </c>
      <c r="S240" s="129"/>
      <c r="T240" s="130" t="s">
        <v>4679</v>
      </c>
      <c r="U240" s="129"/>
      <c r="V240" s="129"/>
      <c r="W240" s="129"/>
      <c r="X240" s="129" t="s">
        <v>21</v>
      </c>
    </row>
    <row r="241" spans="1:24" ht="26.25" hidden="1" customHeight="1">
      <c r="A241" s="17">
        <f t="shared" si="1"/>
        <v>238</v>
      </c>
      <c r="B241" s="18" t="s">
        <v>175</v>
      </c>
      <c r="C241" s="31" t="s">
        <v>1554</v>
      </c>
      <c r="D241" s="19" t="s">
        <v>1555</v>
      </c>
      <c r="E241" s="20" t="s">
        <v>1556</v>
      </c>
      <c r="F241" s="32" t="s">
        <v>1557</v>
      </c>
      <c r="G241" s="33" t="s">
        <v>42</v>
      </c>
      <c r="H241" s="23" t="s">
        <v>1558</v>
      </c>
      <c r="I241" s="24" t="s">
        <v>55</v>
      </c>
      <c r="J241" s="1" t="str">
        <f t="shared" si="0"/>
        <v/>
      </c>
      <c r="K241" s="1"/>
      <c r="L241" s="1"/>
      <c r="M241" s="130">
        <v>238</v>
      </c>
      <c r="N241" s="130" t="s">
        <v>4617</v>
      </c>
      <c r="O241" s="131" t="s">
        <v>3990</v>
      </c>
      <c r="P241" s="130" t="s">
        <v>4697</v>
      </c>
      <c r="Q241" s="130" t="s">
        <v>3992</v>
      </c>
      <c r="R241" s="132">
        <v>6</v>
      </c>
      <c r="S241" s="129"/>
      <c r="T241" s="130" t="s">
        <v>4698</v>
      </c>
      <c r="U241" s="129"/>
      <c r="V241" s="129"/>
      <c r="W241" s="129"/>
      <c r="X241" s="129" t="s">
        <v>21</v>
      </c>
    </row>
    <row r="242" spans="1:24" ht="26.25" hidden="1" customHeight="1">
      <c r="A242" s="17">
        <f t="shared" si="1"/>
        <v>239</v>
      </c>
      <c r="B242" s="18" t="s">
        <v>248</v>
      </c>
      <c r="C242" s="31" t="s">
        <v>1027</v>
      </c>
      <c r="D242" s="19" t="s">
        <v>370</v>
      </c>
      <c r="E242" s="20" t="s">
        <v>1029</v>
      </c>
      <c r="F242" s="32" t="s">
        <v>170</v>
      </c>
      <c r="G242" s="33" t="s">
        <v>53</v>
      </c>
      <c r="H242" s="23" t="s">
        <v>1563</v>
      </c>
      <c r="I242" s="24" t="s">
        <v>55</v>
      </c>
      <c r="J242" s="1" t="str">
        <f t="shared" si="0"/>
        <v/>
      </c>
      <c r="K242" s="1"/>
      <c r="L242" s="1"/>
      <c r="M242" s="130">
        <v>239</v>
      </c>
      <c r="N242" s="130" t="s">
        <v>4617</v>
      </c>
      <c r="O242" s="131" t="s">
        <v>4699</v>
      </c>
      <c r="P242" s="130" t="s">
        <v>3474</v>
      </c>
      <c r="Q242" s="132" t="s">
        <v>3923</v>
      </c>
      <c r="R242" s="130">
        <v>6</v>
      </c>
      <c r="S242" s="129"/>
      <c r="T242" s="130" t="s">
        <v>4700</v>
      </c>
      <c r="U242" s="129"/>
      <c r="V242" s="129"/>
      <c r="W242" s="129"/>
      <c r="X242" s="129" t="s">
        <v>21</v>
      </c>
    </row>
    <row r="243" spans="1:24" ht="26.25" hidden="1" customHeight="1">
      <c r="A243" s="17">
        <f t="shared" si="1"/>
        <v>240</v>
      </c>
      <c r="B243" s="18" t="s">
        <v>27</v>
      </c>
      <c r="C243" s="31" t="s">
        <v>78</v>
      </c>
      <c r="D243" s="19" t="s">
        <v>1566</v>
      </c>
      <c r="E243" s="20" t="s">
        <v>80</v>
      </c>
      <c r="F243" s="32" t="s">
        <v>142</v>
      </c>
      <c r="G243" s="22" t="s">
        <v>53</v>
      </c>
      <c r="H243" s="23" t="s">
        <v>1567</v>
      </c>
      <c r="I243" s="24" t="s">
        <v>55</v>
      </c>
      <c r="J243" s="1" t="str">
        <f t="shared" si="0"/>
        <v/>
      </c>
      <c r="K243" s="1"/>
      <c r="L243" s="1"/>
      <c r="M243" s="130">
        <v>240</v>
      </c>
      <c r="N243" s="130" t="s">
        <v>4617</v>
      </c>
      <c r="O243" s="131" t="s">
        <v>4701</v>
      </c>
      <c r="P243" s="130" t="s">
        <v>3474</v>
      </c>
      <c r="Q243" s="130" t="s">
        <v>4023</v>
      </c>
      <c r="R243" s="130">
        <v>12</v>
      </c>
      <c r="S243" s="129"/>
      <c r="T243" s="130" t="s">
        <v>4412</v>
      </c>
      <c r="U243" s="141" t="s">
        <v>4702</v>
      </c>
      <c r="V243" s="129"/>
      <c r="W243" s="129"/>
      <c r="X243" s="129" t="s">
        <v>21</v>
      </c>
    </row>
    <row r="244" spans="1:24" ht="26.25" hidden="1" customHeight="1">
      <c r="A244" s="17">
        <f t="shared" si="1"/>
        <v>241</v>
      </c>
      <c r="B244" s="18" t="s">
        <v>81</v>
      </c>
      <c r="C244" s="31" t="s">
        <v>1570</v>
      </c>
      <c r="D244" s="19" t="s">
        <v>1571</v>
      </c>
      <c r="E244" s="20" t="s">
        <v>1572</v>
      </c>
      <c r="F244" s="32">
        <v>2004</v>
      </c>
      <c r="G244" s="33" t="s">
        <v>53</v>
      </c>
      <c r="H244" s="23" t="s">
        <v>1573</v>
      </c>
      <c r="I244" s="24" t="s">
        <v>55</v>
      </c>
      <c r="J244" s="1" t="str">
        <f t="shared" si="0"/>
        <v/>
      </c>
      <c r="K244" s="1"/>
      <c r="L244" s="1"/>
      <c r="M244" s="130">
        <v>241</v>
      </c>
      <c r="N244" s="130" t="s">
        <v>4617</v>
      </c>
      <c r="O244" s="131" t="s">
        <v>4703</v>
      </c>
      <c r="P244" s="130" t="s">
        <v>4704</v>
      </c>
      <c r="Q244" s="130" t="s">
        <v>2758</v>
      </c>
      <c r="R244" s="130">
        <v>4</v>
      </c>
      <c r="S244" s="129"/>
      <c r="T244" s="130" t="s">
        <v>4705</v>
      </c>
      <c r="U244" s="129"/>
      <c r="V244" s="129"/>
      <c r="W244" s="129"/>
      <c r="X244" s="129" t="s">
        <v>21</v>
      </c>
    </row>
    <row r="245" spans="1:24" ht="26.25" hidden="1" customHeight="1">
      <c r="A245" s="17">
        <f t="shared" si="1"/>
        <v>242</v>
      </c>
      <c r="B245" s="18" t="s">
        <v>48</v>
      </c>
      <c r="C245" s="31" t="s">
        <v>1577</v>
      </c>
      <c r="D245" s="19" t="s">
        <v>1571</v>
      </c>
      <c r="E245" s="20" t="s">
        <v>1578</v>
      </c>
      <c r="F245" s="32" t="s">
        <v>1579</v>
      </c>
      <c r="G245" s="33" t="s">
        <v>42</v>
      </c>
      <c r="H245" s="23" t="s">
        <v>1580</v>
      </c>
      <c r="I245" s="24" t="s">
        <v>55</v>
      </c>
      <c r="J245" s="1" t="str">
        <f t="shared" si="0"/>
        <v/>
      </c>
      <c r="K245" s="1"/>
      <c r="L245" s="1"/>
      <c r="M245" s="130">
        <v>242</v>
      </c>
      <c r="N245" s="130" t="s">
        <v>4617</v>
      </c>
      <c r="O245" s="131" t="s">
        <v>4047</v>
      </c>
      <c r="P245" s="130" t="s">
        <v>537</v>
      </c>
      <c r="Q245" s="130" t="s">
        <v>4048</v>
      </c>
      <c r="R245" s="130">
        <v>12</v>
      </c>
      <c r="S245" s="129"/>
      <c r="T245" s="130" t="s">
        <v>4685</v>
      </c>
      <c r="U245" s="129"/>
      <c r="V245" s="129"/>
      <c r="W245" s="129"/>
      <c r="X245" s="129" t="s">
        <v>21</v>
      </c>
    </row>
    <row r="246" spans="1:24" ht="26.25" hidden="1" customHeight="1">
      <c r="A246" s="17">
        <f t="shared" si="1"/>
        <v>243</v>
      </c>
      <c r="B246" s="18" t="s">
        <v>81</v>
      </c>
      <c r="C246" s="31" t="s">
        <v>1584</v>
      </c>
      <c r="D246" s="19" t="s">
        <v>1571</v>
      </c>
      <c r="E246" s="20" t="s">
        <v>1585</v>
      </c>
      <c r="F246" s="32" t="s">
        <v>1586</v>
      </c>
      <c r="G246" s="33" t="s">
        <v>42</v>
      </c>
      <c r="H246" s="23" t="s">
        <v>1587</v>
      </c>
      <c r="I246" s="24" t="s">
        <v>55</v>
      </c>
      <c r="J246" s="1" t="str">
        <f t="shared" si="0"/>
        <v/>
      </c>
      <c r="K246" s="1"/>
      <c r="L246" s="1"/>
      <c r="M246" s="130">
        <v>243</v>
      </c>
      <c r="N246" s="130" t="s">
        <v>4617</v>
      </c>
      <c r="O246" s="131" t="s">
        <v>4706</v>
      </c>
      <c r="P246" s="130" t="s">
        <v>4707</v>
      </c>
      <c r="Q246" s="130" t="s">
        <v>4116</v>
      </c>
      <c r="R246" s="130">
        <v>12</v>
      </c>
      <c r="S246" s="129"/>
      <c r="T246" s="130" t="s">
        <v>4708</v>
      </c>
      <c r="U246" s="129"/>
      <c r="V246" s="129"/>
      <c r="W246" s="129"/>
      <c r="X246" s="129" t="s">
        <v>21</v>
      </c>
    </row>
    <row r="247" spans="1:24" ht="26.25" hidden="1" customHeight="1">
      <c r="A247" s="17">
        <f t="shared" si="1"/>
        <v>244</v>
      </c>
      <c r="B247" s="18" t="s">
        <v>48</v>
      </c>
      <c r="C247" s="19" t="s">
        <v>1591</v>
      </c>
      <c r="D247" s="19" t="s">
        <v>1592</v>
      </c>
      <c r="E247" s="20" t="s">
        <v>1593</v>
      </c>
      <c r="F247" s="21" t="s">
        <v>905</v>
      </c>
      <c r="G247" s="33" t="s">
        <v>42</v>
      </c>
      <c r="H247" s="23" t="s">
        <v>1594</v>
      </c>
      <c r="I247" s="24" t="s">
        <v>20</v>
      </c>
      <c r="J247" s="1" t="str">
        <f t="shared" si="0"/>
        <v>FRIC</v>
      </c>
      <c r="K247" s="1"/>
      <c r="L247" s="1"/>
      <c r="M247" s="130">
        <v>244</v>
      </c>
      <c r="N247" s="130" t="s">
        <v>4617</v>
      </c>
      <c r="O247" s="131" t="s">
        <v>4709</v>
      </c>
      <c r="P247" s="130" t="s">
        <v>4710</v>
      </c>
      <c r="Q247" s="130" t="s">
        <v>4124</v>
      </c>
      <c r="R247" s="130">
        <v>12</v>
      </c>
      <c r="S247" s="129"/>
      <c r="T247" s="130" t="s">
        <v>4711</v>
      </c>
      <c r="U247" s="129"/>
      <c r="V247" s="129"/>
      <c r="W247" s="129"/>
      <c r="X247" s="129" t="s">
        <v>21</v>
      </c>
    </row>
    <row r="248" spans="1:24" ht="26.25" hidden="1" customHeight="1">
      <c r="A248" s="17">
        <f t="shared" si="1"/>
        <v>245</v>
      </c>
      <c r="B248" s="18" t="s">
        <v>1598</v>
      </c>
      <c r="C248" s="31" t="s">
        <v>1599</v>
      </c>
      <c r="D248" s="19" t="s">
        <v>1600</v>
      </c>
      <c r="E248" s="20" t="s">
        <v>1601</v>
      </c>
      <c r="F248" s="32" t="s">
        <v>222</v>
      </c>
      <c r="G248" s="33" t="s">
        <v>53</v>
      </c>
      <c r="H248" s="23" t="s">
        <v>1602</v>
      </c>
      <c r="I248" s="24" t="s">
        <v>55</v>
      </c>
      <c r="J248" s="1" t="str">
        <f t="shared" si="0"/>
        <v/>
      </c>
      <c r="K248" s="1"/>
      <c r="L248" s="1"/>
      <c r="M248" s="130">
        <v>245</v>
      </c>
      <c r="N248" s="130" t="s">
        <v>4617</v>
      </c>
      <c r="O248" s="131" t="s">
        <v>4126</v>
      </c>
      <c r="P248" s="130" t="s">
        <v>4111</v>
      </c>
      <c r="Q248" s="130" t="s">
        <v>4128</v>
      </c>
      <c r="R248" s="130">
        <v>6</v>
      </c>
      <c r="S248" s="129"/>
      <c r="T248" s="130" t="s">
        <v>4712</v>
      </c>
      <c r="U248" s="129"/>
      <c r="V248" s="129"/>
      <c r="W248" s="129"/>
      <c r="X248" s="129" t="s">
        <v>21</v>
      </c>
    </row>
    <row r="249" spans="1:24" ht="26.25" hidden="1" customHeight="1">
      <c r="A249" s="17">
        <f t="shared" si="1"/>
        <v>246</v>
      </c>
      <c r="B249" s="18" t="s">
        <v>248</v>
      </c>
      <c r="C249" s="19" t="s">
        <v>1606</v>
      </c>
      <c r="D249" s="19" t="s">
        <v>1607</v>
      </c>
      <c r="E249" s="79" t="s">
        <v>1608</v>
      </c>
      <c r="F249" s="21" t="s">
        <v>1609</v>
      </c>
      <c r="G249" s="33" t="s">
        <v>31</v>
      </c>
      <c r="H249" s="23" t="s">
        <v>1610</v>
      </c>
      <c r="I249" s="24" t="s">
        <v>20</v>
      </c>
      <c r="J249" s="1" t="str">
        <f t="shared" si="0"/>
        <v>FRIC</v>
      </c>
      <c r="K249" s="1"/>
      <c r="L249" s="1"/>
      <c r="M249" s="130">
        <v>246</v>
      </c>
      <c r="N249" s="130" t="s">
        <v>4617</v>
      </c>
      <c r="O249" s="131" t="s">
        <v>4713</v>
      </c>
      <c r="P249" s="130" t="s">
        <v>4714</v>
      </c>
      <c r="Q249" s="130" t="s">
        <v>3494</v>
      </c>
      <c r="R249" s="132">
        <v>12</v>
      </c>
      <c r="S249" s="129"/>
      <c r="T249" s="130" t="s">
        <v>4715</v>
      </c>
      <c r="U249" s="129"/>
      <c r="V249" s="129"/>
      <c r="W249" s="129"/>
      <c r="X249" s="129" t="s">
        <v>21</v>
      </c>
    </row>
    <row r="250" spans="1:24" ht="26.25" hidden="1" customHeight="1">
      <c r="A250" s="17">
        <f t="shared" si="1"/>
        <v>247</v>
      </c>
      <c r="B250" s="18" t="s">
        <v>105</v>
      </c>
      <c r="C250" s="31" t="s">
        <v>1615</v>
      </c>
      <c r="D250" s="19" t="s">
        <v>1184</v>
      </c>
      <c r="E250" s="20" t="s">
        <v>1616</v>
      </c>
      <c r="F250" s="32" t="s">
        <v>738</v>
      </c>
      <c r="G250" s="33" t="s">
        <v>63</v>
      </c>
      <c r="H250" s="23" t="s">
        <v>1617</v>
      </c>
      <c r="I250" s="24" t="s">
        <v>55</v>
      </c>
      <c r="J250" s="1" t="str">
        <f t="shared" si="0"/>
        <v/>
      </c>
      <c r="K250" s="1"/>
      <c r="L250" s="1"/>
      <c r="M250" s="130">
        <v>247</v>
      </c>
      <c r="N250" s="130" t="s">
        <v>4617</v>
      </c>
      <c r="O250" s="131" t="s">
        <v>4716</v>
      </c>
      <c r="P250" s="130" t="s">
        <v>4717</v>
      </c>
      <c r="Q250" s="130" t="s">
        <v>4163</v>
      </c>
      <c r="R250" s="130">
        <v>6</v>
      </c>
      <c r="S250" s="129"/>
      <c r="T250" s="130" t="s">
        <v>4718</v>
      </c>
      <c r="U250" s="129"/>
      <c r="V250" s="129"/>
      <c r="W250" s="129"/>
      <c r="X250" s="129" t="s">
        <v>21</v>
      </c>
    </row>
    <row r="251" spans="1:24" ht="26.25" hidden="1" customHeight="1">
      <c r="A251" s="17">
        <f t="shared" si="1"/>
        <v>248</v>
      </c>
      <c r="B251" s="18" t="s">
        <v>105</v>
      </c>
      <c r="C251" s="31" t="s">
        <v>1620</v>
      </c>
      <c r="D251" s="19" t="s">
        <v>374</v>
      </c>
      <c r="E251" s="20" t="s">
        <v>1621</v>
      </c>
      <c r="F251" s="32" t="s">
        <v>416</v>
      </c>
      <c r="G251" s="33" t="s">
        <v>42</v>
      </c>
      <c r="H251" s="23" t="s">
        <v>1622</v>
      </c>
      <c r="I251" s="24" t="s">
        <v>55</v>
      </c>
      <c r="J251" s="1" t="str">
        <f t="shared" si="0"/>
        <v/>
      </c>
      <c r="K251" s="1"/>
      <c r="L251" s="1"/>
      <c r="M251" s="130">
        <v>248</v>
      </c>
      <c r="N251" s="130" t="s">
        <v>4617</v>
      </c>
      <c r="O251" s="131" t="s">
        <v>4165</v>
      </c>
      <c r="P251" s="130" t="s">
        <v>4719</v>
      </c>
      <c r="Q251" s="130" t="s">
        <v>4167</v>
      </c>
      <c r="R251" s="130">
        <v>12</v>
      </c>
      <c r="S251" s="129"/>
      <c r="T251" s="130" t="s">
        <v>4720</v>
      </c>
      <c r="U251" s="129"/>
      <c r="V251" s="129"/>
      <c r="W251" s="129"/>
      <c r="X251" s="129" t="s">
        <v>21</v>
      </c>
    </row>
    <row r="252" spans="1:24" ht="26.25" hidden="1" customHeight="1">
      <c r="A252" s="17">
        <f t="shared" si="1"/>
        <v>249</v>
      </c>
      <c r="B252" s="18" t="s">
        <v>248</v>
      </c>
      <c r="C252" s="31" t="s">
        <v>1625</v>
      </c>
      <c r="D252" s="19" t="s">
        <v>1626</v>
      </c>
      <c r="E252" s="20" t="s">
        <v>1627</v>
      </c>
      <c r="F252" s="32" t="s">
        <v>416</v>
      </c>
      <c r="G252" s="33" t="s">
        <v>42</v>
      </c>
      <c r="H252" s="23" t="s">
        <v>1628</v>
      </c>
      <c r="I252" s="24" t="s">
        <v>55</v>
      </c>
      <c r="J252" s="1" t="str">
        <f t="shared" si="0"/>
        <v/>
      </c>
      <c r="K252" s="1"/>
      <c r="L252" s="1"/>
      <c r="M252" s="130">
        <v>249</v>
      </c>
      <c r="N252" s="130" t="s">
        <v>4617</v>
      </c>
      <c r="O252" s="131" t="s">
        <v>4170</v>
      </c>
      <c r="P252" s="130" t="s">
        <v>4721</v>
      </c>
      <c r="Q252" s="130" t="s">
        <v>4172</v>
      </c>
      <c r="R252" s="130">
        <v>12</v>
      </c>
      <c r="S252" s="129"/>
      <c r="T252" s="130" t="s">
        <v>4722</v>
      </c>
      <c r="U252" s="129"/>
      <c r="V252" s="129"/>
      <c r="W252" s="129"/>
      <c r="X252" s="129" t="s">
        <v>21</v>
      </c>
    </row>
    <row r="253" spans="1:24" ht="26.25" hidden="1" customHeight="1">
      <c r="A253" s="17">
        <f t="shared" si="1"/>
        <v>250</v>
      </c>
      <c r="B253" s="18" t="s">
        <v>37</v>
      </c>
      <c r="C253" s="31" t="s">
        <v>1630</v>
      </c>
      <c r="D253" s="19" t="s">
        <v>1626</v>
      </c>
      <c r="E253" s="20" t="s">
        <v>1631</v>
      </c>
      <c r="F253" s="32" t="s">
        <v>693</v>
      </c>
      <c r="G253" s="22" t="s">
        <v>42</v>
      </c>
      <c r="H253" s="23" t="s">
        <v>1632</v>
      </c>
      <c r="I253" s="24" t="s">
        <v>55</v>
      </c>
      <c r="J253" s="1" t="str">
        <f t="shared" si="0"/>
        <v/>
      </c>
      <c r="K253" s="1"/>
      <c r="L253" s="1"/>
      <c r="M253" s="130">
        <v>250</v>
      </c>
      <c r="N253" s="130" t="s">
        <v>4617</v>
      </c>
      <c r="O253" s="131" t="s">
        <v>4188</v>
      </c>
      <c r="P253" s="130" t="s">
        <v>4286</v>
      </c>
      <c r="Q253" s="130" t="s">
        <v>4723</v>
      </c>
      <c r="R253" s="130">
        <v>12</v>
      </c>
      <c r="S253" s="129"/>
      <c r="T253" s="130" t="s">
        <v>4724</v>
      </c>
      <c r="U253" s="129"/>
      <c r="V253" s="129"/>
      <c r="W253" s="129"/>
      <c r="X253" s="129" t="s">
        <v>21</v>
      </c>
    </row>
    <row r="254" spans="1:24" ht="26.25" hidden="1" customHeight="1">
      <c r="A254" s="17">
        <f t="shared" si="1"/>
        <v>251</v>
      </c>
      <c r="B254" s="18" t="s">
        <v>105</v>
      </c>
      <c r="C254" s="31" t="s">
        <v>1511</v>
      </c>
      <c r="D254" s="19" t="s">
        <v>1635</v>
      </c>
      <c r="E254" s="20" t="s">
        <v>1513</v>
      </c>
      <c r="F254" s="21" t="s">
        <v>1636</v>
      </c>
      <c r="G254" s="33" t="s">
        <v>42</v>
      </c>
      <c r="H254" s="23" t="s">
        <v>1637</v>
      </c>
      <c r="I254" s="34" t="s">
        <v>55</v>
      </c>
      <c r="J254" s="1" t="str">
        <f t="shared" si="0"/>
        <v/>
      </c>
      <c r="K254" s="25"/>
      <c r="L254" s="25"/>
      <c r="M254" s="133">
        <v>251</v>
      </c>
      <c r="N254" s="133" t="s">
        <v>4617</v>
      </c>
      <c r="O254" s="134" t="s">
        <v>4192</v>
      </c>
      <c r="P254" s="133" t="s">
        <v>4193</v>
      </c>
      <c r="Q254" s="133" t="s">
        <v>4194</v>
      </c>
      <c r="R254" s="133">
        <v>6</v>
      </c>
      <c r="S254" s="135"/>
      <c r="T254" s="133" t="s">
        <v>4725</v>
      </c>
      <c r="U254" s="135"/>
      <c r="V254" s="135"/>
      <c r="W254" s="135"/>
      <c r="X254" s="135" t="s">
        <v>21</v>
      </c>
    </row>
    <row r="255" spans="1:24" ht="26.25" hidden="1" customHeight="1">
      <c r="A255" s="17">
        <f t="shared" si="1"/>
        <v>252</v>
      </c>
      <c r="B255" s="18" t="s">
        <v>27</v>
      </c>
      <c r="C255" s="19" t="s">
        <v>1640</v>
      </c>
      <c r="D255" s="19" t="s">
        <v>665</v>
      </c>
      <c r="E255" s="20" t="s">
        <v>1641</v>
      </c>
      <c r="F255" s="21" t="s">
        <v>1642</v>
      </c>
      <c r="G255" s="22" t="s">
        <v>42</v>
      </c>
      <c r="H255" s="23" t="s">
        <v>1643</v>
      </c>
      <c r="I255" s="24" t="s">
        <v>20</v>
      </c>
      <c r="J255" s="1" t="str">
        <f t="shared" si="0"/>
        <v>FRIC</v>
      </c>
      <c r="K255" s="1"/>
      <c r="L255" s="1"/>
      <c r="M255" s="130">
        <v>252</v>
      </c>
      <c r="N255" s="130" t="s">
        <v>4617</v>
      </c>
      <c r="O255" s="131" t="s">
        <v>4207</v>
      </c>
      <c r="P255" s="130" t="s">
        <v>4208</v>
      </c>
      <c r="Q255" s="130" t="s">
        <v>4209</v>
      </c>
      <c r="R255" s="130">
        <v>12</v>
      </c>
      <c r="S255" s="129"/>
      <c r="T255" s="130" t="s">
        <v>4726</v>
      </c>
      <c r="U255" s="129"/>
      <c r="V255" s="129"/>
      <c r="W255" s="129"/>
      <c r="X255" s="129" t="s">
        <v>21</v>
      </c>
    </row>
    <row r="256" spans="1:24" ht="26.25" hidden="1" customHeight="1">
      <c r="A256" s="17">
        <f t="shared" si="1"/>
        <v>253</v>
      </c>
      <c r="B256" s="18" t="s">
        <v>37</v>
      </c>
      <c r="C256" s="31" t="s">
        <v>1646</v>
      </c>
      <c r="D256" s="19" t="s">
        <v>1647</v>
      </c>
      <c r="E256" s="20" t="s">
        <v>1648</v>
      </c>
      <c r="F256" s="32" t="s">
        <v>416</v>
      </c>
      <c r="G256" s="22" t="s">
        <v>53</v>
      </c>
      <c r="H256" s="23" t="s">
        <v>1649</v>
      </c>
      <c r="I256" s="24" t="s">
        <v>55</v>
      </c>
      <c r="J256" s="1" t="str">
        <f t="shared" si="0"/>
        <v/>
      </c>
      <c r="K256" s="1"/>
      <c r="L256" s="1"/>
      <c r="M256" s="130">
        <v>253</v>
      </c>
      <c r="N256" s="130" t="s">
        <v>4617</v>
      </c>
      <c r="O256" s="131" t="s">
        <v>4211</v>
      </c>
      <c r="P256" s="130" t="s">
        <v>4727</v>
      </c>
      <c r="Q256" s="130" t="s">
        <v>4213</v>
      </c>
      <c r="R256" s="130">
        <v>12</v>
      </c>
      <c r="S256" s="129"/>
      <c r="T256" s="130" t="s">
        <v>4728</v>
      </c>
      <c r="U256" s="129"/>
      <c r="V256" s="129"/>
      <c r="W256" s="129"/>
      <c r="X256" s="129" t="s">
        <v>21</v>
      </c>
    </row>
    <row r="257" spans="1:24" ht="26.25" hidden="1" customHeight="1">
      <c r="A257" s="17">
        <f t="shared" si="1"/>
        <v>254</v>
      </c>
      <c r="B257" s="18" t="s">
        <v>132</v>
      </c>
      <c r="C257" s="31" t="s">
        <v>1652</v>
      </c>
      <c r="D257" s="19" t="s">
        <v>271</v>
      </c>
      <c r="E257" s="20" t="s">
        <v>1653</v>
      </c>
      <c r="F257" s="32">
        <v>2010</v>
      </c>
      <c r="G257" s="22" t="s">
        <v>42</v>
      </c>
      <c r="H257" s="23" t="s">
        <v>1654</v>
      </c>
      <c r="I257" s="24" t="s">
        <v>55</v>
      </c>
      <c r="J257" s="1" t="str">
        <f t="shared" si="0"/>
        <v/>
      </c>
      <c r="K257" s="1"/>
      <c r="L257" s="1"/>
      <c r="M257" s="130">
        <v>254</v>
      </c>
      <c r="N257" s="130" t="s">
        <v>4617</v>
      </c>
      <c r="O257" s="131" t="s">
        <v>4729</v>
      </c>
      <c r="P257" s="130" t="s">
        <v>4730</v>
      </c>
      <c r="Q257" s="130" t="s">
        <v>4304</v>
      </c>
      <c r="R257" s="132">
        <v>12</v>
      </c>
      <c r="S257" s="129"/>
      <c r="T257" s="130" t="s">
        <v>4731</v>
      </c>
      <c r="U257" s="129"/>
      <c r="V257" s="129"/>
      <c r="W257" s="129"/>
      <c r="X257" s="129" t="s">
        <v>21</v>
      </c>
    </row>
    <row r="258" spans="1:24" ht="26.25" hidden="1" customHeight="1">
      <c r="A258" s="17">
        <f t="shared" si="1"/>
        <v>255</v>
      </c>
      <c r="B258" s="18" t="s">
        <v>48</v>
      </c>
      <c r="C258" s="31" t="s">
        <v>1657</v>
      </c>
      <c r="D258" s="19" t="s">
        <v>1658</v>
      </c>
      <c r="E258" s="20" t="s">
        <v>1037</v>
      </c>
      <c r="F258" s="32" t="s">
        <v>170</v>
      </c>
      <c r="G258" s="33" t="s">
        <v>31</v>
      </c>
      <c r="H258" s="23" t="s">
        <v>1659</v>
      </c>
      <c r="I258" s="24" t="s">
        <v>55</v>
      </c>
      <c r="J258" s="1" t="str">
        <f t="shared" si="0"/>
        <v/>
      </c>
      <c r="K258" s="1"/>
      <c r="L258" s="1"/>
      <c r="M258" s="130">
        <v>255</v>
      </c>
      <c r="N258" s="130" t="s">
        <v>4617</v>
      </c>
      <c r="O258" s="131" t="s">
        <v>4732</v>
      </c>
      <c r="P258" s="130" t="s">
        <v>4733</v>
      </c>
      <c r="Q258" s="130" t="s">
        <v>4316</v>
      </c>
      <c r="R258" s="130">
        <v>12</v>
      </c>
      <c r="S258" s="129"/>
      <c r="T258" s="130" t="s">
        <v>4734</v>
      </c>
      <c r="U258" s="129"/>
      <c r="V258" s="129"/>
      <c r="W258" s="129"/>
      <c r="X258" s="129" t="s">
        <v>21</v>
      </c>
    </row>
    <row r="259" spans="1:24" ht="26.25" hidden="1" customHeight="1">
      <c r="A259" s="17">
        <f t="shared" si="1"/>
        <v>256</v>
      </c>
      <c r="B259" s="18" t="s">
        <v>105</v>
      </c>
      <c r="C259" s="31" t="s">
        <v>1663</v>
      </c>
      <c r="D259" s="19" t="s">
        <v>1664</v>
      </c>
      <c r="E259" s="20" t="s">
        <v>1665</v>
      </c>
      <c r="F259" s="32" t="s">
        <v>416</v>
      </c>
      <c r="G259" s="33" t="s">
        <v>53</v>
      </c>
      <c r="H259" s="23" t="s">
        <v>1666</v>
      </c>
      <c r="I259" s="24" t="s">
        <v>55</v>
      </c>
      <c r="J259" s="1" t="str">
        <f t="shared" si="0"/>
        <v/>
      </c>
      <c r="K259" s="1"/>
      <c r="L259" s="1"/>
      <c r="M259" s="130">
        <v>256</v>
      </c>
      <c r="N259" s="130" t="s">
        <v>4617</v>
      </c>
      <c r="O259" s="131" t="s">
        <v>4735</v>
      </c>
      <c r="P259" s="130" t="s">
        <v>4733</v>
      </c>
      <c r="Q259" s="130" t="s">
        <v>4320</v>
      </c>
      <c r="R259" s="130">
        <v>3</v>
      </c>
      <c r="S259" s="129"/>
      <c r="T259" s="130" t="s">
        <v>4736</v>
      </c>
      <c r="U259" s="129"/>
      <c r="V259" s="129"/>
      <c r="W259" s="129"/>
      <c r="X259" s="129" t="s">
        <v>21</v>
      </c>
    </row>
    <row r="260" spans="1:24" ht="26.25" hidden="1" customHeight="1">
      <c r="A260" s="17">
        <f t="shared" si="1"/>
        <v>257</v>
      </c>
      <c r="B260" s="18" t="s">
        <v>132</v>
      </c>
      <c r="C260" s="19" t="s">
        <v>1670</v>
      </c>
      <c r="D260" s="19" t="s">
        <v>1671</v>
      </c>
      <c r="E260" s="20" t="s">
        <v>1672</v>
      </c>
      <c r="F260" s="21" t="s">
        <v>135</v>
      </c>
      <c r="G260" s="22" t="s">
        <v>42</v>
      </c>
      <c r="H260" s="23" t="s">
        <v>1673</v>
      </c>
      <c r="I260" s="24" t="s">
        <v>20</v>
      </c>
      <c r="J260" s="1" t="str">
        <f t="shared" si="0"/>
        <v>FRIC</v>
      </c>
      <c r="K260" s="1"/>
      <c r="L260" s="1"/>
      <c r="M260" s="130">
        <v>257</v>
      </c>
      <c r="N260" s="130" t="s">
        <v>4617</v>
      </c>
      <c r="O260" s="131" t="s">
        <v>4737</v>
      </c>
      <c r="P260" s="130" t="s">
        <v>4738</v>
      </c>
      <c r="Q260" s="130" t="s">
        <v>16</v>
      </c>
      <c r="R260" s="130">
        <v>12</v>
      </c>
      <c r="S260" s="129"/>
      <c r="T260" s="130" t="s">
        <v>4739</v>
      </c>
      <c r="U260" s="129"/>
      <c r="V260" s="129"/>
      <c r="W260" s="129"/>
      <c r="X260" s="129" t="s">
        <v>21</v>
      </c>
    </row>
    <row r="261" spans="1:24" ht="26.25" hidden="1" customHeight="1">
      <c r="A261" s="17">
        <f t="shared" si="1"/>
        <v>258</v>
      </c>
      <c r="B261" s="18" t="s">
        <v>105</v>
      </c>
      <c r="C261" s="31" t="s">
        <v>1676</v>
      </c>
      <c r="D261" s="19" t="s">
        <v>1664</v>
      </c>
      <c r="E261" s="20" t="s">
        <v>1677</v>
      </c>
      <c r="F261" s="32" t="s">
        <v>1678</v>
      </c>
      <c r="G261" s="33" t="s">
        <v>42</v>
      </c>
      <c r="H261" s="23" t="s">
        <v>1679</v>
      </c>
      <c r="I261" s="24" t="s">
        <v>55</v>
      </c>
      <c r="J261" s="1" t="str">
        <f t="shared" si="0"/>
        <v/>
      </c>
      <c r="K261" s="1"/>
      <c r="L261" s="1"/>
      <c r="M261" s="130">
        <v>258</v>
      </c>
      <c r="N261" s="130" t="s">
        <v>4617</v>
      </c>
      <c r="O261" s="131" t="s">
        <v>4740</v>
      </c>
      <c r="P261" s="130" t="s">
        <v>4741</v>
      </c>
      <c r="Q261" s="130" t="s">
        <v>862</v>
      </c>
      <c r="R261" s="130">
        <v>12</v>
      </c>
      <c r="S261" s="129"/>
      <c r="T261" s="130" t="s">
        <v>4742</v>
      </c>
      <c r="U261" s="129"/>
      <c r="V261" s="129"/>
      <c r="W261" s="129"/>
      <c r="X261" s="129" t="s">
        <v>21</v>
      </c>
    </row>
    <row r="262" spans="1:24" ht="26.25" hidden="1" customHeight="1">
      <c r="A262" s="17">
        <f t="shared" si="1"/>
        <v>259</v>
      </c>
      <c r="B262" s="18" t="s">
        <v>27</v>
      </c>
      <c r="C262" s="19" t="s">
        <v>1682</v>
      </c>
      <c r="D262" s="19" t="s">
        <v>1683</v>
      </c>
      <c r="E262" s="20" t="s">
        <v>1684</v>
      </c>
      <c r="F262" s="21" t="s">
        <v>135</v>
      </c>
      <c r="G262" s="22" t="s">
        <v>42</v>
      </c>
      <c r="H262" s="23" t="s">
        <v>1685</v>
      </c>
      <c r="I262" s="24" t="s">
        <v>20</v>
      </c>
      <c r="J262" s="1" t="str">
        <f t="shared" si="0"/>
        <v>FRIC</v>
      </c>
      <c r="K262" s="1"/>
      <c r="L262" s="1"/>
      <c r="M262" s="130">
        <v>259</v>
      </c>
      <c r="N262" s="130" t="s">
        <v>4617</v>
      </c>
      <c r="O262" s="131" t="s">
        <v>1426</v>
      </c>
      <c r="P262" s="130" t="s">
        <v>4743</v>
      </c>
      <c r="Q262" s="130" t="s">
        <v>1428</v>
      </c>
      <c r="R262" s="130">
        <v>4</v>
      </c>
      <c r="S262" s="129"/>
      <c r="T262" s="130" t="s">
        <v>4744</v>
      </c>
      <c r="U262" s="129"/>
      <c r="V262" s="129"/>
      <c r="W262" s="129"/>
      <c r="X262" s="129" t="s">
        <v>21</v>
      </c>
    </row>
    <row r="263" spans="1:24" ht="26.25" hidden="1" customHeight="1">
      <c r="A263" s="17">
        <f t="shared" si="1"/>
        <v>260</v>
      </c>
      <c r="B263" s="18" t="s">
        <v>81</v>
      </c>
      <c r="C263" s="31" t="s">
        <v>1688</v>
      </c>
      <c r="D263" s="19" t="s">
        <v>181</v>
      </c>
      <c r="E263" s="20" t="s">
        <v>930</v>
      </c>
      <c r="F263" s="32" t="s">
        <v>170</v>
      </c>
      <c r="G263" s="33" t="s">
        <v>42</v>
      </c>
      <c r="H263" s="23" t="s">
        <v>1689</v>
      </c>
      <c r="I263" s="24" t="s">
        <v>55</v>
      </c>
      <c r="J263" s="1" t="str">
        <f t="shared" si="0"/>
        <v/>
      </c>
      <c r="K263" s="1"/>
      <c r="L263" s="1"/>
      <c r="M263" s="130">
        <v>260</v>
      </c>
      <c r="N263" s="130" t="s">
        <v>4617</v>
      </c>
      <c r="O263" s="131" t="s">
        <v>4745</v>
      </c>
      <c r="P263" s="130" t="s">
        <v>4733</v>
      </c>
      <c r="Q263" s="130" t="s">
        <v>2051</v>
      </c>
      <c r="R263" s="130">
        <v>12</v>
      </c>
      <c r="S263" s="129"/>
      <c r="T263" s="130" t="s">
        <v>4746</v>
      </c>
      <c r="U263" s="129"/>
      <c r="V263" s="129"/>
      <c r="W263" s="129"/>
      <c r="X263" s="129" t="s">
        <v>21</v>
      </c>
    </row>
    <row r="264" spans="1:24" ht="26.25" hidden="1" customHeight="1">
      <c r="A264" s="17">
        <f t="shared" si="1"/>
        <v>261</v>
      </c>
      <c r="B264" s="18" t="s">
        <v>81</v>
      </c>
      <c r="C264" s="31" t="s">
        <v>1692</v>
      </c>
      <c r="D264" s="19" t="s">
        <v>1693</v>
      </c>
      <c r="E264" s="20" t="s">
        <v>1694</v>
      </c>
      <c r="F264" s="32" t="s">
        <v>1695</v>
      </c>
      <c r="G264" s="33" t="s">
        <v>1290</v>
      </c>
      <c r="H264" s="23" t="s">
        <v>1696</v>
      </c>
      <c r="I264" s="24" t="s">
        <v>55</v>
      </c>
      <c r="J264" s="1" t="str">
        <f t="shared" si="0"/>
        <v/>
      </c>
      <c r="K264" s="1"/>
      <c r="L264" s="1"/>
      <c r="M264" s="130">
        <v>261</v>
      </c>
      <c r="N264" s="130" t="s">
        <v>4617</v>
      </c>
      <c r="O264" s="131" t="s">
        <v>4747</v>
      </c>
      <c r="P264" s="130" t="s">
        <v>4748</v>
      </c>
      <c r="Q264" s="132" t="s">
        <v>2301</v>
      </c>
      <c r="R264" s="130">
        <v>12</v>
      </c>
      <c r="S264" s="129"/>
      <c r="T264" s="130" t="s">
        <v>4749</v>
      </c>
      <c r="U264" s="129"/>
      <c r="V264" s="129"/>
      <c r="W264" s="129"/>
      <c r="X264" s="129" t="s">
        <v>21</v>
      </c>
    </row>
    <row r="265" spans="1:24" ht="26.25" hidden="1" customHeight="1">
      <c r="A265" s="17">
        <f t="shared" si="1"/>
        <v>262</v>
      </c>
      <c r="B265" s="18" t="s">
        <v>27</v>
      </c>
      <c r="C265" s="31" t="s">
        <v>1699</v>
      </c>
      <c r="D265" s="19" t="s">
        <v>1700</v>
      </c>
      <c r="E265" s="20" t="s">
        <v>1701</v>
      </c>
      <c r="F265" s="32" t="s">
        <v>1702</v>
      </c>
      <c r="G265" s="22" t="s">
        <v>42</v>
      </c>
      <c r="H265" s="23" t="s">
        <v>1703</v>
      </c>
      <c r="I265" s="24" t="s">
        <v>55</v>
      </c>
      <c r="J265" s="1" t="str">
        <f t="shared" si="0"/>
        <v/>
      </c>
      <c r="K265" s="1"/>
      <c r="L265" s="1"/>
      <c r="M265" s="130">
        <v>262</v>
      </c>
      <c r="N265" s="130" t="s">
        <v>4617</v>
      </c>
      <c r="O265" s="131" t="s">
        <v>4750</v>
      </c>
      <c r="P265" s="130" t="s">
        <v>4748</v>
      </c>
      <c r="Q265" s="130" t="s">
        <v>3564</v>
      </c>
      <c r="R265" s="130">
        <v>12</v>
      </c>
      <c r="S265" s="129"/>
      <c r="T265" s="130" t="s">
        <v>4412</v>
      </c>
      <c r="U265" s="141" t="s">
        <v>4751</v>
      </c>
      <c r="V265" s="129"/>
      <c r="W265" s="129"/>
      <c r="X265" s="129" t="s">
        <v>21</v>
      </c>
    </row>
    <row r="266" spans="1:24" ht="26.25" hidden="1" customHeight="1">
      <c r="A266" s="17">
        <f t="shared" si="1"/>
        <v>263</v>
      </c>
      <c r="B266" s="18" t="s">
        <v>37</v>
      </c>
      <c r="C266" s="31" t="s">
        <v>1707</v>
      </c>
      <c r="D266" s="19" t="s">
        <v>271</v>
      </c>
      <c r="E266" s="20" t="s">
        <v>1708</v>
      </c>
      <c r="F266" s="32">
        <v>2010</v>
      </c>
      <c r="G266" s="22" t="s">
        <v>42</v>
      </c>
      <c r="H266" s="23" t="s">
        <v>1709</v>
      </c>
      <c r="I266" s="24" t="s">
        <v>55</v>
      </c>
      <c r="J266" s="1" t="str">
        <f t="shared" si="0"/>
        <v/>
      </c>
      <c r="K266" s="1"/>
      <c r="L266" s="1"/>
      <c r="M266" s="130">
        <v>263</v>
      </c>
      <c r="N266" s="130" t="s">
        <v>4617</v>
      </c>
      <c r="O266" s="131" t="s">
        <v>2630</v>
      </c>
      <c r="P266" s="130" t="s">
        <v>4689</v>
      </c>
      <c r="Q266" s="130" t="s">
        <v>2632</v>
      </c>
      <c r="R266" s="130">
        <v>12</v>
      </c>
      <c r="S266" s="129"/>
      <c r="T266" s="130" t="s">
        <v>4752</v>
      </c>
      <c r="U266" s="129"/>
      <c r="V266" s="129"/>
      <c r="W266" s="129"/>
      <c r="X266" s="129" t="s">
        <v>21</v>
      </c>
    </row>
    <row r="267" spans="1:24" ht="26.25" hidden="1" customHeight="1">
      <c r="A267" s="17">
        <f t="shared" si="1"/>
        <v>264</v>
      </c>
      <c r="B267" s="18" t="s">
        <v>132</v>
      </c>
      <c r="C267" s="19" t="s">
        <v>1712</v>
      </c>
      <c r="D267" s="19" t="s">
        <v>124</v>
      </c>
      <c r="E267" s="20" t="s">
        <v>1713</v>
      </c>
      <c r="F267" s="21" t="s">
        <v>135</v>
      </c>
      <c r="G267" s="22" t="s">
        <v>42</v>
      </c>
      <c r="H267" s="23" t="s">
        <v>1714</v>
      </c>
      <c r="I267" s="24" t="s">
        <v>20</v>
      </c>
      <c r="J267" s="1" t="str">
        <f t="shared" si="0"/>
        <v>FRIC</v>
      </c>
      <c r="K267" s="1"/>
      <c r="L267" s="1"/>
      <c r="M267" s="130">
        <v>264</v>
      </c>
      <c r="N267" s="130" t="s">
        <v>4617</v>
      </c>
      <c r="O267" s="131" t="s">
        <v>4753</v>
      </c>
      <c r="P267" s="130" t="s">
        <v>4754</v>
      </c>
      <c r="Q267" s="130" t="s">
        <v>3122</v>
      </c>
      <c r="R267" s="130">
        <v>3</v>
      </c>
      <c r="S267" s="129"/>
      <c r="T267" s="130" t="s">
        <v>4755</v>
      </c>
      <c r="U267" s="129"/>
      <c r="V267" s="129"/>
      <c r="W267" s="129"/>
      <c r="X267" s="129" t="s">
        <v>21</v>
      </c>
    </row>
    <row r="268" spans="1:24" ht="26.25" hidden="1" customHeight="1">
      <c r="A268" s="17">
        <f t="shared" si="1"/>
        <v>265</v>
      </c>
      <c r="B268" s="18" t="s">
        <v>81</v>
      </c>
      <c r="C268" s="31" t="s">
        <v>1718</v>
      </c>
      <c r="D268" s="19" t="s">
        <v>124</v>
      </c>
      <c r="E268" s="20" t="s">
        <v>1719</v>
      </c>
      <c r="F268" s="32" t="s">
        <v>1720</v>
      </c>
      <c r="G268" s="33" t="s">
        <v>42</v>
      </c>
      <c r="H268" s="23" t="s">
        <v>1721</v>
      </c>
      <c r="I268" s="24" t="s">
        <v>55</v>
      </c>
      <c r="J268" s="1" t="str">
        <f t="shared" si="0"/>
        <v/>
      </c>
      <c r="K268" s="1"/>
      <c r="L268" s="1"/>
      <c r="M268" s="130">
        <v>265</v>
      </c>
      <c r="N268" s="130" t="s">
        <v>4617</v>
      </c>
      <c r="O268" s="131" t="s">
        <v>4756</v>
      </c>
      <c r="P268" s="130" t="s">
        <v>4757</v>
      </c>
      <c r="Q268" s="130" t="s">
        <v>910</v>
      </c>
      <c r="R268" s="130">
        <v>12</v>
      </c>
      <c r="S268" s="129"/>
      <c r="T268" s="130" t="s">
        <v>4758</v>
      </c>
      <c r="U268" s="129"/>
      <c r="V268" s="129"/>
      <c r="W268" s="129"/>
      <c r="X268" s="129" t="s">
        <v>21</v>
      </c>
    </row>
    <row r="269" spans="1:24" ht="26.25" hidden="1" customHeight="1">
      <c r="A269" s="17">
        <f t="shared" si="1"/>
        <v>266</v>
      </c>
      <c r="B269" s="18" t="s">
        <v>81</v>
      </c>
      <c r="C269" s="31" t="s">
        <v>1724</v>
      </c>
      <c r="D269" s="19" t="s">
        <v>277</v>
      </c>
      <c r="E269" s="20" t="s">
        <v>1725</v>
      </c>
      <c r="F269" s="32" t="s">
        <v>1726</v>
      </c>
      <c r="G269" s="33" t="s">
        <v>42</v>
      </c>
      <c r="H269" s="23" t="s">
        <v>1727</v>
      </c>
      <c r="I269" s="24" t="s">
        <v>55</v>
      </c>
      <c r="J269" s="1" t="str">
        <f t="shared" si="0"/>
        <v/>
      </c>
      <c r="K269" s="1"/>
      <c r="L269" s="1"/>
      <c r="M269" s="130">
        <v>266</v>
      </c>
      <c r="N269" s="130" t="s">
        <v>4617</v>
      </c>
      <c r="O269" s="131" t="s">
        <v>4759</v>
      </c>
      <c r="P269" s="130" t="s">
        <v>4760</v>
      </c>
      <c r="Q269" s="130" t="s">
        <v>3572</v>
      </c>
      <c r="R269" s="130">
        <v>12</v>
      </c>
      <c r="S269" s="129"/>
      <c r="T269" s="130" t="s">
        <v>4389</v>
      </c>
      <c r="U269" s="129"/>
      <c r="V269" s="129"/>
      <c r="W269" s="129"/>
      <c r="X269" s="129" t="s">
        <v>21</v>
      </c>
    </row>
    <row r="270" spans="1:24" ht="26.25" hidden="1" customHeight="1">
      <c r="A270" s="17">
        <f t="shared" si="1"/>
        <v>267</v>
      </c>
      <c r="B270" s="18" t="s">
        <v>248</v>
      </c>
      <c r="C270" s="19" t="s">
        <v>1730</v>
      </c>
      <c r="D270" s="19" t="s">
        <v>124</v>
      </c>
      <c r="E270" s="20" t="s">
        <v>1731</v>
      </c>
      <c r="F270" s="21" t="s">
        <v>1732</v>
      </c>
      <c r="G270" s="33" t="s">
        <v>42</v>
      </c>
      <c r="H270" s="23" t="s">
        <v>1733</v>
      </c>
      <c r="I270" s="24" t="s">
        <v>20</v>
      </c>
      <c r="J270" s="1" t="str">
        <f t="shared" si="0"/>
        <v>FRIC</v>
      </c>
      <c r="K270" s="1"/>
      <c r="L270" s="1"/>
      <c r="M270" s="130">
        <v>267</v>
      </c>
      <c r="N270" s="130" t="s">
        <v>4617</v>
      </c>
      <c r="O270" s="131" t="s">
        <v>3583</v>
      </c>
      <c r="P270" s="130" t="s">
        <v>4761</v>
      </c>
      <c r="Q270" s="130" t="s">
        <v>3585</v>
      </c>
      <c r="R270" s="130">
        <v>12</v>
      </c>
      <c r="S270" s="129"/>
      <c r="T270" s="130" t="s">
        <v>4341</v>
      </c>
      <c r="U270" s="129"/>
      <c r="V270" s="129"/>
      <c r="W270" s="129"/>
      <c r="X270" s="129" t="s">
        <v>21</v>
      </c>
    </row>
    <row r="271" spans="1:24" ht="26.25" hidden="1" customHeight="1">
      <c r="A271" s="17">
        <f t="shared" si="1"/>
        <v>268</v>
      </c>
      <c r="B271" s="18" t="s">
        <v>248</v>
      </c>
      <c r="C271" s="19" t="s">
        <v>1736</v>
      </c>
      <c r="D271" s="19" t="s">
        <v>124</v>
      </c>
      <c r="E271" s="20" t="s">
        <v>1737</v>
      </c>
      <c r="F271" s="21" t="s">
        <v>135</v>
      </c>
      <c r="G271" s="33" t="s">
        <v>42</v>
      </c>
      <c r="H271" s="23" t="s">
        <v>1738</v>
      </c>
      <c r="I271" s="24" t="s">
        <v>20</v>
      </c>
      <c r="J271" s="1" t="str">
        <f t="shared" si="0"/>
        <v>FRIC</v>
      </c>
      <c r="K271" s="1"/>
      <c r="L271" s="1"/>
      <c r="M271" s="132">
        <v>268</v>
      </c>
      <c r="N271" s="130" t="s">
        <v>4617</v>
      </c>
      <c r="O271" s="131" t="s">
        <v>4762</v>
      </c>
      <c r="P271" s="130" t="s">
        <v>4763</v>
      </c>
      <c r="Q271" s="130" t="s">
        <v>3597</v>
      </c>
      <c r="R271" s="130">
        <v>6</v>
      </c>
      <c r="S271" s="129"/>
      <c r="T271" s="130" t="s">
        <v>4670</v>
      </c>
      <c r="U271" s="129"/>
      <c r="V271" s="129"/>
      <c r="W271" s="129"/>
      <c r="X271" s="129" t="s">
        <v>21</v>
      </c>
    </row>
    <row r="272" spans="1:24" ht="26.25" hidden="1" customHeight="1">
      <c r="A272" s="17">
        <f t="shared" si="1"/>
        <v>269</v>
      </c>
      <c r="B272" s="18" t="s">
        <v>132</v>
      </c>
      <c r="C272" s="19" t="s">
        <v>1743</v>
      </c>
      <c r="D272" s="19" t="s">
        <v>141</v>
      </c>
      <c r="E272" s="20" t="s">
        <v>1744</v>
      </c>
      <c r="F272" s="21" t="s">
        <v>135</v>
      </c>
      <c r="G272" s="22" t="s">
        <v>42</v>
      </c>
      <c r="H272" s="23" t="s">
        <v>1745</v>
      </c>
      <c r="I272" s="24" t="s">
        <v>20</v>
      </c>
      <c r="J272" s="1" t="str">
        <f t="shared" si="0"/>
        <v>FRIC</v>
      </c>
      <c r="K272" s="1"/>
      <c r="L272" s="1"/>
      <c r="M272" s="143"/>
      <c r="N272" s="129"/>
      <c r="O272" s="129"/>
      <c r="P272" s="129"/>
      <c r="Q272" s="129"/>
      <c r="R272" s="129"/>
      <c r="S272" s="129"/>
      <c r="T272" s="130" t="s">
        <v>4764</v>
      </c>
      <c r="U272" s="129"/>
      <c r="V272" s="129"/>
      <c r="W272" s="129"/>
      <c r="X272" s="129"/>
    </row>
    <row r="273" spans="1:24" ht="26.25" hidden="1" customHeight="1">
      <c r="A273" s="17">
        <f t="shared" si="1"/>
        <v>270</v>
      </c>
      <c r="B273" s="18" t="s">
        <v>132</v>
      </c>
      <c r="C273" s="19" t="s">
        <v>1748</v>
      </c>
      <c r="D273" s="19" t="s">
        <v>141</v>
      </c>
      <c r="E273" s="20" t="s">
        <v>1749</v>
      </c>
      <c r="F273" s="21" t="s">
        <v>905</v>
      </c>
      <c r="G273" s="22" t="s">
        <v>42</v>
      </c>
      <c r="H273" s="23" t="s">
        <v>1750</v>
      </c>
      <c r="I273" s="24" t="s">
        <v>20</v>
      </c>
      <c r="J273" s="1" t="str">
        <f t="shared" si="0"/>
        <v>FRIC</v>
      </c>
      <c r="K273" s="1"/>
      <c r="L273" s="1"/>
      <c r="M273" s="143"/>
      <c r="N273" s="137" t="s">
        <v>4765</v>
      </c>
      <c r="O273" s="137" t="s">
        <v>4766</v>
      </c>
      <c r="P273" s="137" t="s">
        <v>4767</v>
      </c>
      <c r="Q273" s="137" t="s">
        <v>6</v>
      </c>
      <c r="R273" s="137" t="s">
        <v>4768</v>
      </c>
      <c r="S273" s="137" t="s">
        <v>4334</v>
      </c>
      <c r="T273" s="137" t="s">
        <v>4769</v>
      </c>
      <c r="U273" s="144" t="s">
        <v>4770</v>
      </c>
      <c r="V273" s="143"/>
      <c r="W273" s="143"/>
      <c r="X273" s="143"/>
    </row>
    <row r="274" spans="1:24" ht="26.25" hidden="1" customHeight="1">
      <c r="A274" s="17">
        <f t="shared" si="1"/>
        <v>271</v>
      </c>
      <c r="B274" s="18" t="s">
        <v>132</v>
      </c>
      <c r="C274" s="31" t="s">
        <v>1753</v>
      </c>
      <c r="D274" s="19" t="s">
        <v>1754</v>
      </c>
      <c r="E274" s="20" t="s">
        <v>1755</v>
      </c>
      <c r="F274" s="32" t="s">
        <v>1756</v>
      </c>
      <c r="G274" s="22" t="s">
        <v>53</v>
      </c>
      <c r="H274" s="23" t="s">
        <v>1757</v>
      </c>
      <c r="I274" s="24" t="s">
        <v>55</v>
      </c>
      <c r="J274" s="1" t="str">
        <f t="shared" si="0"/>
        <v/>
      </c>
      <c r="K274" s="1"/>
      <c r="L274" s="1"/>
      <c r="M274" s="145">
        <v>1</v>
      </c>
      <c r="N274" s="137" t="s">
        <v>4617</v>
      </c>
      <c r="O274" s="137" t="s">
        <v>3760</v>
      </c>
      <c r="P274" s="137" t="s">
        <v>4771</v>
      </c>
      <c r="Q274" s="137" t="s">
        <v>3762</v>
      </c>
      <c r="R274" s="137" t="s">
        <v>25</v>
      </c>
      <c r="S274" s="129"/>
      <c r="T274" s="137" t="s">
        <v>4772</v>
      </c>
      <c r="U274" s="143"/>
      <c r="V274" s="143"/>
      <c r="W274" s="143"/>
      <c r="X274" s="143" t="s">
        <v>87</v>
      </c>
    </row>
    <row r="275" spans="1:24" ht="26.25" hidden="1" customHeight="1">
      <c r="A275" s="17">
        <f t="shared" si="1"/>
        <v>272</v>
      </c>
      <c r="B275" s="18" t="s">
        <v>132</v>
      </c>
      <c r="C275" s="31" t="s">
        <v>391</v>
      </c>
      <c r="D275" s="19" t="s">
        <v>722</v>
      </c>
      <c r="E275" s="20" t="s">
        <v>392</v>
      </c>
      <c r="F275" s="32" t="s">
        <v>1761</v>
      </c>
      <c r="G275" s="22" t="s">
        <v>42</v>
      </c>
      <c r="H275" s="23" t="s">
        <v>1762</v>
      </c>
      <c r="I275" s="24" t="s">
        <v>55</v>
      </c>
      <c r="J275" s="1" t="str">
        <f t="shared" si="0"/>
        <v/>
      </c>
      <c r="K275" s="1"/>
      <c r="L275" s="1"/>
      <c r="M275" s="145">
        <v>2</v>
      </c>
      <c r="N275" s="137" t="s">
        <v>4617</v>
      </c>
      <c r="O275" s="137" t="s">
        <v>4773</v>
      </c>
      <c r="P275" s="137" t="s">
        <v>4774</v>
      </c>
      <c r="Q275" s="137" t="s">
        <v>3838</v>
      </c>
      <c r="R275" s="137" t="s">
        <v>36</v>
      </c>
      <c r="S275" s="129"/>
      <c r="T275" s="137" t="s">
        <v>4775</v>
      </c>
      <c r="U275" s="143"/>
      <c r="V275" s="143"/>
      <c r="W275" s="143"/>
      <c r="X275" s="143" t="s">
        <v>87</v>
      </c>
    </row>
    <row r="276" spans="1:24" ht="26.25" hidden="1" customHeight="1">
      <c r="A276" s="17">
        <f t="shared" si="1"/>
        <v>273</v>
      </c>
      <c r="B276" s="18" t="s">
        <v>105</v>
      </c>
      <c r="C276" s="19" t="s">
        <v>1765</v>
      </c>
      <c r="D276" s="19" t="s">
        <v>124</v>
      </c>
      <c r="E276" s="20" t="s">
        <v>1766</v>
      </c>
      <c r="F276" s="21" t="s">
        <v>1011</v>
      </c>
      <c r="G276" s="33" t="s">
        <v>1290</v>
      </c>
      <c r="H276" s="23" t="s">
        <v>1767</v>
      </c>
      <c r="I276" s="24" t="s">
        <v>20</v>
      </c>
      <c r="J276" s="1" t="str">
        <f t="shared" si="0"/>
        <v>FRIC</v>
      </c>
      <c r="K276" s="1"/>
      <c r="L276" s="1"/>
      <c r="M276" s="145">
        <v>3</v>
      </c>
      <c r="N276" s="137" t="s">
        <v>4617</v>
      </c>
      <c r="O276" s="137" t="s">
        <v>4776</v>
      </c>
      <c r="P276" s="137" t="s">
        <v>4777</v>
      </c>
      <c r="Q276" s="137" t="s">
        <v>3905</v>
      </c>
      <c r="R276" s="137" t="s">
        <v>25</v>
      </c>
      <c r="S276" s="129"/>
      <c r="T276" s="137" t="s">
        <v>4778</v>
      </c>
      <c r="U276" s="143"/>
      <c r="V276" s="143"/>
      <c r="W276" s="143"/>
      <c r="X276" s="143" t="s">
        <v>87</v>
      </c>
    </row>
    <row r="277" spans="1:24" ht="26.25" hidden="1" customHeight="1">
      <c r="A277" s="17">
        <f t="shared" si="1"/>
        <v>274</v>
      </c>
      <c r="B277" s="18" t="s">
        <v>132</v>
      </c>
      <c r="C277" s="31" t="s">
        <v>1041</v>
      </c>
      <c r="D277" s="19" t="s">
        <v>1042</v>
      </c>
      <c r="E277" s="20" t="s">
        <v>1043</v>
      </c>
      <c r="F277" s="32" t="s">
        <v>170</v>
      </c>
      <c r="G277" s="22" t="s">
        <v>31</v>
      </c>
      <c r="H277" s="23" t="s">
        <v>1771</v>
      </c>
      <c r="I277" s="24" t="s">
        <v>55</v>
      </c>
      <c r="J277" s="1" t="str">
        <f t="shared" si="0"/>
        <v/>
      </c>
      <c r="K277" s="1"/>
      <c r="L277" s="1"/>
      <c r="M277" s="145">
        <v>4</v>
      </c>
      <c r="N277" s="137" t="s">
        <v>4617</v>
      </c>
      <c r="O277" s="137" t="s">
        <v>4779</v>
      </c>
      <c r="P277" s="137" t="s">
        <v>4780</v>
      </c>
      <c r="Q277" s="137" t="s">
        <v>1969</v>
      </c>
      <c r="R277" s="137" t="s">
        <v>25</v>
      </c>
      <c r="S277" s="129"/>
      <c r="T277" s="137" t="s">
        <v>4781</v>
      </c>
      <c r="U277" s="143"/>
      <c r="V277" s="143"/>
      <c r="W277" s="143"/>
      <c r="X277" s="143" t="s">
        <v>87</v>
      </c>
    </row>
    <row r="278" spans="1:24" ht="26.25" hidden="1" customHeight="1">
      <c r="A278" s="17">
        <f t="shared" si="1"/>
        <v>275</v>
      </c>
      <c r="B278" s="18" t="s">
        <v>81</v>
      </c>
      <c r="C278" s="31" t="s">
        <v>1775</v>
      </c>
      <c r="D278" s="19" t="s">
        <v>1776</v>
      </c>
      <c r="E278" s="20" t="s">
        <v>1777</v>
      </c>
      <c r="F278" s="32" t="s">
        <v>222</v>
      </c>
      <c r="G278" s="33" t="s">
        <v>42</v>
      </c>
      <c r="H278" s="23" t="s">
        <v>1778</v>
      </c>
      <c r="I278" s="24" t="s">
        <v>55</v>
      </c>
      <c r="J278" s="1" t="str">
        <f t="shared" si="0"/>
        <v/>
      </c>
      <c r="K278" s="1"/>
      <c r="L278" s="1"/>
      <c r="M278" s="145">
        <v>5</v>
      </c>
      <c r="N278" s="137" t="s">
        <v>4617</v>
      </c>
      <c r="O278" s="137" t="s">
        <v>3912</v>
      </c>
      <c r="P278" s="137" t="s">
        <v>4782</v>
      </c>
      <c r="Q278" s="137" t="s">
        <v>3914</v>
      </c>
      <c r="R278" s="137" t="s">
        <v>47</v>
      </c>
      <c r="S278" s="129"/>
      <c r="T278" s="137" t="s">
        <v>4783</v>
      </c>
      <c r="U278" s="143"/>
      <c r="V278" s="143"/>
      <c r="W278" s="143"/>
      <c r="X278" s="143" t="s">
        <v>87</v>
      </c>
    </row>
    <row r="279" spans="1:24" ht="26.25" customHeight="1">
      <c r="A279" s="17">
        <f t="shared" si="1"/>
        <v>276</v>
      </c>
      <c r="B279" s="18" t="s">
        <v>81</v>
      </c>
      <c r="C279" s="31" t="s">
        <v>1782</v>
      </c>
      <c r="D279" s="19" t="s">
        <v>1783</v>
      </c>
      <c r="E279" s="20" t="s">
        <v>1784</v>
      </c>
      <c r="F279" s="21" t="s">
        <v>293</v>
      </c>
      <c r="G279" s="33" t="s">
        <v>1086</v>
      </c>
      <c r="H279" s="23" t="s">
        <v>1785</v>
      </c>
      <c r="I279" s="34" t="s">
        <v>20</v>
      </c>
      <c r="J279" s="1" t="str">
        <f t="shared" si="0"/>
        <v>과기</v>
      </c>
      <c r="K279" s="25"/>
      <c r="L279" s="25"/>
      <c r="M279" s="146">
        <v>6</v>
      </c>
      <c r="N279" s="139" t="s">
        <v>4617</v>
      </c>
      <c r="O279" s="139" t="s">
        <v>4784</v>
      </c>
      <c r="P279" s="139" t="s">
        <v>4785</v>
      </c>
      <c r="Q279" s="139" t="s">
        <v>3936</v>
      </c>
      <c r="R279" s="139" t="s">
        <v>36</v>
      </c>
      <c r="S279" s="135"/>
      <c r="T279" s="139" t="s">
        <v>4786</v>
      </c>
      <c r="U279" s="147"/>
      <c r="V279" s="147"/>
      <c r="W279" s="147"/>
      <c r="X279" s="147" t="s">
        <v>87</v>
      </c>
    </row>
    <row r="280" spans="1:24" ht="26.25" hidden="1" customHeight="1">
      <c r="A280" s="17">
        <f t="shared" si="1"/>
        <v>277</v>
      </c>
      <c r="B280" s="18" t="s">
        <v>132</v>
      </c>
      <c r="C280" s="19" t="s">
        <v>1788</v>
      </c>
      <c r="D280" s="19" t="s">
        <v>1789</v>
      </c>
      <c r="E280" s="20" t="s">
        <v>1790</v>
      </c>
      <c r="F280" s="21" t="s">
        <v>135</v>
      </c>
      <c r="G280" s="22" t="s">
        <v>31</v>
      </c>
      <c r="H280" s="23" t="s">
        <v>1791</v>
      </c>
      <c r="I280" s="24" t="s">
        <v>20</v>
      </c>
      <c r="J280" s="1" t="str">
        <f t="shared" si="0"/>
        <v>FRIC</v>
      </c>
      <c r="K280" s="1"/>
      <c r="L280" s="1"/>
      <c r="M280" s="145">
        <v>7</v>
      </c>
      <c r="N280" s="137" t="s">
        <v>4617</v>
      </c>
      <c r="O280" s="137" t="s">
        <v>4787</v>
      </c>
      <c r="P280" s="137" t="s">
        <v>4788</v>
      </c>
      <c r="Q280" s="137" t="s">
        <v>3948</v>
      </c>
      <c r="R280" s="137" t="s">
        <v>36</v>
      </c>
      <c r="S280" s="129"/>
      <c r="T280" s="137" t="s">
        <v>4789</v>
      </c>
      <c r="U280" s="143"/>
      <c r="V280" s="143"/>
      <c r="W280" s="143"/>
      <c r="X280" s="143" t="s">
        <v>87</v>
      </c>
    </row>
    <row r="281" spans="1:24" ht="26.25" hidden="1" customHeight="1">
      <c r="A281" s="17">
        <f t="shared" si="1"/>
        <v>278</v>
      </c>
      <c r="B281" s="18" t="s">
        <v>248</v>
      </c>
      <c r="C281" s="31" t="s">
        <v>1047</v>
      </c>
      <c r="D281" s="19" t="s">
        <v>1789</v>
      </c>
      <c r="E281" s="20" t="s">
        <v>1048</v>
      </c>
      <c r="F281" s="32" t="s">
        <v>962</v>
      </c>
      <c r="G281" s="33" t="s">
        <v>53</v>
      </c>
      <c r="H281" s="23" t="s">
        <v>1795</v>
      </c>
      <c r="I281" s="24" t="s">
        <v>55</v>
      </c>
      <c r="J281" s="1" t="str">
        <f t="shared" si="0"/>
        <v/>
      </c>
      <c r="K281" s="1"/>
      <c r="L281" s="1"/>
      <c r="M281" s="145">
        <v>8</v>
      </c>
      <c r="N281" s="137" t="s">
        <v>4617</v>
      </c>
      <c r="O281" s="137" t="s">
        <v>4790</v>
      </c>
      <c r="P281" s="137" t="s">
        <v>4791</v>
      </c>
      <c r="Q281" s="137" t="s">
        <v>3984</v>
      </c>
      <c r="R281" s="137" t="s">
        <v>1614</v>
      </c>
      <c r="S281" s="129"/>
      <c r="T281" s="137" t="s">
        <v>4792</v>
      </c>
      <c r="U281" s="143"/>
      <c r="V281" s="143"/>
      <c r="W281" s="143"/>
      <c r="X281" s="143" t="s">
        <v>87</v>
      </c>
    </row>
    <row r="282" spans="1:24" ht="26.25" hidden="1" customHeight="1">
      <c r="A282" s="17">
        <f t="shared" si="1"/>
        <v>279</v>
      </c>
      <c r="B282" s="18" t="s">
        <v>37</v>
      </c>
      <c r="C282" s="33" t="s">
        <v>1054</v>
      </c>
      <c r="D282" s="83" t="s">
        <v>1055</v>
      </c>
      <c r="E282" s="84" t="s">
        <v>1056</v>
      </c>
      <c r="F282" s="44">
        <v>2019</v>
      </c>
      <c r="G282" s="22" t="s">
        <v>42</v>
      </c>
      <c r="H282" s="59" t="s">
        <v>1799</v>
      </c>
      <c r="I282" s="24" t="s">
        <v>55</v>
      </c>
      <c r="J282" s="1" t="str">
        <f t="shared" si="0"/>
        <v/>
      </c>
      <c r="K282" s="1"/>
      <c r="L282" s="1"/>
      <c r="M282" s="145">
        <v>9</v>
      </c>
      <c r="N282" s="137" t="s">
        <v>4617</v>
      </c>
      <c r="O282" s="137" t="s">
        <v>4793</v>
      </c>
      <c r="P282" s="137" t="s">
        <v>4794</v>
      </c>
      <c r="Q282" s="137" t="s">
        <v>3996</v>
      </c>
      <c r="R282" s="137" t="s">
        <v>36</v>
      </c>
      <c r="S282" s="129"/>
      <c r="T282" s="137" t="s">
        <v>4795</v>
      </c>
      <c r="U282" s="143"/>
      <c r="V282" s="143"/>
      <c r="W282" s="143"/>
      <c r="X282" s="143" t="s">
        <v>87</v>
      </c>
    </row>
    <row r="283" spans="1:24" ht="26.25" hidden="1" customHeight="1">
      <c r="A283" s="17">
        <f t="shared" si="1"/>
        <v>280</v>
      </c>
      <c r="B283" s="18" t="s">
        <v>37</v>
      </c>
      <c r="C283" s="19" t="s">
        <v>1803</v>
      </c>
      <c r="D283" s="19" t="s">
        <v>1804</v>
      </c>
      <c r="E283" s="20" t="s">
        <v>1805</v>
      </c>
      <c r="F283" s="21" t="s">
        <v>905</v>
      </c>
      <c r="G283" s="22" t="s">
        <v>42</v>
      </c>
      <c r="H283" s="23" t="s">
        <v>1806</v>
      </c>
      <c r="I283" s="24" t="s">
        <v>20</v>
      </c>
      <c r="J283" s="1" t="str">
        <f t="shared" si="0"/>
        <v>FRIC</v>
      </c>
      <c r="K283" s="1"/>
      <c r="L283" s="1"/>
      <c r="M283" s="145">
        <v>10</v>
      </c>
      <c r="N283" s="137" t="s">
        <v>4617</v>
      </c>
      <c r="O283" s="137" t="s">
        <v>4796</v>
      </c>
      <c r="P283" s="137" t="s">
        <v>4797</v>
      </c>
      <c r="Q283" s="137" t="s">
        <v>4004</v>
      </c>
      <c r="R283" s="137" t="s">
        <v>25</v>
      </c>
      <c r="S283" s="129"/>
      <c r="T283" s="137" t="s">
        <v>4798</v>
      </c>
      <c r="U283" s="143"/>
      <c r="V283" s="143"/>
      <c r="W283" s="143"/>
      <c r="X283" s="143" t="s">
        <v>87</v>
      </c>
    </row>
    <row r="284" spans="1:24" ht="26.25" hidden="1" customHeight="1">
      <c r="A284" s="17">
        <f t="shared" si="1"/>
        <v>281</v>
      </c>
      <c r="B284" s="18" t="s">
        <v>132</v>
      </c>
      <c r="C284" s="31" t="s">
        <v>1061</v>
      </c>
      <c r="D284" s="19" t="s">
        <v>1789</v>
      </c>
      <c r="E284" s="20" t="s">
        <v>1062</v>
      </c>
      <c r="F284" s="32" t="s">
        <v>62</v>
      </c>
      <c r="G284" s="22" t="s">
        <v>53</v>
      </c>
      <c r="H284" s="23" t="s">
        <v>1810</v>
      </c>
      <c r="I284" s="24" t="s">
        <v>55</v>
      </c>
      <c r="J284" s="1" t="str">
        <f t="shared" si="0"/>
        <v/>
      </c>
      <c r="K284" s="1"/>
      <c r="L284" s="1"/>
      <c r="M284" s="145">
        <v>11</v>
      </c>
      <c r="N284" s="137" t="s">
        <v>4617</v>
      </c>
      <c r="O284" s="137" t="s">
        <v>4799</v>
      </c>
      <c r="P284" s="137" t="s">
        <v>4800</v>
      </c>
      <c r="Q284" s="137" t="s">
        <v>3919</v>
      </c>
      <c r="R284" s="137" t="s">
        <v>36</v>
      </c>
      <c r="S284" s="129"/>
      <c r="T284" s="137" t="s">
        <v>4801</v>
      </c>
      <c r="U284" s="143"/>
      <c r="V284" s="143"/>
      <c r="W284" s="143"/>
      <c r="X284" s="143" t="s">
        <v>87</v>
      </c>
    </row>
    <row r="285" spans="1:24" ht="26.25" hidden="1" customHeight="1">
      <c r="A285" s="17">
        <f t="shared" si="1"/>
        <v>282</v>
      </c>
      <c r="B285" s="18" t="s">
        <v>37</v>
      </c>
      <c r="C285" s="19" t="s">
        <v>1814</v>
      </c>
      <c r="D285" s="19" t="s">
        <v>1789</v>
      </c>
      <c r="E285" s="20" t="s">
        <v>1815</v>
      </c>
      <c r="F285" s="21" t="s">
        <v>905</v>
      </c>
      <c r="G285" s="22" t="s">
        <v>31</v>
      </c>
      <c r="H285" s="23" t="s">
        <v>1816</v>
      </c>
      <c r="I285" s="24" t="s">
        <v>20</v>
      </c>
      <c r="J285" s="1" t="str">
        <f t="shared" si="0"/>
        <v>FRIC</v>
      </c>
      <c r="K285" s="1"/>
      <c r="L285" s="1"/>
      <c r="M285" s="145">
        <v>12</v>
      </c>
      <c r="N285" s="137" t="s">
        <v>4617</v>
      </c>
      <c r="O285" s="137" t="s">
        <v>4074</v>
      </c>
      <c r="P285" s="137" t="s">
        <v>4802</v>
      </c>
      <c r="Q285" s="137" t="s">
        <v>4076</v>
      </c>
      <c r="R285" s="137" t="s">
        <v>36</v>
      </c>
      <c r="S285" s="129"/>
      <c r="T285" s="137" t="s">
        <v>4803</v>
      </c>
      <c r="U285" s="143"/>
      <c r="V285" s="143"/>
      <c r="W285" s="143"/>
      <c r="X285" s="143" t="s">
        <v>87</v>
      </c>
    </row>
    <row r="286" spans="1:24" ht="26.25" hidden="1" customHeight="1">
      <c r="A286" s="17">
        <f t="shared" si="1"/>
        <v>283</v>
      </c>
      <c r="B286" s="18" t="s">
        <v>146</v>
      </c>
      <c r="C286" s="19" t="s">
        <v>1820</v>
      </c>
      <c r="D286" s="19" t="s">
        <v>1821</v>
      </c>
      <c r="E286" s="20" t="s">
        <v>1822</v>
      </c>
      <c r="F286" s="21" t="s">
        <v>905</v>
      </c>
      <c r="G286" s="33" t="s">
        <v>42</v>
      </c>
      <c r="H286" s="23" t="s">
        <v>1823</v>
      </c>
      <c r="I286" s="24" t="s">
        <v>20</v>
      </c>
      <c r="J286" s="1" t="str">
        <f t="shared" si="0"/>
        <v>FRIC</v>
      </c>
      <c r="K286" s="1"/>
      <c r="L286" s="1"/>
      <c r="M286" s="145">
        <v>13</v>
      </c>
      <c r="N286" s="137" t="s">
        <v>4617</v>
      </c>
      <c r="O286" s="137" t="s">
        <v>4804</v>
      </c>
      <c r="P286" s="137" t="s">
        <v>407</v>
      </c>
      <c r="Q286" s="137" t="s">
        <v>4108</v>
      </c>
      <c r="R286" s="137" t="s">
        <v>36</v>
      </c>
      <c r="S286" s="129"/>
      <c r="T286" s="137" t="s">
        <v>4805</v>
      </c>
      <c r="U286" s="143"/>
      <c r="V286" s="143"/>
      <c r="W286" s="143"/>
      <c r="X286" s="143" t="s">
        <v>87</v>
      </c>
    </row>
    <row r="287" spans="1:24" ht="26.25" hidden="1" customHeight="1">
      <c r="A287" s="17">
        <f t="shared" si="1"/>
        <v>284</v>
      </c>
      <c r="B287" s="18" t="s">
        <v>132</v>
      </c>
      <c r="C287" s="31" t="s">
        <v>254</v>
      </c>
      <c r="D287" s="19" t="s">
        <v>124</v>
      </c>
      <c r="E287" s="20" t="s">
        <v>256</v>
      </c>
      <c r="F287" s="32" t="s">
        <v>62</v>
      </c>
      <c r="G287" s="22" t="s">
        <v>42</v>
      </c>
      <c r="H287" s="23" t="s">
        <v>1827</v>
      </c>
      <c r="I287" s="24" t="s">
        <v>55</v>
      </c>
      <c r="J287" s="1" t="str">
        <f t="shared" si="0"/>
        <v/>
      </c>
      <c r="K287" s="1"/>
      <c r="L287" s="1"/>
      <c r="M287" s="145">
        <v>14</v>
      </c>
      <c r="N287" s="137" t="s">
        <v>4617</v>
      </c>
      <c r="O287" s="137" t="s">
        <v>4806</v>
      </c>
      <c r="P287" s="137" t="s">
        <v>4807</v>
      </c>
      <c r="Q287" s="137" t="s">
        <v>4120</v>
      </c>
      <c r="R287" s="137" t="s">
        <v>25</v>
      </c>
      <c r="S287" s="129"/>
      <c r="T287" s="137" t="s">
        <v>4786</v>
      </c>
      <c r="U287" s="143"/>
      <c r="V287" s="143"/>
      <c r="W287" s="143"/>
      <c r="X287" s="143" t="s">
        <v>87</v>
      </c>
    </row>
    <row r="288" spans="1:24" ht="26.25" hidden="1" customHeight="1">
      <c r="A288" s="17">
        <f t="shared" si="1"/>
        <v>285</v>
      </c>
      <c r="B288" s="18" t="s">
        <v>27</v>
      </c>
      <c r="C288" s="19" t="s">
        <v>1831</v>
      </c>
      <c r="D288" s="19" t="s">
        <v>124</v>
      </c>
      <c r="E288" s="20" t="s">
        <v>1832</v>
      </c>
      <c r="F288" s="21" t="s">
        <v>905</v>
      </c>
      <c r="G288" s="22" t="s">
        <v>42</v>
      </c>
      <c r="H288" s="23" t="s">
        <v>1833</v>
      </c>
      <c r="I288" s="24" t="s">
        <v>20</v>
      </c>
      <c r="J288" s="1" t="str">
        <f t="shared" si="0"/>
        <v>FRIC</v>
      </c>
      <c r="K288" s="1"/>
      <c r="L288" s="1"/>
      <c r="M288" s="145">
        <v>15</v>
      </c>
      <c r="N288" s="137" t="s">
        <v>4617</v>
      </c>
      <c r="O288" s="137" t="s">
        <v>4808</v>
      </c>
      <c r="P288" s="137" t="s">
        <v>4809</v>
      </c>
      <c r="Q288" s="137" t="s">
        <v>3787</v>
      </c>
      <c r="R288" s="137" t="s">
        <v>25</v>
      </c>
      <c r="S288" s="129"/>
      <c r="T288" s="137" t="s">
        <v>4810</v>
      </c>
      <c r="U288" s="143"/>
      <c r="V288" s="143"/>
      <c r="W288" s="143"/>
      <c r="X288" s="143" t="s">
        <v>87</v>
      </c>
    </row>
    <row r="289" spans="1:24" ht="26.25" hidden="1" customHeight="1">
      <c r="A289" s="17">
        <f t="shared" si="1"/>
        <v>286</v>
      </c>
      <c r="B289" s="18" t="s">
        <v>37</v>
      </c>
      <c r="C289" s="19" t="s">
        <v>1837</v>
      </c>
      <c r="D289" s="19" t="s">
        <v>1838</v>
      </c>
      <c r="E289" s="20" t="s">
        <v>1839</v>
      </c>
      <c r="F289" s="21" t="s">
        <v>905</v>
      </c>
      <c r="G289" s="22" t="s">
        <v>31</v>
      </c>
      <c r="H289" s="23" t="s">
        <v>1840</v>
      </c>
      <c r="I289" s="24" t="s">
        <v>20</v>
      </c>
      <c r="J289" s="1" t="str">
        <f t="shared" si="0"/>
        <v>FRIC</v>
      </c>
      <c r="K289" s="1"/>
      <c r="L289" s="1"/>
      <c r="M289" s="145">
        <v>16</v>
      </c>
      <c r="N289" s="137" t="s">
        <v>4617</v>
      </c>
      <c r="O289" s="137" t="s">
        <v>4811</v>
      </c>
      <c r="P289" s="137" t="s">
        <v>4812</v>
      </c>
      <c r="Q289" s="137" t="s">
        <v>4283</v>
      </c>
      <c r="R289" s="137" t="s">
        <v>47</v>
      </c>
      <c r="S289" s="129"/>
      <c r="T289" s="137" t="s">
        <v>4813</v>
      </c>
      <c r="U289" s="143"/>
      <c r="V289" s="143"/>
      <c r="W289" s="143"/>
      <c r="X289" s="143" t="s">
        <v>87</v>
      </c>
    </row>
    <row r="290" spans="1:24" ht="26.25" hidden="1" customHeight="1">
      <c r="A290" s="17">
        <f t="shared" si="1"/>
        <v>287</v>
      </c>
      <c r="B290" s="18" t="s">
        <v>48</v>
      </c>
      <c r="C290" s="31" t="s">
        <v>1844</v>
      </c>
      <c r="D290" s="19" t="s">
        <v>1068</v>
      </c>
      <c r="E290" s="20" t="s">
        <v>1069</v>
      </c>
      <c r="F290" s="32" t="s">
        <v>1845</v>
      </c>
      <c r="G290" s="33" t="s">
        <v>1846</v>
      </c>
      <c r="H290" s="23" t="s">
        <v>1847</v>
      </c>
      <c r="I290" s="24" t="s">
        <v>55</v>
      </c>
      <c r="J290" s="1" t="str">
        <f t="shared" si="0"/>
        <v/>
      </c>
      <c r="K290" s="1"/>
      <c r="L290" s="1"/>
      <c r="M290" s="145">
        <v>17</v>
      </c>
      <c r="N290" s="137" t="s">
        <v>4617</v>
      </c>
      <c r="O290" s="137" t="s">
        <v>4290</v>
      </c>
      <c r="P290" s="137" t="s">
        <v>4814</v>
      </c>
      <c r="Q290" s="137" t="s">
        <v>4292</v>
      </c>
      <c r="R290" s="137" t="s">
        <v>25</v>
      </c>
      <c r="S290" s="129"/>
      <c r="T290" s="137" t="s">
        <v>4815</v>
      </c>
      <c r="U290" s="143"/>
      <c r="V290" s="143"/>
      <c r="W290" s="143"/>
      <c r="X290" s="143" t="s">
        <v>87</v>
      </c>
    </row>
    <row r="291" spans="1:24" ht="26.25" hidden="1" customHeight="1">
      <c r="A291" s="17">
        <f t="shared" si="1"/>
        <v>288</v>
      </c>
      <c r="B291" s="18" t="s">
        <v>13</v>
      </c>
      <c r="C291" s="31" t="s">
        <v>1851</v>
      </c>
      <c r="D291" s="19" t="s">
        <v>227</v>
      </c>
      <c r="E291" s="20" t="s">
        <v>1852</v>
      </c>
      <c r="F291" s="32" t="s">
        <v>1853</v>
      </c>
      <c r="G291" s="22" t="s">
        <v>42</v>
      </c>
      <c r="H291" s="23" t="s">
        <v>1854</v>
      </c>
      <c r="I291" s="24" t="s">
        <v>55</v>
      </c>
      <c r="J291" s="1" t="str">
        <f t="shared" si="0"/>
        <v/>
      </c>
      <c r="K291" s="1"/>
      <c r="L291" s="1"/>
      <c r="M291" s="145">
        <v>18</v>
      </c>
      <c r="N291" s="137" t="s">
        <v>4617</v>
      </c>
      <c r="O291" s="137" t="s">
        <v>4306</v>
      </c>
      <c r="P291" s="137" t="s">
        <v>4816</v>
      </c>
      <c r="Q291" s="137" t="s">
        <v>4308</v>
      </c>
      <c r="R291" s="137" t="s">
        <v>47</v>
      </c>
      <c r="S291" s="129"/>
      <c r="T291" s="137" t="s">
        <v>4810</v>
      </c>
      <c r="U291" s="143"/>
      <c r="V291" s="143"/>
      <c r="W291" s="143"/>
      <c r="X291" s="143" t="s">
        <v>87</v>
      </c>
    </row>
    <row r="292" spans="1:24" ht="26.25" hidden="1" customHeight="1">
      <c r="A292" s="17">
        <f t="shared" si="1"/>
        <v>289</v>
      </c>
      <c r="B292" s="18" t="s">
        <v>81</v>
      </c>
      <c r="C292" s="31" t="s">
        <v>1858</v>
      </c>
      <c r="D292" s="19" t="s">
        <v>1859</v>
      </c>
      <c r="E292" s="20" t="s">
        <v>1860</v>
      </c>
      <c r="F292" s="32" t="s">
        <v>416</v>
      </c>
      <c r="G292" s="33" t="s">
        <v>42</v>
      </c>
      <c r="H292" s="23" t="s">
        <v>1861</v>
      </c>
      <c r="I292" s="24" t="s">
        <v>55</v>
      </c>
      <c r="J292" s="1" t="str">
        <f t="shared" si="0"/>
        <v/>
      </c>
      <c r="K292" s="1"/>
      <c r="L292" s="1"/>
      <c r="M292" s="145">
        <v>19</v>
      </c>
      <c r="N292" s="137" t="s">
        <v>4617</v>
      </c>
      <c r="O292" s="137" t="s">
        <v>4817</v>
      </c>
      <c r="P292" s="137" t="s">
        <v>4818</v>
      </c>
      <c r="Q292" s="137" t="s">
        <v>3882</v>
      </c>
      <c r="R292" s="137" t="s">
        <v>25</v>
      </c>
      <c r="S292" s="129"/>
      <c r="T292" s="137" t="s">
        <v>4819</v>
      </c>
      <c r="U292" s="143"/>
      <c r="V292" s="143"/>
      <c r="W292" s="143"/>
      <c r="X292" s="143" t="s">
        <v>87</v>
      </c>
    </row>
    <row r="293" spans="1:24" ht="26.25" hidden="1" customHeight="1">
      <c r="A293" s="17">
        <f t="shared" si="1"/>
        <v>290</v>
      </c>
      <c r="B293" s="18" t="s">
        <v>81</v>
      </c>
      <c r="C293" s="31" t="s">
        <v>557</v>
      </c>
      <c r="D293" s="19" t="s">
        <v>141</v>
      </c>
      <c r="E293" s="20" t="s">
        <v>559</v>
      </c>
      <c r="F293" s="32" t="s">
        <v>1865</v>
      </c>
      <c r="G293" s="33" t="s">
        <v>42</v>
      </c>
      <c r="H293" s="23" t="s">
        <v>1866</v>
      </c>
      <c r="I293" s="24" t="s">
        <v>55</v>
      </c>
      <c r="J293" s="1" t="str">
        <f t="shared" si="0"/>
        <v/>
      </c>
      <c r="K293" s="1"/>
      <c r="L293" s="1"/>
      <c r="M293" s="145">
        <v>20</v>
      </c>
      <c r="N293" s="137" t="s">
        <v>4617</v>
      </c>
      <c r="O293" s="137" t="s">
        <v>4820</v>
      </c>
      <c r="P293" s="137" t="s">
        <v>4821</v>
      </c>
      <c r="Q293" s="137" t="s">
        <v>3857</v>
      </c>
      <c r="R293" s="137" t="s">
        <v>36</v>
      </c>
      <c r="S293" s="129"/>
      <c r="T293" s="137" t="s">
        <v>4822</v>
      </c>
      <c r="U293" s="143"/>
      <c r="V293" s="143"/>
      <c r="W293" s="143"/>
      <c r="X293" s="143" t="s">
        <v>87</v>
      </c>
    </row>
    <row r="294" spans="1:24" ht="26.25" hidden="1" customHeight="1">
      <c r="A294" s="17">
        <f t="shared" si="1"/>
        <v>291</v>
      </c>
      <c r="B294" s="18" t="s">
        <v>105</v>
      </c>
      <c r="C294" s="31" t="s">
        <v>1870</v>
      </c>
      <c r="D294" s="19" t="s">
        <v>124</v>
      </c>
      <c r="E294" s="20" t="s">
        <v>500</v>
      </c>
      <c r="F294" s="32" t="s">
        <v>1871</v>
      </c>
      <c r="G294" s="33" t="s">
        <v>350</v>
      </c>
      <c r="H294" s="23" t="s">
        <v>1872</v>
      </c>
      <c r="I294" s="24" t="s">
        <v>55</v>
      </c>
      <c r="J294" s="1" t="str">
        <f t="shared" si="0"/>
        <v/>
      </c>
      <c r="K294" s="1"/>
      <c r="L294" s="1"/>
      <c r="M294" s="145">
        <v>21</v>
      </c>
      <c r="N294" s="137" t="s">
        <v>4617</v>
      </c>
      <c r="O294" s="137" t="s">
        <v>4823</v>
      </c>
      <c r="P294" s="137" t="s">
        <v>4824</v>
      </c>
      <c r="Q294" s="137" t="s">
        <v>3862</v>
      </c>
      <c r="R294" s="137" t="s">
        <v>36</v>
      </c>
      <c r="S294" s="129"/>
      <c r="T294" s="137" t="s">
        <v>4825</v>
      </c>
      <c r="U294" s="143"/>
      <c r="V294" s="143"/>
      <c r="W294" s="143"/>
      <c r="X294" s="143" t="s">
        <v>87</v>
      </c>
    </row>
    <row r="295" spans="1:24" ht="26.25" hidden="1" customHeight="1">
      <c r="A295" s="17">
        <f t="shared" si="1"/>
        <v>292</v>
      </c>
      <c r="B295" s="18" t="s">
        <v>105</v>
      </c>
      <c r="C295" s="31" t="s">
        <v>1876</v>
      </c>
      <c r="D295" s="19" t="s">
        <v>499</v>
      </c>
      <c r="E295" s="20" t="s">
        <v>1877</v>
      </c>
      <c r="F295" s="32">
        <v>2017</v>
      </c>
      <c r="G295" s="33" t="s">
        <v>1086</v>
      </c>
      <c r="H295" s="23" t="s">
        <v>1878</v>
      </c>
      <c r="I295" s="24" t="s">
        <v>55</v>
      </c>
      <c r="J295" s="1" t="str">
        <f t="shared" si="0"/>
        <v/>
      </c>
      <c r="K295" s="1"/>
      <c r="L295" s="1"/>
      <c r="M295" s="145">
        <v>22</v>
      </c>
      <c r="N295" s="137" t="s">
        <v>4617</v>
      </c>
      <c r="O295" s="137" t="s">
        <v>4826</v>
      </c>
      <c r="P295" s="137" t="s">
        <v>4827</v>
      </c>
      <c r="Q295" s="137" t="s">
        <v>3870</v>
      </c>
      <c r="R295" s="137" t="s">
        <v>36</v>
      </c>
      <c r="S295" s="129"/>
      <c r="T295" s="137" t="s">
        <v>4828</v>
      </c>
      <c r="U295" s="143"/>
      <c r="V295" s="143"/>
      <c r="W295" s="143"/>
      <c r="X295" s="143" t="s">
        <v>87</v>
      </c>
    </row>
    <row r="296" spans="1:24" ht="26.25" hidden="1" customHeight="1">
      <c r="A296" s="17">
        <f t="shared" si="1"/>
        <v>293</v>
      </c>
      <c r="B296" s="18" t="s">
        <v>132</v>
      </c>
      <c r="C296" s="31" t="s">
        <v>1882</v>
      </c>
      <c r="D296" s="19" t="s">
        <v>1776</v>
      </c>
      <c r="E296" s="20" t="s">
        <v>1883</v>
      </c>
      <c r="F296" s="32" t="s">
        <v>222</v>
      </c>
      <c r="G296" s="22" t="s">
        <v>42</v>
      </c>
      <c r="H296" s="23" t="s">
        <v>1884</v>
      </c>
      <c r="I296" s="24" t="s">
        <v>55</v>
      </c>
      <c r="J296" s="1" t="str">
        <f t="shared" si="0"/>
        <v/>
      </c>
      <c r="K296" s="1"/>
      <c r="L296" s="1"/>
      <c r="M296" s="145">
        <v>23</v>
      </c>
      <c r="N296" s="137" t="s">
        <v>4617</v>
      </c>
      <c r="O296" s="137" t="s">
        <v>4829</v>
      </c>
      <c r="P296" s="137" t="s">
        <v>4830</v>
      </c>
      <c r="Q296" s="137" t="s">
        <v>117</v>
      </c>
      <c r="R296" s="137" t="s">
        <v>1614</v>
      </c>
      <c r="S296" s="129"/>
      <c r="T296" s="137" t="s">
        <v>4831</v>
      </c>
      <c r="U296" s="143"/>
      <c r="V296" s="143"/>
      <c r="W296" s="143"/>
      <c r="X296" s="143" t="s">
        <v>87</v>
      </c>
    </row>
    <row r="297" spans="1:24" ht="26.25" hidden="1" customHeight="1">
      <c r="A297" s="17">
        <f t="shared" si="1"/>
        <v>294</v>
      </c>
      <c r="B297" s="18" t="s">
        <v>248</v>
      </c>
      <c r="C297" s="31" t="s">
        <v>1887</v>
      </c>
      <c r="D297" s="19" t="s">
        <v>124</v>
      </c>
      <c r="E297" s="20" t="s">
        <v>1888</v>
      </c>
      <c r="F297" s="32" t="s">
        <v>1889</v>
      </c>
      <c r="G297" s="33" t="s">
        <v>42</v>
      </c>
      <c r="H297" s="23" t="s">
        <v>1890</v>
      </c>
      <c r="I297" s="24" t="s">
        <v>55</v>
      </c>
      <c r="J297" s="1" t="str">
        <f t="shared" si="0"/>
        <v/>
      </c>
      <c r="K297" s="1"/>
      <c r="L297" s="1"/>
      <c r="M297" s="145">
        <v>24</v>
      </c>
      <c r="N297" s="137" t="s">
        <v>4617</v>
      </c>
      <c r="O297" s="137" t="s">
        <v>672</v>
      </c>
      <c r="P297" s="137" t="s">
        <v>4827</v>
      </c>
      <c r="Q297" s="137" t="s">
        <v>674</v>
      </c>
      <c r="R297" s="137" t="s">
        <v>36</v>
      </c>
      <c r="S297" s="129"/>
      <c r="T297" s="137" t="s">
        <v>4832</v>
      </c>
      <c r="U297" s="143"/>
      <c r="V297" s="143"/>
      <c r="W297" s="143"/>
      <c r="X297" s="143" t="s">
        <v>87</v>
      </c>
    </row>
    <row r="298" spans="1:24" ht="26.25" hidden="1" customHeight="1">
      <c r="A298" s="17">
        <f t="shared" si="1"/>
        <v>295</v>
      </c>
      <c r="B298" s="18" t="s">
        <v>248</v>
      </c>
      <c r="C298" s="19" t="s">
        <v>1891</v>
      </c>
      <c r="D298" s="19" t="s">
        <v>1789</v>
      </c>
      <c r="E298" s="20" t="s">
        <v>1892</v>
      </c>
      <c r="F298" s="21" t="s">
        <v>135</v>
      </c>
      <c r="G298" s="33" t="s">
        <v>1893</v>
      </c>
      <c r="H298" s="23" t="s">
        <v>1894</v>
      </c>
      <c r="I298" s="24" t="s">
        <v>20</v>
      </c>
      <c r="J298" s="1" t="str">
        <f t="shared" si="0"/>
        <v>FRIC</v>
      </c>
      <c r="K298" s="1"/>
      <c r="L298" s="1"/>
      <c r="M298" s="145">
        <v>25</v>
      </c>
      <c r="N298" s="137" t="s">
        <v>4617</v>
      </c>
      <c r="O298" s="137" t="s">
        <v>874</v>
      </c>
      <c r="P298" s="137" t="s">
        <v>4827</v>
      </c>
      <c r="Q298" s="137" t="s">
        <v>875</v>
      </c>
      <c r="R298" s="137" t="s">
        <v>36</v>
      </c>
      <c r="S298" s="129"/>
      <c r="T298" s="137" t="s">
        <v>4832</v>
      </c>
      <c r="U298" s="143"/>
      <c r="V298" s="143"/>
      <c r="W298" s="143"/>
      <c r="X298" s="143" t="s">
        <v>87</v>
      </c>
    </row>
    <row r="299" spans="1:24" ht="26.25" hidden="1" customHeight="1">
      <c r="A299" s="17">
        <f t="shared" si="1"/>
        <v>296</v>
      </c>
      <c r="B299" s="18" t="s">
        <v>233</v>
      </c>
      <c r="C299" s="19" t="s">
        <v>1895</v>
      </c>
      <c r="D299" s="19" t="s">
        <v>112</v>
      </c>
      <c r="E299" s="20" t="s">
        <v>1896</v>
      </c>
      <c r="F299" s="21" t="s">
        <v>135</v>
      </c>
      <c r="G299" s="22" t="s">
        <v>42</v>
      </c>
      <c r="H299" s="23" t="s">
        <v>1897</v>
      </c>
      <c r="I299" s="24" t="s">
        <v>20</v>
      </c>
      <c r="J299" s="1" t="str">
        <f t="shared" si="0"/>
        <v>FRIC</v>
      </c>
      <c r="K299" s="1"/>
      <c r="L299" s="1"/>
      <c r="M299" s="145">
        <v>26</v>
      </c>
      <c r="N299" s="137" t="s">
        <v>4617</v>
      </c>
      <c r="O299" s="137" t="s">
        <v>4833</v>
      </c>
      <c r="P299" s="137" t="s">
        <v>4834</v>
      </c>
      <c r="Q299" s="137" t="s">
        <v>1924</v>
      </c>
      <c r="R299" s="137" t="s">
        <v>4835</v>
      </c>
      <c r="S299" s="137" t="s">
        <v>4836</v>
      </c>
      <c r="T299" s="137" t="s">
        <v>4837</v>
      </c>
      <c r="U299" s="143"/>
      <c r="V299" s="143"/>
      <c r="W299" s="143"/>
      <c r="X299" s="143" t="s">
        <v>87</v>
      </c>
    </row>
    <row r="300" spans="1:24" ht="26.25" hidden="1" customHeight="1">
      <c r="A300" s="17">
        <f t="shared" si="1"/>
        <v>297</v>
      </c>
      <c r="B300" s="18" t="s">
        <v>132</v>
      </c>
      <c r="C300" s="19" t="s">
        <v>1898</v>
      </c>
      <c r="D300" s="19" t="s">
        <v>1789</v>
      </c>
      <c r="E300" s="20" t="s">
        <v>1899</v>
      </c>
      <c r="F300" s="21" t="s">
        <v>135</v>
      </c>
      <c r="G300" s="22" t="s">
        <v>31</v>
      </c>
      <c r="H300" s="23" t="s">
        <v>1900</v>
      </c>
      <c r="I300" s="24" t="s">
        <v>20</v>
      </c>
      <c r="J300" s="1" t="str">
        <f t="shared" si="0"/>
        <v>FRIC</v>
      </c>
      <c r="K300" s="1"/>
      <c r="L300" s="1"/>
      <c r="M300" s="145">
        <v>27</v>
      </c>
      <c r="N300" s="137" t="s">
        <v>4617</v>
      </c>
      <c r="O300" s="137" t="s">
        <v>4838</v>
      </c>
      <c r="P300" s="137" t="s">
        <v>4834</v>
      </c>
      <c r="Q300" s="137" t="s">
        <v>461</v>
      </c>
      <c r="R300" s="137" t="s">
        <v>36</v>
      </c>
      <c r="S300" s="129"/>
      <c r="T300" s="137" t="s">
        <v>4839</v>
      </c>
      <c r="U300" s="143"/>
      <c r="V300" s="143"/>
      <c r="W300" s="143"/>
      <c r="X300" s="143" t="s">
        <v>87</v>
      </c>
    </row>
    <row r="301" spans="1:24" ht="26.25" hidden="1" customHeight="1">
      <c r="A301" s="17">
        <f t="shared" si="1"/>
        <v>298</v>
      </c>
      <c r="B301" s="18" t="s">
        <v>13</v>
      </c>
      <c r="C301" s="19" t="s">
        <v>1901</v>
      </c>
      <c r="D301" s="19" t="s">
        <v>124</v>
      </c>
      <c r="E301" s="20" t="s">
        <v>1902</v>
      </c>
      <c r="F301" s="21" t="s">
        <v>293</v>
      </c>
      <c r="G301" s="22" t="s">
        <v>42</v>
      </c>
      <c r="H301" s="23" t="s">
        <v>1903</v>
      </c>
      <c r="I301" s="24" t="s">
        <v>20</v>
      </c>
      <c r="J301" s="1" t="str">
        <f t="shared" si="0"/>
        <v>FRIC</v>
      </c>
      <c r="K301" s="1"/>
      <c r="L301" s="1"/>
      <c r="M301" s="145">
        <v>28</v>
      </c>
      <c r="N301" s="137" t="s">
        <v>4617</v>
      </c>
      <c r="O301" s="137" t="s">
        <v>4840</v>
      </c>
      <c r="P301" s="137" t="s">
        <v>4841</v>
      </c>
      <c r="Q301" s="137" t="s">
        <v>3387</v>
      </c>
      <c r="R301" s="137" t="s">
        <v>25</v>
      </c>
      <c r="S301" s="129"/>
      <c r="T301" s="137" t="s">
        <v>4842</v>
      </c>
      <c r="U301" s="143"/>
      <c r="V301" s="143"/>
      <c r="W301" s="143"/>
      <c r="X301" s="143" t="s">
        <v>87</v>
      </c>
    </row>
    <row r="302" spans="1:24" ht="26.25" hidden="1" customHeight="1">
      <c r="A302" s="17">
        <f t="shared" si="1"/>
        <v>299</v>
      </c>
      <c r="B302" s="18" t="s">
        <v>1197</v>
      </c>
      <c r="C302" s="19" t="s">
        <v>1904</v>
      </c>
      <c r="D302" s="19" t="s">
        <v>499</v>
      </c>
      <c r="E302" s="20" t="s">
        <v>1905</v>
      </c>
      <c r="F302" s="21" t="s">
        <v>905</v>
      </c>
      <c r="G302" s="33" t="s">
        <v>42</v>
      </c>
      <c r="H302" s="23" t="s">
        <v>1906</v>
      </c>
      <c r="I302" s="24" t="s">
        <v>20</v>
      </c>
      <c r="J302" s="1" t="str">
        <f t="shared" si="0"/>
        <v>FRIC</v>
      </c>
      <c r="K302" s="1"/>
      <c r="L302" s="1"/>
      <c r="M302" s="145">
        <v>29</v>
      </c>
      <c r="N302" s="137" t="s">
        <v>4617</v>
      </c>
      <c r="O302" s="137" t="s">
        <v>2471</v>
      </c>
      <c r="P302" s="137" t="s">
        <v>4843</v>
      </c>
      <c r="Q302" s="137" t="s">
        <v>2473</v>
      </c>
      <c r="R302" s="137" t="s">
        <v>36</v>
      </c>
      <c r="S302" s="129"/>
      <c r="T302" s="137" t="s">
        <v>4844</v>
      </c>
      <c r="U302" s="143"/>
      <c r="V302" s="143"/>
      <c r="W302" s="143"/>
      <c r="X302" s="143" t="s">
        <v>87</v>
      </c>
    </row>
    <row r="303" spans="1:24" ht="26.25" hidden="1" customHeight="1">
      <c r="A303" s="17">
        <f t="shared" si="1"/>
        <v>300</v>
      </c>
      <c r="B303" s="18" t="s">
        <v>37</v>
      </c>
      <c r="C303" s="19" t="s">
        <v>1907</v>
      </c>
      <c r="D303" s="19" t="s">
        <v>124</v>
      </c>
      <c r="E303" s="20" t="s">
        <v>1908</v>
      </c>
      <c r="F303" s="21" t="s">
        <v>1909</v>
      </c>
      <c r="G303" s="22" t="s">
        <v>42</v>
      </c>
      <c r="H303" s="23" t="s">
        <v>1910</v>
      </c>
      <c r="I303" s="24" t="s">
        <v>20</v>
      </c>
      <c r="J303" s="1" t="str">
        <f t="shared" si="0"/>
        <v>FRIC</v>
      </c>
      <c r="K303" s="1"/>
      <c r="L303" s="1"/>
      <c r="M303" s="145">
        <v>30</v>
      </c>
      <c r="N303" s="137" t="s">
        <v>4617</v>
      </c>
      <c r="O303" s="137" t="s">
        <v>4845</v>
      </c>
      <c r="P303" s="137" t="s">
        <v>4846</v>
      </c>
      <c r="Q303" s="137" t="s">
        <v>3560</v>
      </c>
      <c r="R303" s="137" t="s">
        <v>36</v>
      </c>
      <c r="S303" s="129"/>
      <c r="T303" s="137" t="s">
        <v>4847</v>
      </c>
      <c r="U303" s="143"/>
      <c r="V303" s="143"/>
      <c r="W303" s="143"/>
      <c r="X303" s="143" t="s">
        <v>87</v>
      </c>
    </row>
    <row r="304" spans="1:24" ht="26.25" hidden="1" customHeight="1">
      <c r="A304" s="17">
        <f t="shared" si="1"/>
        <v>301</v>
      </c>
      <c r="B304" s="18" t="s">
        <v>1375</v>
      </c>
      <c r="C304" s="31" t="s">
        <v>1911</v>
      </c>
      <c r="D304" s="19" t="s">
        <v>1068</v>
      </c>
      <c r="E304" s="20" t="s">
        <v>1912</v>
      </c>
      <c r="F304" s="32" t="s">
        <v>1913</v>
      </c>
      <c r="G304" s="22" t="s">
        <v>1086</v>
      </c>
      <c r="H304" s="23" t="s">
        <v>1914</v>
      </c>
      <c r="I304" s="24" t="s">
        <v>55</v>
      </c>
      <c r="J304" s="1" t="str">
        <f t="shared" si="0"/>
        <v/>
      </c>
      <c r="K304" s="1"/>
      <c r="L304" s="1"/>
      <c r="M304" s="145">
        <v>31</v>
      </c>
      <c r="N304" s="137" t="s">
        <v>4617</v>
      </c>
      <c r="O304" s="137" t="s">
        <v>4848</v>
      </c>
      <c r="P304" s="137" t="s">
        <v>4849</v>
      </c>
      <c r="Q304" s="137" t="s">
        <v>3577</v>
      </c>
      <c r="R304" s="137" t="s">
        <v>36</v>
      </c>
      <c r="S304" s="129"/>
      <c r="T304" s="137" t="s">
        <v>4850</v>
      </c>
      <c r="U304" s="143"/>
      <c r="V304" s="143"/>
      <c r="W304" s="143"/>
      <c r="X304" s="143" t="s">
        <v>87</v>
      </c>
    </row>
    <row r="305" spans="1:24" ht="26.25" hidden="1" customHeight="1">
      <c r="A305" s="17">
        <f t="shared" si="1"/>
        <v>302</v>
      </c>
      <c r="B305" s="18" t="s">
        <v>81</v>
      </c>
      <c r="C305" s="19" t="s">
        <v>1915</v>
      </c>
      <c r="D305" s="19" t="s">
        <v>124</v>
      </c>
      <c r="E305" s="20" t="s">
        <v>1916</v>
      </c>
      <c r="F305" s="21" t="s">
        <v>135</v>
      </c>
      <c r="G305" s="33" t="s">
        <v>42</v>
      </c>
      <c r="H305" s="23" t="s">
        <v>1917</v>
      </c>
      <c r="I305" s="24" t="s">
        <v>20</v>
      </c>
      <c r="J305" s="1" t="str">
        <f t="shared" si="0"/>
        <v>FRIC</v>
      </c>
      <c r="K305" s="1"/>
      <c r="L305" s="1"/>
      <c r="M305" s="145">
        <v>32</v>
      </c>
      <c r="N305" s="137" t="s">
        <v>4617</v>
      </c>
      <c r="O305" s="137" t="s">
        <v>4851</v>
      </c>
      <c r="P305" s="137" t="s">
        <v>4852</v>
      </c>
      <c r="Q305" s="137" t="s">
        <v>1784</v>
      </c>
      <c r="R305" s="137" t="s">
        <v>36</v>
      </c>
      <c r="S305" s="129"/>
      <c r="T305" s="137" t="s">
        <v>4853</v>
      </c>
      <c r="U305" s="143"/>
      <c r="V305" s="143"/>
      <c r="W305" s="143"/>
      <c r="X305" s="143" t="s">
        <v>87</v>
      </c>
    </row>
    <row r="306" spans="1:24" ht="26.25" hidden="1" customHeight="1">
      <c r="A306" s="17">
        <f t="shared" si="1"/>
        <v>303</v>
      </c>
      <c r="B306" s="18" t="s">
        <v>105</v>
      </c>
      <c r="C306" s="31" t="s">
        <v>1918</v>
      </c>
      <c r="D306" s="19" t="s">
        <v>1919</v>
      </c>
      <c r="E306" s="20" t="s">
        <v>1920</v>
      </c>
      <c r="F306" s="32" t="s">
        <v>1921</v>
      </c>
      <c r="G306" s="33" t="s">
        <v>42</v>
      </c>
      <c r="H306" s="23" t="s">
        <v>1922</v>
      </c>
      <c r="I306" s="24" t="s">
        <v>55</v>
      </c>
      <c r="J306" s="1" t="str">
        <f t="shared" si="0"/>
        <v/>
      </c>
      <c r="K306" s="1"/>
      <c r="L306" s="1"/>
      <c r="M306" s="145">
        <v>33</v>
      </c>
      <c r="N306" s="137" t="s">
        <v>4337</v>
      </c>
      <c r="O306" s="137" t="s">
        <v>82</v>
      </c>
      <c r="P306" s="137" t="s">
        <v>1441</v>
      </c>
      <c r="Q306" s="137" t="s">
        <v>84</v>
      </c>
      <c r="R306" s="145">
        <v>4</v>
      </c>
      <c r="S306" s="129"/>
      <c r="T306" s="137" t="s">
        <v>4854</v>
      </c>
      <c r="U306" s="143"/>
      <c r="V306" s="143"/>
      <c r="W306" s="143"/>
      <c r="X306" s="143" t="s">
        <v>87</v>
      </c>
    </row>
    <row r="307" spans="1:24" ht="26.25" customHeight="1">
      <c r="A307" s="17">
        <f t="shared" si="1"/>
        <v>304</v>
      </c>
      <c r="B307" s="18" t="s">
        <v>248</v>
      </c>
      <c r="C307" s="31" t="s">
        <v>1923</v>
      </c>
      <c r="D307" s="19" t="s">
        <v>1338</v>
      </c>
      <c r="E307" s="20" t="s">
        <v>1924</v>
      </c>
      <c r="F307" s="21" t="s">
        <v>1925</v>
      </c>
      <c r="G307" s="33" t="s">
        <v>31</v>
      </c>
      <c r="H307" s="23" t="s">
        <v>1926</v>
      </c>
      <c r="I307" s="34" t="s">
        <v>20</v>
      </c>
      <c r="J307" s="1" t="str">
        <f t="shared" si="0"/>
        <v>과기</v>
      </c>
      <c r="K307" s="25"/>
      <c r="L307" s="25"/>
      <c r="M307" s="146">
        <v>34</v>
      </c>
      <c r="N307" s="139" t="s">
        <v>4337</v>
      </c>
      <c r="O307" s="139" t="s">
        <v>4855</v>
      </c>
      <c r="P307" s="139" t="s">
        <v>255</v>
      </c>
      <c r="Q307" s="139" t="s">
        <v>228</v>
      </c>
      <c r="R307" s="146">
        <v>12</v>
      </c>
      <c r="S307" s="139" t="s">
        <v>4347</v>
      </c>
      <c r="T307" s="139" t="s">
        <v>4856</v>
      </c>
      <c r="U307" s="147"/>
      <c r="V307" s="147"/>
      <c r="W307" s="147"/>
      <c r="X307" s="147" t="s">
        <v>87</v>
      </c>
    </row>
    <row r="308" spans="1:24" ht="26.25" hidden="1" customHeight="1">
      <c r="A308" s="17">
        <f t="shared" si="1"/>
        <v>305</v>
      </c>
      <c r="B308" s="18" t="s">
        <v>175</v>
      </c>
      <c r="C308" s="31" t="s">
        <v>1927</v>
      </c>
      <c r="D308" s="19" t="s">
        <v>1928</v>
      </c>
      <c r="E308" s="20" t="s">
        <v>1929</v>
      </c>
      <c r="F308" s="32" t="s">
        <v>1930</v>
      </c>
      <c r="G308" s="33" t="s">
        <v>63</v>
      </c>
      <c r="H308" s="23" t="s">
        <v>1931</v>
      </c>
      <c r="I308" s="24" t="s">
        <v>55</v>
      </c>
      <c r="J308" s="1" t="str">
        <f t="shared" si="0"/>
        <v/>
      </c>
      <c r="K308" s="1"/>
      <c r="L308" s="1"/>
      <c r="M308" s="145">
        <v>35</v>
      </c>
      <c r="N308" s="137" t="s">
        <v>4337</v>
      </c>
      <c r="O308" s="137" t="s">
        <v>234</v>
      </c>
      <c r="P308" s="137" t="s">
        <v>235</v>
      </c>
      <c r="Q308" s="137" t="s">
        <v>236</v>
      </c>
      <c r="R308" s="145">
        <v>12</v>
      </c>
      <c r="S308" s="129"/>
      <c r="T308" s="137" t="s">
        <v>4857</v>
      </c>
      <c r="U308" s="143"/>
      <c r="V308" s="143"/>
      <c r="W308" s="143"/>
      <c r="X308" s="143" t="s">
        <v>87</v>
      </c>
    </row>
    <row r="309" spans="1:24" ht="26.25" hidden="1" customHeight="1">
      <c r="A309" s="17">
        <f t="shared" si="1"/>
        <v>306</v>
      </c>
      <c r="B309" s="64" t="s">
        <v>37</v>
      </c>
      <c r="C309" s="85" t="s">
        <v>1932</v>
      </c>
      <c r="D309" s="19" t="s">
        <v>965</v>
      </c>
      <c r="E309" s="20" t="s">
        <v>966</v>
      </c>
      <c r="F309" s="32" t="s">
        <v>1033</v>
      </c>
      <c r="G309" s="22" t="s">
        <v>31</v>
      </c>
      <c r="H309" s="23" t="s">
        <v>1933</v>
      </c>
      <c r="I309" s="24" t="s">
        <v>55</v>
      </c>
      <c r="J309" s="1" t="str">
        <f t="shared" si="0"/>
        <v/>
      </c>
      <c r="K309" s="1"/>
      <c r="L309" s="1"/>
      <c r="M309" s="145">
        <v>36</v>
      </c>
      <c r="N309" s="137" t="s">
        <v>4337</v>
      </c>
      <c r="O309" s="137" t="s">
        <v>4858</v>
      </c>
      <c r="P309" s="137" t="s">
        <v>4859</v>
      </c>
      <c r="Q309" s="137" t="s">
        <v>292</v>
      </c>
      <c r="R309" s="145">
        <v>4</v>
      </c>
      <c r="S309" s="129"/>
      <c r="T309" s="137" t="s">
        <v>4801</v>
      </c>
      <c r="U309" s="143"/>
      <c r="V309" s="143"/>
      <c r="W309" s="143"/>
      <c r="X309" s="143" t="s">
        <v>87</v>
      </c>
    </row>
    <row r="310" spans="1:24" ht="26.25" hidden="1" customHeight="1">
      <c r="A310" s="17">
        <f t="shared" si="1"/>
        <v>307</v>
      </c>
      <c r="B310" s="86" t="s">
        <v>27</v>
      </c>
      <c r="C310" s="31" t="s">
        <v>1934</v>
      </c>
      <c r="D310" s="66" t="s">
        <v>1935</v>
      </c>
      <c r="E310" s="20" t="s">
        <v>530</v>
      </c>
      <c r="F310" s="32" t="s">
        <v>918</v>
      </c>
      <c r="G310" s="22" t="s">
        <v>53</v>
      </c>
      <c r="H310" s="23" t="s">
        <v>1936</v>
      </c>
      <c r="I310" s="24" t="s">
        <v>55</v>
      </c>
      <c r="J310" s="1" t="str">
        <f t="shared" si="0"/>
        <v/>
      </c>
      <c r="K310" s="1"/>
      <c r="L310" s="1"/>
      <c r="M310" s="145">
        <v>37</v>
      </c>
      <c r="N310" s="137" t="s">
        <v>4337</v>
      </c>
      <c r="O310" s="137" t="s">
        <v>323</v>
      </c>
      <c r="P310" s="137" t="s">
        <v>324</v>
      </c>
      <c r="Q310" s="137" t="s">
        <v>325</v>
      </c>
      <c r="R310" s="145">
        <v>12</v>
      </c>
      <c r="S310" s="129"/>
      <c r="T310" s="137" t="s">
        <v>4860</v>
      </c>
      <c r="U310" s="143"/>
      <c r="V310" s="143"/>
      <c r="W310" s="143"/>
      <c r="X310" s="143" t="s">
        <v>87</v>
      </c>
    </row>
    <row r="311" spans="1:24" ht="26.25" hidden="1" customHeight="1">
      <c r="A311" s="17">
        <f t="shared" si="1"/>
        <v>308</v>
      </c>
      <c r="B311" s="86" t="s">
        <v>1197</v>
      </c>
      <c r="C311" s="31" t="s">
        <v>1937</v>
      </c>
      <c r="D311" s="66" t="s">
        <v>89</v>
      </c>
      <c r="E311" s="20" t="s">
        <v>90</v>
      </c>
      <c r="F311" s="32" t="s">
        <v>1938</v>
      </c>
      <c r="G311" s="33" t="s">
        <v>31</v>
      </c>
      <c r="H311" s="23" t="s">
        <v>1939</v>
      </c>
      <c r="I311" s="24" t="s">
        <v>55</v>
      </c>
      <c r="J311" s="1" t="str">
        <f t="shared" si="0"/>
        <v/>
      </c>
      <c r="K311" s="1"/>
      <c r="L311" s="1"/>
      <c r="M311" s="145">
        <v>38</v>
      </c>
      <c r="N311" s="137" t="s">
        <v>4337</v>
      </c>
      <c r="O311" s="137" t="s">
        <v>4861</v>
      </c>
      <c r="P311" s="137" t="s">
        <v>361</v>
      </c>
      <c r="Q311" s="137" t="s">
        <v>3307</v>
      </c>
      <c r="R311" s="145">
        <v>10</v>
      </c>
      <c r="S311" s="129"/>
      <c r="T311" s="137" t="s">
        <v>4862</v>
      </c>
      <c r="U311" s="143"/>
      <c r="V311" s="143"/>
      <c r="W311" s="143"/>
      <c r="X311" s="143" t="s">
        <v>87</v>
      </c>
    </row>
    <row r="312" spans="1:24" ht="26.25" hidden="1" customHeight="1">
      <c r="A312" s="17">
        <f t="shared" si="1"/>
        <v>309</v>
      </c>
      <c r="B312" s="18" t="s">
        <v>37</v>
      </c>
      <c r="C312" s="87" t="s">
        <v>1940</v>
      </c>
      <c r="D312" s="19" t="s">
        <v>277</v>
      </c>
      <c r="E312" s="20" t="s">
        <v>1941</v>
      </c>
      <c r="F312" s="21" t="s">
        <v>1942</v>
      </c>
      <c r="G312" s="22" t="s">
        <v>42</v>
      </c>
      <c r="H312" s="23" t="s">
        <v>1943</v>
      </c>
      <c r="I312" s="24" t="s">
        <v>20</v>
      </c>
      <c r="J312" s="1" t="str">
        <f t="shared" si="0"/>
        <v>FRIC</v>
      </c>
      <c r="K312" s="1"/>
      <c r="L312" s="1"/>
      <c r="M312" s="145">
        <v>39</v>
      </c>
      <c r="N312" s="137" t="s">
        <v>4337</v>
      </c>
      <c r="O312" s="137" t="s">
        <v>4863</v>
      </c>
      <c r="P312" s="137" t="s">
        <v>3046</v>
      </c>
      <c r="Q312" s="137" t="s">
        <v>3311</v>
      </c>
      <c r="R312" s="145">
        <v>8</v>
      </c>
      <c r="S312" s="137" t="s">
        <v>4347</v>
      </c>
      <c r="T312" s="137" t="s">
        <v>4864</v>
      </c>
      <c r="U312" s="143"/>
      <c r="V312" s="143"/>
      <c r="W312" s="143"/>
      <c r="X312" s="143" t="s">
        <v>87</v>
      </c>
    </row>
    <row r="313" spans="1:24" ht="26.25" hidden="1" customHeight="1">
      <c r="A313" s="17">
        <f t="shared" si="1"/>
        <v>310</v>
      </c>
      <c r="B313" s="18" t="s">
        <v>37</v>
      </c>
      <c r="C313" s="31" t="s">
        <v>1944</v>
      </c>
      <c r="D313" s="19" t="s">
        <v>1945</v>
      </c>
      <c r="E313" s="20" t="s">
        <v>1946</v>
      </c>
      <c r="F313" s="32" t="s">
        <v>1947</v>
      </c>
      <c r="G313" s="22" t="s">
        <v>42</v>
      </c>
      <c r="H313" s="23" t="s">
        <v>1948</v>
      </c>
      <c r="I313" s="24" t="s">
        <v>55</v>
      </c>
      <c r="J313" s="1" t="str">
        <f t="shared" si="0"/>
        <v/>
      </c>
      <c r="K313" s="1"/>
      <c r="L313" s="1"/>
      <c r="M313" s="145">
        <v>40</v>
      </c>
      <c r="N313" s="137" t="s">
        <v>4337</v>
      </c>
      <c r="O313" s="137" t="s">
        <v>380</v>
      </c>
      <c r="P313" s="137" t="s">
        <v>4865</v>
      </c>
      <c r="Q313" s="137" t="s">
        <v>382</v>
      </c>
      <c r="R313" s="145">
        <v>6</v>
      </c>
      <c r="S313" s="137" t="s">
        <v>4347</v>
      </c>
      <c r="T313" s="137" t="s">
        <v>4866</v>
      </c>
      <c r="U313" s="143"/>
      <c r="V313" s="143"/>
      <c r="W313" s="143"/>
      <c r="X313" s="143" t="s">
        <v>87</v>
      </c>
    </row>
    <row r="314" spans="1:24" ht="26.25" hidden="1" customHeight="1">
      <c r="A314" s="17">
        <f t="shared" si="1"/>
        <v>311</v>
      </c>
      <c r="B314" s="18" t="s">
        <v>105</v>
      </c>
      <c r="C314" s="31" t="s">
        <v>1949</v>
      </c>
      <c r="D314" s="19" t="s">
        <v>1950</v>
      </c>
      <c r="E314" s="20" t="s">
        <v>1951</v>
      </c>
      <c r="F314" s="32" t="s">
        <v>1952</v>
      </c>
      <c r="G314" s="33" t="s">
        <v>42</v>
      </c>
      <c r="H314" s="23" t="s">
        <v>1953</v>
      </c>
      <c r="I314" s="24" t="s">
        <v>55</v>
      </c>
      <c r="J314" s="1" t="str">
        <f t="shared" si="0"/>
        <v/>
      </c>
      <c r="K314" s="1"/>
      <c r="L314" s="1"/>
      <c r="M314" s="145">
        <v>41</v>
      </c>
      <c r="N314" s="137" t="s">
        <v>4337</v>
      </c>
      <c r="O314" s="137" t="s">
        <v>4867</v>
      </c>
      <c r="P314" s="137" t="s">
        <v>3206</v>
      </c>
      <c r="Q314" s="137" t="s">
        <v>3315</v>
      </c>
      <c r="R314" s="145">
        <v>6</v>
      </c>
      <c r="S314" s="137" t="s">
        <v>4347</v>
      </c>
      <c r="T314" s="137" t="s">
        <v>4868</v>
      </c>
      <c r="U314" s="143"/>
      <c r="V314" s="143"/>
      <c r="W314" s="143"/>
      <c r="X314" s="143" t="s">
        <v>87</v>
      </c>
    </row>
    <row r="315" spans="1:24" ht="26.25" hidden="1" customHeight="1">
      <c r="A315" s="17">
        <f t="shared" si="1"/>
        <v>312</v>
      </c>
      <c r="B315" s="18" t="s">
        <v>867</v>
      </c>
      <c r="C315" s="31" t="s">
        <v>1954</v>
      </c>
      <c r="D315" s="19" t="s">
        <v>1955</v>
      </c>
      <c r="E315" s="20" t="s">
        <v>1956</v>
      </c>
      <c r="F315" s="32" t="s">
        <v>1957</v>
      </c>
      <c r="G315" s="33" t="s">
        <v>42</v>
      </c>
      <c r="H315" s="23" t="s">
        <v>1958</v>
      </c>
      <c r="I315" s="24" t="s">
        <v>55</v>
      </c>
      <c r="J315" s="1" t="str">
        <f t="shared" si="0"/>
        <v/>
      </c>
      <c r="K315" s="1"/>
      <c r="L315" s="1"/>
      <c r="M315" s="145">
        <v>42</v>
      </c>
      <c r="N315" s="137" t="s">
        <v>4337</v>
      </c>
      <c r="O315" s="137" t="s">
        <v>420</v>
      </c>
      <c r="P315" s="137" t="s">
        <v>394</v>
      </c>
      <c r="Q315" s="137" t="s">
        <v>421</v>
      </c>
      <c r="R315" s="145">
        <v>1</v>
      </c>
      <c r="S315" s="129"/>
      <c r="T315" s="137" t="s">
        <v>4869</v>
      </c>
      <c r="U315" s="143"/>
      <c r="V315" s="143"/>
      <c r="W315" s="143"/>
      <c r="X315" s="143" t="s">
        <v>87</v>
      </c>
    </row>
    <row r="316" spans="1:24" ht="26.25" hidden="1" customHeight="1">
      <c r="A316" s="17">
        <f t="shared" si="1"/>
        <v>313</v>
      </c>
      <c r="B316" s="18" t="s">
        <v>1368</v>
      </c>
      <c r="C316" s="31" t="s">
        <v>1959</v>
      </c>
      <c r="D316" s="19" t="s">
        <v>1754</v>
      </c>
      <c r="E316" s="20" t="s">
        <v>1072</v>
      </c>
      <c r="F316" s="32" t="s">
        <v>1960</v>
      </c>
      <c r="G316" s="33" t="s">
        <v>18</v>
      </c>
      <c r="H316" s="23" t="s">
        <v>1961</v>
      </c>
      <c r="I316" s="24" t="s">
        <v>55</v>
      </c>
      <c r="J316" s="1" t="str">
        <f t="shared" si="0"/>
        <v/>
      </c>
      <c r="K316" s="1"/>
      <c r="L316" s="1"/>
      <c r="M316" s="145">
        <v>43</v>
      </c>
      <c r="N316" s="137" t="s">
        <v>4337</v>
      </c>
      <c r="O316" s="137" t="s">
        <v>474</v>
      </c>
      <c r="P316" s="137" t="s">
        <v>255</v>
      </c>
      <c r="Q316" s="137" t="s">
        <v>475</v>
      </c>
      <c r="R316" s="145">
        <v>2</v>
      </c>
      <c r="S316" s="137" t="s">
        <v>4347</v>
      </c>
      <c r="T316" s="137" t="s">
        <v>4870</v>
      </c>
      <c r="U316" s="143"/>
      <c r="V316" s="143"/>
      <c r="W316" s="143"/>
      <c r="X316" s="143" t="s">
        <v>87</v>
      </c>
    </row>
    <row r="317" spans="1:24" ht="26.25" hidden="1" customHeight="1">
      <c r="A317" s="17">
        <f t="shared" si="1"/>
        <v>314</v>
      </c>
      <c r="B317" s="18" t="s">
        <v>1197</v>
      </c>
      <c r="C317" s="31" t="s">
        <v>1962</v>
      </c>
      <c r="D317" s="19" t="s">
        <v>1963</v>
      </c>
      <c r="E317" s="20" t="s">
        <v>1964</v>
      </c>
      <c r="F317" s="32" t="s">
        <v>1965</v>
      </c>
      <c r="G317" s="33" t="s">
        <v>53</v>
      </c>
      <c r="H317" s="23" t="s">
        <v>1966</v>
      </c>
      <c r="I317" s="24" t="s">
        <v>55</v>
      </c>
      <c r="J317" s="1" t="str">
        <f t="shared" si="0"/>
        <v/>
      </c>
      <c r="K317" s="1"/>
      <c r="L317" s="1"/>
      <c r="M317" s="145">
        <v>44</v>
      </c>
      <c r="N317" s="137" t="s">
        <v>4337</v>
      </c>
      <c r="O317" s="137" t="s">
        <v>4871</v>
      </c>
      <c r="P317" s="137" t="s">
        <v>4872</v>
      </c>
      <c r="Q317" s="137" t="s">
        <v>3320</v>
      </c>
      <c r="R317" s="145">
        <v>24</v>
      </c>
      <c r="S317" s="137" t="s">
        <v>4873</v>
      </c>
      <c r="T317" s="137" t="s">
        <v>4874</v>
      </c>
      <c r="U317" s="143"/>
      <c r="V317" s="143"/>
      <c r="W317" s="143"/>
      <c r="X317" s="143" t="s">
        <v>87</v>
      </c>
    </row>
    <row r="318" spans="1:24" ht="26.25" customHeight="1">
      <c r="A318" s="17">
        <f t="shared" si="1"/>
        <v>315</v>
      </c>
      <c r="B318" s="18" t="s">
        <v>81</v>
      </c>
      <c r="C318" s="31" t="s">
        <v>1967</v>
      </c>
      <c r="D318" s="19" t="s">
        <v>1968</v>
      </c>
      <c r="E318" s="20" t="s">
        <v>1969</v>
      </c>
      <c r="F318" s="21" t="s">
        <v>1970</v>
      </c>
      <c r="G318" s="33" t="s">
        <v>53</v>
      </c>
      <c r="H318" s="23" t="s">
        <v>1971</v>
      </c>
      <c r="I318" s="34" t="s">
        <v>20</v>
      </c>
      <c r="J318" s="1" t="str">
        <f t="shared" si="0"/>
        <v>과기</v>
      </c>
      <c r="K318" s="25"/>
      <c r="L318" s="25"/>
      <c r="M318" s="146">
        <v>45</v>
      </c>
      <c r="N318" s="139" t="s">
        <v>4337</v>
      </c>
      <c r="O318" s="139" t="s">
        <v>4875</v>
      </c>
      <c r="P318" s="139" t="s">
        <v>729</v>
      </c>
      <c r="Q318" s="139" t="s">
        <v>730</v>
      </c>
      <c r="R318" s="146">
        <v>12</v>
      </c>
      <c r="S318" s="135"/>
      <c r="T318" s="139" t="s">
        <v>4876</v>
      </c>
      <c r="U318" s="147"/>
      <c r="V318" s="147"/>
      <c r="W318" s="147"/>
      <c r="X318" s="147" t="s">
        <v>87</v>
      </c>
    </row>
    <row r="319" spans="1:24" ht="26.25" hidden="1" customHeight="1">
      <c r="A319" s="17">
        <f t="shared" si="1"/>
        <v>316</v>
      </c>
      <c r="B319" s="18" t="s">
        <v>105</v>
      </c>
      <c r="C319" s="31" t="s">
        <v>1972</v>
      </c>
      <c r="D319" s="19" t="s">
        <v>1973</v>
      </c>
      <c r="E319" s="20" t="s">
        <v>1974</v>
      </c>
      <c r="F319" s="32" t="s">
        <v>209</v>
      </c>
      <c r="G319" s="33" t="s">
        <v>53</v>
      </c>
      <c r="H319" s="23" t="s">
        <v>1975</v>
      </c>
      <c r="I319" s="24" t="s">
        <v>55</v>
      </c>
      <c r="J319" s="1" t="str">
        <f t="shared" si="0"/>
        <v/>
      </c>
      <c r="K319" s="1"/>
      <c r="L319" s="1"/>
      <c r="M319" s="145">
        <v>46</v>
      </c>
      <c r="N319" s="137" t="s">
        <v>4337</v>
      </c>
      <c r="O319" s="137" t="s">
        <v>815</v>
      </c>
      <c r="P319" s="137" t="s">
        <v>4877</v>
      </c>
      <c r="Q319" s="137" t="s">
        <v>816</v>
      </c>
      <c r="R319" s="145">
        <v>6</v>
      </c>
      <c r="S319" s="137" t="s">
        <v>4347</v>
      </c>
      <c r="T319" s="137" t="s">
        <v>4878</v>
      </c>
      <c r="U319" s="143"/>
      <c r="V319" s="143"/>
      <c r="W319" s="143"/>
      <c r="X319" s="143" t="s">
        <v>87</v>
      </c>
    </row>
    <row r="320" spans="1:24" ht="26.25" hidden="1" customHeight="1">
      <c r="A320" s="17">
        <f t="shared" si="1"/>
        <v>317</v>
      </c>
      <c r="B320" s="18" t="s">
        <v>37</v>
      </c>
      <c r="C320" s="19" t="s">
        <v>1976</v>
      </c>
      <c r="D320" s="19" t="s">
        <v>124</v>
      </c>
      <c r="E320" s="20" t="s">
        <v>1977</v>
      </c>
      <c r="F320" s="21" t="s">
        <v>135</v>
      </c>
      <c r="G320" s="22" t="s">
        <v>42</v>
      </c>
      <c r="H320" s="23" t="s">
        <v>1978</v>
      </c>
      <c r="I320" s="24" t="s">
        <v>20</v>
      </c>
      <c r="J320" s="1" t="str">
        <f t="shared" si="0"/>
        <v>FRIC</v>
      </c>
      <c r="K320" s="1"/>
      <c r="L320" s="1"/>
      <c r="M320" s="145">
        <v>47</v>
      </c>
      <c r="N320" s="137" t="s">
        <v>4337</v>
      </c>
      <c r="O320" s="137" t="s">
        <v>841</v>
      </c>
      <c r="P320" s="137" t="s">
        <v>1705</v>
      </c>
      <c r="Q320" s="137" t="s">
        <v>842</v>
      </c>
      <c r="R320" s="145">
        <v>6</v>
      </c>
      <c r="S320" s="137" t="s">
        <v>4347</v>
      </c>
      <c r="T320" s="137" t="s">
        <v>4879</v>
      </c>
      <c r="U320" s="143"/>
      <c r="V320" s="143"/>
      <c r="W320" s="143"/>
      <c r="X320" s="143" t="s">
        <v>87</v>
      </c>
    </row>
    <row r="321" spans="1:24" ht="26.25" hidden="1" customHeight="1">
      <c r="A321" s="17">
        <f t="shared" si="1"/>
        <v>318</v>
      </c>
      <c r="B321" s="18" t="s">
        <v>37</v>
      </c>
      <c r="C321" s="88" t="s">
        <v>1979</v>
      </c>
      <c r="D321" s="19" t="s">
        <v>1980</v>
      </c>
      <c r="E321" s="20" t="s">
        <v>1981</v>
      </c>
      <c r="F321" s="32" t="s">
        <v>416</v>
      </c>
      <c r="G321" s="22" t="s">
        <v>53</v>
      </c>
      <c r="H321" s="23" t="s">
        <v>1982</v>
      </c>
      <c r="I321" s="24" t="s">
        <v>55</v>
      </c>
      <c r="J321" s="1" t="str">
        <f t="shared" si="0"/>
        <v/>
      </c>
      <c r="K321" s="1"/>
      <c r="L321" s="1"/>
      <c r="M321" s="145">
        <v>48</v>
      </c>
      <c r="N321" s="137" t="s">
        <v>4337</v>
      </c>
      <c r="O321" s="137" t="s">
        <v>4880</v>
      </c>
      <c r="P321" s="137" t="s">
        <v>361</v>
      </c>
      <c r="Q321" s="137" t="s">
        <v>3341</v>
      </c>
      <c r="R321" s="145">
        <v>5</v>
      </c>
      <c r="S321" s="129"/>
      <c r="T321" s="137" t="s">
        <v>4881</v>
      </c>
      <c r="U321" s="143"/>
      <c r="V321" s="143"/>
      <c r="W321" s="143"/>
      <c r="X321" s="143" t="s">
        <v>87</v>
      </c>
    </row>
    <row r="322" spans="1:24" ht="26.25" hidden="1" customHeight="1">
      <c r="A322" s="17">
        <f t="shared" si="1"/>
        <v>319</v>
      </c>
      <c r="B322" s="18" t="s">
        <v>248</v>
      </c>
      <c r="C322" s="31" t="s">
        <v>1983</v>
      </c>
      <c r="D322" s="19" t="s">
        <v>308</v>
      </c>
      <c r="E322" s="20" t="s">
        <v>1984</v>
      </c>
      <c r="F322" s="32" t="s">
        <v>222</v>
      </c>
      <c r="G322" s="33" t="s">
        <v>42</v>
      </c>
      <c r="H322" s="23" t="s">
        <v>1985</v>
      </c>
      <c r="I322" s="24" t="s">
        <v>55</v>
      </c>
      <c r="J322" s="1" t="str">
        <f t="shared" si="0"/>
        <v/>
      </c>
      <c r="K322" s="1"/>
      <c r="L322" s="1"/>
      <c r="M322" s="145">
        <v>49</v>
      </c>
      <c r="N322" s="137" t="s">
        <v>4337</v>
      </c>
      <c r="O322" s="137" t="s">
        <v>4882</v>
      </c>
      <c r="P322" s="137" t="s">
        <v>361</v>
      </c>
      <c r="Q322" s="137" t="s">
        <v>1010</v>
      </c>
      <c r="R322" s="145">
        <v>10</v>
      </c>
      <c r="S322" s="137" t="s">
        <v>4347</v>
      </c>
      <c r="T322" s="137" t="s">
        <v>4883</v>
      </c>
      <c r="U322" s="143"/>
      <c r="V322" s="143"/>
      <c r="W322" s="143"/>
      <c r="X322" s="143" t="s">
        <v>87</v>
      </c>
    </row>
    <row r="323" spans="1:24" ht="26.25" hidden="1" customHeight="1">
      <c r="A323" s="17">
        <f t="shared" si="1"/>
        <v>320</v>
      </c>
      <c r="B323" s="18" t="s">
        <v>233</v>
      </c>
      <c r="C323" s="89" t="s">
        <v>1674</v>
      </c>
      <c r="D323" s="89" t="s">
        <v>939</v>
      </c>
      <c r="E323" s="90" t="s">
        <v>1675</v>
      </c>
      <c r="F323" s="91" t="s">
        <v>1986</v>
      </c>
      <c r="G323" s="22" t="s">
        <v>42</v>
      </c>
      <c r="H323" s="23" t="s">
        <v>1987</v>
      </c>
      <c r="I323" s="34" t="s">
        <v>55</v>
      </c>
      <c r="J323" s="1" t="str">
        <f t="shared" si="0"/>
        <v/>
      </c>
      <c r="K323" s="25"/>
      <c r="L323" s="25"/>
      <c r="M323" s="146">
        <v>50</v>
      </c>
      <c r="N323" s="139" t="s">
        <v>4337</v>
      </c>
      <c r="O323" s="139" t="s">
        <v>4884</v>
      </c>
      <c r="P323" s="139" t="s">
        <v>361</v>
      </c>
      <c r="Q323" s="139" t="s">
        <v>1004</v>
      </c>
      <c r="R323" s="146">
        <v>24</v>
      </c>
      <c r="S323" s="139" t="s">
        <v>4347</v>
      </c>
      <c r="T323" s="139" t="s">
        <v>4885</v>
      </c>
      <c r="U323" s="147"/>
      <c r="V323" s="147"/>
      <c r="W323" s="147"/>
      <c r="X323" s="147" t="s">
        <v>87</v>
      </c>
    </row>
    <row r="324" spans="1:24" ht="26.25" hidden="1" customHeight="1">
      <c r="A324" s="17">
        <f t="shared" si="1"/>
        <v>321</v>
      </c>
      <c r="B324" s="18" t="s">
        <v>867</v>
      </c>
      <c r="C324" s="31" t="s">
        <v>1988</v>
      </c>
      <c r="D324" s="19" t="s">
        <v>1989</v>
      </c>
      <c r="E324" s="20" t="s">
        <v>1576</v>
      </c>
      <c r="F324" s="21" t="s">
        <v>1990</v>
      </c>
      <c r="G324" s="33" t="s">
        <v>42</v>
      </c>
      <c r="H324" s="23" t="s">
        <v>1991</v>
      </c>
      <c r="I324" s="34" t="s">
        <v>55</v>
      </c>
      <c r="J324" s="1" t="str">
        <f t="shared" si="0"/>
        <v/>
      </c>
      <c r="K324" s="25"/>
      <c r="L324" s="25"/>
      <c r="M324" s="146">
        <v>51</v>
      </c>
      <c r="N324" s="139" t="s">
        <v>4337</v>
      </c>
      <c r="O324" s="139" t="s">
        <v>1016</v>
      </c>
      <c r="P324" s="139" t="s">
        <v>1441</v>
      </c>
      <c r="Q324" s="139" t="s">
        <v>1017</v>
      </c>
      <c r="R324" s="146">
        <v>12</v>
      </c>
      <c r="S324" s="135"/>
      <c r="T324" s="139" t="s">
        <v>4886</v>
      </c>
      <c r="U324" s="147"/>
      <c r="V324" s="147"/>
      <c r="W324" s="147"/>
      <c r="X324" s="147" t="s">
        <v>87</v>
      </c>
    </row>
    <row r="325" spans="1:24" ht="26.25" hidden="1" customHeight="1">
      <c r="A325" s="17">
        <f t="shared" si="1"/>
        <v>322</v>
      </c>
      <c r="B325" s="18" t="s">
        <v>867</v>
      </c>
      <c r="C325" s="31" t="s">
        <v>1992</v>
      </c>
      <c r="D325" s="19" t="s">
        <v>277</v>
      </c>
      <c r="E325" s="20" t="s">
        <v>1993</v>
      </c>
      <c r="F325" s="32" t="s">
        <v>1994</v>
      </c>
      <c r="G325" s="33" t="s">
        <v>42</v>
      </c>
      <c r="H325" s="23" t="s">
        <v>1995</v>
      </c>
      <c r="I325" s="24" t="s">
        <v>55</v>
      </c>
      <c r="J325" s="1" t="str">
        <f t="shared" si="0"/>
        <v/>
      </c>
      <c r="K325" s="1"/>
      <c r="L325" s="1"/>
      <c r="M325" s="145">
        <v>52</v>
      </c>
      <c r="N325" s="137" t="s">
        <v>4337</v>
      </c>
      <c r="O325" s="137" t="s">
        <v>4887</v>
      </c>
      <c r="P325" s="137" t="s">
        <v>4887</v>
      </c>
      <c r="Q325" s="137" t="s">
        <v>3351</v>
      </c>
      <c r="R325" s="145">
        <v>4</v>
      </c>
      <c r="S325" s="129"/>
      <c r="T325" s="137" t="s">
        <v>4888</v>
      </c>
      <c r="U325" s="143"/>
      <c r="V325" s="143"/>
      <c r="W325" s="143"/>
      <c r="X325" s="143" t="s">
        <v>87</v>
      </c>
    </row>
    <row r="326" spans="1:24" ht="26.25" hidden="1" customHeight="1">
      <c r="A326" s="17">
        <f t="shared" si="1"/>
        <v>323</v>
      </c>
      <c r="B326" s="18" t="s">
        <v>233</v>
      </c>
      <c r="C326" s="31" t="s">
        <v>1996</v>
      </c>
      <c r="D326" s="19" t="s">
        <v>242</v>
      </c>
      <c r="E326" s="20" t="s">
        <v>1997</v>
      </c>
      <c r="F326" s="32" t="s">
        <v>1998</v>
      </c>
      <c r="G326" s="22" t="s">
        <v>42</v>
      </c>
      <c r="H326" s="23" t="s">
        <v>1999</v>
      </c>
      <c r="I326" s="24" t="s">
        <v>55</v>
      </c>
      <c r="J326" s="1" t="str">
        <f t="shared" si="0"/>
        <v/>
      </c>
      <c r="K326" s="1"/>
      <c r="L326" s="1"/>
      <c r="M326" s="145">
        <v>53</v>
      </c>
      <c r="N326" s="137" t="s">
        <v>4337</v>
      </c>
      <c r="O326" s="137" t="s">
        <v>1437</v>
      </c>
      <c r="P326" s="137" t="s">
        <v>196</v>
      </c>
      <c r="Q326" s="137" t="s">
        <v>1438</v>
      </c>
      <c r="R326" s="145">
        <v>9</v>
      </c>
      <c r="S326" s="129"/>
      <c r="T326" s="137" t="s">
        <v>4889</v>
      </c>
      <c r="U326" s="143"/>
      <c r="V326" s="143"/>
      <c r="W326" s="143"/>
      <c r="X326" s="143" t="s">
        <v>87</v>
      </c>
    </row>
    <row r="327" spans="1:24" ht="26.25" hidden="1" customHeight="1">
      <c r="A327" s="17">
        <f t="shared" si="1"/>
        <v>324</v>
      </c>
      <c r="B327" s="18" t="s">
        <v>27</v>
      </c>
      <c r="C327" s="31" t="s">
        <v>2000</v>
      </c>
      <c r="D327" s="19" t="s">
        <v>207</v>
      </c>
      <c r="E327" s="20" t="s">
        <v>2001</v>
      </c>
      <c r="F327" s="32" t="s">
        <v>693</v>
      </c>
      <c r="G327" s="22" t="s">
        <v>42</v>
      </c>
      <c r="H327" s="23" t="s">
        <v>2002</v>
      </c>
      <c r="I327" s="24" t="s">
        <v>55</v>
      </c>
      <c r="J327" s="1" t="str">
        <f t="shared" si="0"/>
        <v/>
      </c>
      <c r="K327" s="1"/>
      <c r="L327" s="1"/>
      <c r="M327" s="145">
        <v>54</v>
      </c>
      <c r="N327" s="137" t="s">
        <v>4337</v>
      </c>
      <c r="O327" s="137" t="s">
        <v>1465</v>
      </c>
      <c r="P327" s="137" t="s">
        <v>1466</v>
      </c>
      <c r="Q327" s="137" t="s">
        <v>1467</v>
      </c>
      <c r="R327" s="145">
        <v>12</v>
      </c>
      <c r="S327" s="137" t="s">
        <v>4347</v>
      </c>
      <c r="T327" s="137" t="s">
        <v>4890</v>
      </c>
      <c r="U327" s="143"/>
      <c r="V327" s="143"/>
      <c r="W327" s="143"/>
      <c r="X327" s="143" t="s">
        <v>87</v>
      </c>
    </row>
    <row r="328" spans="1:24" ht="26.25" hidden="1" customHeight="1">
      <c r="A328" s="17">
        <f t="shared" si="1"/>
        <v>325</v>
      </c>
      <c r="B328" s="18" t="s">
        <v>132</v>
      </c>
      <c r="C328" s="19" t="s">
        <v>2003</v>
      </c>
      <c r="D328" s="19" t="s">
        <v>2004</v>
      </c>
      <c r="E328" s="20" t="s">
        <v>2005</v>
      </c>
      <c r="F328" s="21" t="s">
        <v>2006</v>
      </c>
      <c r="G328" s="22" t="s">
        <v>42</v>
      </c>
      <c r="H328" s="23" t="s">
        <v>2007</v>
      </c>
      <c r="I328" s="24" t="s">
        <v>20</v>
      </c>
      <c r="J328" s="1" t="str">
        <f t="shared" si="0"/>
        <v>FRIC</v>
      </c>
      <c r="K328" s="1"/>
      <c r="L328" s="1"/>
      <c r="M328" s="145">
        <v>55</v>
      </c>
      <c r="N328" s="137" t="s">
        <v>4337</v>
      </c>
      <c r="O328" s="137" t="s">
        <v>1541</v>
      </c>
      <c r="P328" s="137" t="s">
        <v>1541</v>
      </c>
      <c r="Q328" s="137" t="s">
        <v>1543</v>
      </c>
      <c r="R328" s="145">
        <v>4</v>
      </c>
      <c r="S328" s="137" t="s">
        <v>4347</v>
      </c>
      <c r="T328" s="137" t="s">
        <v>4891</v>
      </c>
      <c r="U328" s="143"/>
      <c r="V328" s="143"/>
      <c r="W328" s="143"/>
      <c r="X328" s="143" t="s">
        <v>87</v>
      </c>
    </row>
    <row r="329" spans="1:24" ht="26.25" customHeight="1">
      <c r="A329" s="17">
        <f t="shared" si="1"/>
        <v>326</v>
      </c>
      <c r="B329" s="18" t="s">
        <v>175</v>
      </c>
      <c r="C329" s="31" t="s">
        <v>2008</v>
      </c>
      <c r="D329" s="19" t="s">
        <v>213</v>
      </c>
      <c r="E329" s="20" t="s">
        <v>2009</v>
      </c>
      <c r="F329" s="21" t="s">
        <v>1609</v>
      </c>
      <c r="G329" s="33" t="s">
        <v>42</v>
      </c>
      <c r="H329" s="23" t="s">
        <v>2010</v>
      </c>
      <c r="I329" s="24" t="s">
        <v>20</v>
      </c>
      <c r="J329" s="1" t="str">
        <f t="shared" si="0"/>
        <v>과기</v>
      </c>
      <c r="K329" s="1"/>
      <c r="L329" s="1"/>
      <c r="M329" s="145">
        <v>56</v>
      </c>
      <c r="N329" s="137" t="s">
        <v>4337</v>
      </c>
      <c r="O329" s="137" t="s">
        <v>4892</v>
      </c>
      <c r="P329" s="137" t="s">
        <v>141</v>
      </c>
      <c r="Q329" s="137" t="s">
        <v>3361</v>
      </c>
      <c r="R329" s="145">
        <v>8</v>
      </c>
      <c r="S329" s="129"/>
      <c r="T329" s="137" t="s">
        <v>4893</v>
      </c>
      <c r="U329" s="143"/>
      <c r="V329" s="143"/>
      <c r="W329" s="143"/>
      <c r="X329" s="143" t="s">
        <v>87</v>
      </c>
    </row>
    <row r="330" spans="1:24" ht="26.25" hidden="1" customHeight="1">
      <c r="A330" s="17">
        <f t="shared" si="1"/>
        <v>327</v>
      </c>
      <c r="B330" s="18" t="s">
        <v>13</v>
      </c>
      <c r="C330" s="31" t="s">
        <v>857</v>
      </c>
      <c r="D330" s="19" t="s">
        <v>227</v>
      </c>
      <c r="E330" s="20" t="s">
        <v>859</v>
      </c>
      <c r="F330" s="32" t="s">
        <v>2011</v>
      </c>
      <c r="G330" s="22" t="s">
        <v>2012</v>
      </c>
      <c r="H330" s="23" t="s">
        <v>2013</v>
      </c>
      <c r="I330" s="24" t="s">
        <v>55</v>
      </c>
      <c r="J330" s="1" t="str">
        <f t="shared" si="0"/>
        <v/>
      </c>
      <c r="K330" s="1"/>
      <c r="L330" s="1"/>
      <c r="M330" s="145">
        <v>57</v>
      </c>
      <c r="N330" s="137" t="s">
        <v>4337</v>
      </c>
      <c r="O330" s="137" t="s">
        <v>2008</v>
      </c>
      <c r="P330" s="137" t="s">
        <v>213</v>
      </c>
      <c r="Q330" s="137" t="s">
        <v>2009</v>
      </c>
      <c r="R330" s="145">
        <v>12</v>
      </c>
      <c r="S330" s="129"/>
      <c r="T330" s="137" t="s">
        <v>4894</v>
      </c>
      <c r="U330" s="143"/>
      <c r="V330" s="143"/>
      <c r="W330" s="143"/>
      <c r="X330" s="143" t="s">
        <v>87</v>
      </c>
    </row>
    <row r="331" spans="1:24" ht="26.25" hidden="1" customHeight="1">
      <c r="A331" s="17">
        <f t="shared" si="1"/>
        <v>328</v>
      </c>
      <c r="B331" s="18" t="s">
        <v>13</v>
      </c>
      <c r="C331" s="31" t="s">
        <v>2014</v>
      </c>
      <c r="D331" s="19" t="s">
        <v>2015</v>
      </c>
      <c r="E331" s="20" t="s">
        <v>2016</v>
      </c>
      <c r="F331" s="32" t="s">
        <v>2017</v>
      </c>
      <c r="G331" s="22" t="s">
        <v>2018</v>
      </c>
      <c r="H331" s="23" t="s">
        <v>2019</v>
      </c>
      <c r="I331" s="24" t="s">
        <v>55</v>
      </c>
      <c r="J331" s="1" t="str">
        <f t="shared" si="0"/>
        <v/>
      </c>
      <c r="K331" s="1"/>
      <c r="L331" s="1"/>
      <c r="M331" s="145">
        <v>58</v>
      </c>
      <c r="N331" s="137" t="s">
        <v>4337</v>
      </c>
      <c r="O331" s="137" t="s">
        <v>2020</v>
      </c>
      <c r="P331" s="137" t="s">
        <v>558</v>
      </c>
      <c r="Q331" s="137" t="s">
        <v>2022</v>
      </c>
      <c r="R331" s="145">
        <v>6</v>
      </c>
      <c r="S331" s="129"/>
      <c r="T331" s="137" t="s">
        <v>4895</v>
      </c>
      <c r="U331" s="143"/>
      <c r="V331" s="143"/>
      <c r="W331" s="143"/>
      <c r="X331" s="143" t="s">
        <v>87</v>
      </c>
    </row>
    <row r="332" spans="1:24" ht="26.25" customHeight="1">
      <c r="A332" s="17">
        <f t="shared" si="1"/>
        <v>329</v>
      </c>
      <c r="B332" s="18" t="s">
        <v>27</v>
      </c>
      <c r="C332" s="19" t="s">
        <v>2020</v>
      </c>
      <c r="D332" s="19" t="s">
        <v>2021</v>
      </c>
      <c r="E332" s="20" t="s">
        <v>2022</v>
      </c>
      <c r="F332" s="21" t="s">
        <v>2023</v>
      </c>
      <c r="G332" s="22" t="s">
        <v>42</v>
      </c>
      <c r="H332" s="23" t="s">
        <v>2024</v>
      </c>
      <c r="I332" s="24" t="s">
        <v>20</v>
      </c>
      <c r="J332" s="1" t="str">
        <f t="shared" si="0"/>
        <v>과기</v>
      </c>
      <c r="K332" s="1"/>
      <c r="L332" s="1"/>
      <c r="M332" s="145">
        <v>59</v>
      </c>
      <c r="N332" s="137" t="s">
        <v>4337</v>
      </c>
      <c r="O332" s="137" t="s">
        <v>4896</v>
      </c>
      <c r="P332" s="137" t="s">
        <v>4897</v>
      </c>
      <c r="Q332" s="137" t="s">
        <v>2144</v>
      </c>
      <c r="R332" s="145">
        <v>4</v>
      </c>
      <c r="S332" s="129"/>
      <c r="T332" s="137" t="s">
        <v>4898</v>
      </c>
      <c r="U332" s="143"/>
      <c r="V332" s="143"/>
      <c r="W332" s="143"/>
      <c r="X332" s="143" t="s">
        <v>87</v>
      </c>
    </row>
    <row r="333" spans="1:24" ht="26.25" hidden="1" customHeight="1">
      <c r="A333" s="17">
        <f t="shared" si="1"/>
        <v>330</v>
      </c>
      <c r="B333" s="18" t="s">
        <v>175</v>
      </c>
      <c r="C333" s="19" t="s">
        <v>2025</v>
      </c>
      <c r="D333" s="19" t="s">
        <v>141</v>
      </c>
      <c r="E333" s="20" t="s">
        <v>2026</v>
      </c>
      <c r="F333" s="21" t="s">
        <v>905</v>
      </c>
      <c r="G333" s="33" t="s">
        <v>42</v>
      </c>
      <c r="H333" s="23" t="s">
        <v>2027</v>
      </c>
      <c r="I333" s="24" t="s">
        <v>20</v>
      </c>
      <c r="J333" s="1" t="str">
        <f t="shared" si="0"/>
        <v>FRIC</v>
      </c>
      <c r="K333" s="1"/>
      <c r="L333" s="1"/>
      <c r="M333" s="145">
        <v>60</v>
      </c>
      <c r="N333" s="137" t="s">
        <v>4337</v>
      </c>
      <c r="O333" s="137" t="s">
        <v>4899</v>
      </c>
      <c r="P333" s="137" t="s">
        <v>361</v>
      </c>
      <c r="Q333" s="137" t="s">
        <v>2199</v>
      </c>
      <c r="R333" s="145">
        <v>12</v>
      </c>
      <c r="S333" s="137" t="s">
        <v>4347</v>
      </c>
      <c r="T333" s="137" t="s">
        <v>4900</v>
      </c>
      <c r="U333" s="143"/>
      <c r="V333" s="143"/>
      <c r="W333" s="143"/>
      <c r="X333" s="143" t="s">
        <v>87</v>
      </c>
    </row>
    <row r="334" spans="1:24" ht="26.25" hidden="1" customHeight="1">
      <c r="A334" s="17">
        <f t="shared" si="1"/>
        <v>331</v>
      </c>
      <c r="B334" s="18" t="s">
        <v>175</v>
      </c>
      <c r="C334" s="31" t="s">
        <v>2028</v>
      </c>
      <c r="D334" s="19" t="s">
        <v>124</v>
      </c>
      <c r="E334" s="20" t="s">
        <v>2029</v>
      </c>
      <c r="F334" s="32" t="s">
        <v>416</v>
      </c>
      <c r="G334" s="33" t="s">
        <v>42</v>
      </c>
      <c r="H334" s="23" t="s">
        <v>2030</v>
      </c>
      <c r="I334" s="24" t="s">
        <v>55</v>
      </c>
      <c r="J334" s="1" t="str">
        <f t="shared" si="0"/>
        <v/>
      </c>
      <c r="K334" s="1"/>
      <c r="L334" s="1"/>
      <c r="M334" s="145">
        <v>61</v>
      </c>
      <c r="N334" s="137" t="s">
        <v>4337</v>
      </c>
      <c r="O334" s="137" t="s">
        <v>2259</v>
      </c>
      <c r="P334" s="137" t="s">
        <v>4901</v>
      </c>
      <c r="Q334" s="137" t="s">
        <v>2260</v>
      </c>
      <c r="R334" s="145">
        <v>12</v>
      </c>
      <c r="S334" s="137" t="s">
        <v>4347</v>
      </c>
      <c r="T334" s="137" t="s">
        <v>4902</v>
      </c>
      <c r="U334" s="143"/>
      <c r="V334" s="143"/>
      <c r="W334" s="143"/>
      <c r="X334" s="143" t="s">
        <v>87</v>
      </c>
    </row>
    <row r="335" spans="1:24" ht="26.25" hidden="1" customHeight="1">
      <c r="A335" s="17">
        <f t="shared" si="1"/>
        <v>332</v>
      </c>
      <c r="B335" s="18" t="s">
        <v>175</v>
      </c>
      <c r="C335" s="19" t="s">
        <v>2031</v>
      </c>
      <c r="D335" s="19" t="s">
        <v>447</v>
      </c>
      <c r="E335" s="20" t="s">
        <v>2032</v>
      </c>
      <c r="F335" s="21" t="s">
        <v>135</v>
      </c>
      <c r="G335" s="33" t="s">
        <v>42</v>
      </c>
      <c r="H335" s="23" t="s">
        <v>2033</v>
      </c>
      <c r="I335" s="24" t="s">
        <v>20</v>
      </c>
      <c r="J335" s="1" t="str">
        <f t="shared" si="0"/>
        <v>FRIC</v>
      </c>
      <c r="K335" s="1"/>
      <c r="L335" s="1"/>
      <c r="M335" s="145">
        <v>62</v>
      </c>
      <c r="N335" s="137" t="s">
        <v>4337</v>
      </c>
      <c r="O335" s="137" t="s">
        <v>2310</v>
      </c>
      <c r="P335" s="137" t="s">
        <v>45</v>
      </c>
      <c r="Q335" s="137" t="s">
        <v>2312</v>
      </c>
      <c r="R335" s="145">
        <v>6</v>
      </c>
      <c r="S335" s="129"/>
      <c r="T335" s="137" t="s">
        <v>4903</v>
      </c>
      <c r="U335" s="143"/>
      <c r="V335" s="143"/>
      <c r="W335" s="143"/>
      <c r="X335" s="143" t="s">
        <v>87</v>
      </c>
    </row>
    <row r="336" spans="1:24" ht="26.25" hidden="1" customHeight="1">
      <c r="A336" s="17">
        <f t="shared" si="1"/>
        <v>333</v>
      </c>
      <c r="B336" s="18" t="s">
        <v>175</v>
      </c>
      <c r="C336" s="19" t="s">
        <v>2034</v>
      </c>
      <c r="D336" s="19" t="s">
        <v>840</v>
      </c>
      <c r="E336" s="20" t="s">
        <v>2035</v>
      </c>
      <c r="F336" s="21" t="s">
        <v>905</v>
      </c>
      <c r="G336" s="33" t="s">
        <v>42</v>
      </c>
      <c r="H336" s="23" t="s">
        <v>2036</v>
      </c>
      <c r="I336" s="24" t="s">
        <v>20</v>
      </c>
      <c r="J336" s="1" t="str">
        <f t="shared" si="0"/>
        <v>FRIC</v>
      </c>
      <c r="K336" s="1"/>
      <c r="L336" s="1"/>
      <c r="M336" s="145">
        <v>63</v>
      </c>
      <c r="N336" s="137" t="s">
        <v>4337</v>
      </c>
      <c r="O336" s="137" t="s">
        <v>4904</v>
      </c>
      <c r="P336" s="137" t="s">
        <v>296</v>
      </c>
      <c r="Q336" s="137" t="s">
        <v>2329</v>
      </c>
      <c r="R336" s="145">
        <v>50</v>
      </c>
      <c r="S336" s="137" t="s">
        <v>4905</v>
      </c>
      <c r="T336" s="137" t="s">
        <v>4906</v>
      </c>
      <c r="U336" s="143"/>
      <c r="V336" s="143"/>
      <c r="W336" s="143"/>
      <c r="X336" s="143" t="s">
        <v>87</v>
      </c>
    </row>
    <row r="337" spans="1:24" ht="26.25" hidden="1" customHeight="1">
      <c r="A337" s="17">
        <f t="shared" si="1"/>
        <v>334</v>
      </c>
      <c r="B337" s="18" t="s">
        <v>175</v>
      </c>
      <c r="C337" s="31" t="s">
        <v>2037</v>
      </c>
      <c r="D337" s="19" t="s">
        <v>2038</v>
      </c>
      <c r="E337" s="20" t="s">
        <v>2039</v>
      </c>
      <c r="F337" s="32" t="s">
        <v>700</v>
      </c>
      <c r="G337" s="70" t="s">
        <v>42</v>
      </c>
      <c r="H337" s="23" t="s">
        <v>2040</v>
      </c>
      <c r="I337" s="24" t="s">
        <v>55</v>
      </c>
      <c r="J337" s="1" t="str">
        <f t="shared" si="0"/>
        <v/>
      </c>
      <c r="K337" s="1"/>
      <c r="L337" s="1"/>
      <c r="M337" s="145">
        <v>64</v>
      </c>
      <c r="N337" s="137" t="s">
        <v>4337</v>
      </c>
      <c r="O337" s="137" t="s">
        <v>4907</v>
      </c>
      <c r="P337" s="137" t="s">
        <v>558</v>
      </c>
      <c r="Q337" s="137" t="s">
        <v>2342</v>
      </c>
      <c r="R337" s="145">
        <v>4</v>
      </c>
      <c r="S337" s="129"/>
      <c r="T337" s="137" t="s">
        <v>4908</v>
      </c>
      <c r="U337" s="143"/>
      <c r="V337" s="143"/>
      <c r="W337" s="143"/>
      <c r="X337" s="143" t="s">
        <v>87</v>
      </c>
    </row>
    <row r="338" spans="1:24" ht="26.25" hidden="1" customHeight="1">
      <c r="A338" s="17">
        <f t="shared" si="1"/>
        <v>335</v>
      </c>
      <c r="B338" s="18" t="s">
        <v>13</v>
      </c>
      <c r="C338" s="19" t="s">
        <v>2041</v>
      </c>
      <c r="D338" s="19" t="s">
        <v>939</v>
      </c>
      <c r="E338" s="20" t="s">
        <v>2042</v>
      </c>
      <c r="F338" s="21" t="s">
        <v>135</v>
      </c>
      <c r="G338" s="22" t="s">
        <v>42</v>
      </c>
      <c r="H338" s="23" t="s">
        <v>2043</v>
      </c>
      <c r="I338" s="24" t="s">
        <v>20</v>
      </c>
      <c r="J338" s="1" t="str">
        <f t="shared" si="0"/>
        <v>FRIC</v>
      </c>
      <c r="K338" s="1"/>
      <c r="L338" s="1"/>
      <c r="M338" s="145">
        <v>65</v>
      </c>
      <c r="N338" s="137" t="s">
        <v>4337</v>
      </c>
      <c r="O338" s="137" t="s">
        <v>2360</v>
      </c>
      <c r="P338" s="137" t="s">
        <v>2501</v>
      </c>
      <c r="Q338" s="137" t="s">
        <v>2362</v>
      </c>
      <c r="R338" s="145">
        <v>6</v>
      </c>
      <c r="S338" s="137" t="s">
        <v>4347</v>
      </c>
      <c r="T338" s="137" t="s">
        <v>4909</v>
      </c>
      <c r="U338" s="143"/>
      <c r="V338" s="143"/>
      <c r="W338" s="143"/>
      <c r="X338" s="143" t="s">
        <v>87</v>
      </c>
    </row>
    <row r="339" spans="1:24" ht="26.25" hidden="1" customHeight="1">
      <c r="A339" s="17">
        <f t="shared" si="1"/>
        <v>336</v>
      </c>
      <c r="B339" s="18" t="s">
        <v>27</v>
      </c>
      <c r="C339" s="31" t="s">
        <v>95</v>
      </c>
      <c r="D339" s="19" t="s">
        <v>96</v>
      </c>
      <c r="E339" s="20" t="s">
        <v>97</v>
      </c>
      <c r="F339" s="32" t="s">
        <v>142</v>
      </c>
      <c r="G339" s="22" t="s">
        <v>53</v>
      </c>
      <c r="H339" s="23" t="s">
        <v>2044</v>
      </c>
      <c r="I339" s="24" t="s">
        <v>55</v>
      </c>
      <c r="J339" s="1" t="str">
        <f t="shared" si="0"/>
        <v/>
      </c>
      <c r="K339" s="1"/>
      <c r="L339" s="1"/>
      <c r="M339" s="145">
        <v>66</v>
      </c>
      <c r="N339" s="137" t="s">
        <v>4337</v>
      </c>
      <c r="O339" s="137" t="s">
        <v>2423</v>
      </c>
      <c r="P339" s="137" t="s">
        <v>361</v>
      </c>
      <c r="Q339" s="137" t="s">
        <v>2425</v>
      </c>
      <c r="R339" s="145">
        <v>4</v>
      </c>
      <c r="S339" s="137" t="s">
        <v>4347</v>
      </c>
      <c r="T339" s="137" t="s">
        <v>4910</v>
      </c>
      <c r="U339" s="143"/>
      <c r="V339" s="143"/>
      <c r="W339" s="143"/>
      <c r="X339" s="143" t="s">
        <v>87</v>
      </c>
    </row>
    <row r="340" spans="1:24" ht="26.25" hidden="1" customHeight="1">
      <c r="A340" s="17">
        <f t="shared" si="1"/>
        <v>337</v>
      </c>
      <c r="B340" s="18" t="s">
        <v>37</v>
      </c>
      <c r="C340" s="19" t="s">
        <v>2045</v>
      </c>
      <c r="D340" s="19" t="s">
        <v>141</v>
      </c>
      <c r="E340" s="20" t="s">
        <v>2046</v>
      </c>
      <c r="F340" s="21" t="s">
        <v>2047</v>
      </c>
      <c r="G340" s="22" t="s">
        <v>42</v>
      </c>
      <c r="H340" s="23" t="s">
        <v>2048</v>
      </c>
      <c r="I340" s="24" t="s">
        <v>20</v>
      </c>
      <c r="J340" s="1" t="str">
        <f t="shared" si="0"/>
        <v>FRIC</v>
      </c>
      <c r="K340" s="1"/>
      <c r="L340" s="1"/>
      <c r="M340" s="145">
        <v>67</v>
      </c>
      <c r="N340" s="137" t="s">
        <v>4337</v>
      </c>
      <c r="O340" s="137" t="s">
        <v>4911</v>
      </c>
      <c r="P340" s="137" t="s">
        <v>34</v>
      </c>
      <c r="Q340" s="137" t="s">
        <v>2532</v>
      </c>
      <c r="R340" s="145">
        <v>12</v>
      </c>
      <c r="S340" s="129"/>
      <c r="T340" s="137" t="s">
        <v>4912</v>
      </c>
      <c r="U340" s="143"/>
      <c r="V340" s="143"/>
      <c r="W340" s="143"/>
      <c r="X340" s="143" t="s">
        <v>87</v>
      </c>
    </row>
    <row r="341" spans="1:24" ht="26.25" hidden="1" customHeight="1">
      <c r="A341" s="17">
        <f t="shared" si="1"/>
        <v>338</v>
      </c>
      <c r="B341" s="18" t="s">
        <v>27</v>
      </c>
      <c r="C341" s="19" t="s">
        <v>2049</v>
      </c>
      <c r="D341" s="19" t="s">
        <v>2050</v>
      </c>
      <c r="E341" s="20" t="s">
        <v>2051</v>
      </c>
      <c r="F341" s="21" t="s">
        <v>2052</v>
      </c>
      <c r="G341" s="22" t="s">
        <v>31</v>
      </c>
      <c r="H341" s="23" t="s">
        <v>2053</v>
      </c>
      <c r="I341" s="24" t="s">
        <v>20</v>
      </c>
      <c r="J341" s="1" t="str">
        <f t="shared" si="0"/>
        <v>FRIC</v>
      </c>
      <c r="K341" s="1"/>
      <c r="L341" s="1"/>
      <c r="M341" s="145">
        <v>68</v>
      </c>
      <c r="N341" s="137" t="s">
        <v>4337</v>
      </c>
      <c r="O341" s="137" t="s">
        <v>2512</v>
      </c>
      <c r="P341" s="137" t="s">
        <v>4913</v>
      </c>
      <c r="Q341" s="137" t="s">
        <v>2513</v>
      </c>
      <c r="R341" s="145">
        <v>24</v>
      </c>
      <c r="S341" s="129"/>
      <c r="T341" s="137" t="s">
        <v>4914</v>
      </c>
      <c r="U341" s="143"/>
      <c r="V341" s="143"/>
      <c r="W341" s="143"/>
      <c r="X341" s="143" t="s">
        <v>87</v>
      </c>
    </row>
    <row r="342" spans="1:24" ht="26.25" hidden="1" customHeight="1">
      <c r="A342" s="17">
        <f t="shared" si="1"/>
        <v>339</v>
      </c>
      <c r="B342" s="18" t="s">
        <v>105</v>
      </c>
      <c r="C342" s="31" t="s">
        <v>2054</v>
      </c>
      <c r="D342" s="19" t="s">
        <v>2055</v>
      </c>
      <c r="E342" s="20" t="s">
        <v>2056</v>
      </c>
      <c r="F342" s="32" t="s">
        <v>2057</v>
      </c>
      <c r="G342" s="33" t="s">
        <v>42</v>
      </c>
      <c r="H342" s="23" t="s">
        <v>2058</v>
      </c>
      <c r="I342" s="24" t="s">
        <v>55</v>
      </c>
      <c r="J342" s="1" t="str">
        <f t="shared" si="0"/>
        <v/>
      </c>
      <c r="K342" s="1"/>
      <c r="L342" s="1"/>
      <c r="M342" s="145">
        <v>69</v>
      </c>
      <c r="N342" s="137" t="s">
        <v>4337</v>
      </c>
      <c r="O342" s="137" t="s">
        <v>4915</v>
      </c>
      <c r="P342" s="137" t="s">
        <v>4916</v>
      </c>
      <c r="Q342" s="137" t="s">
        <v>2519</v>
      </c>
      <c r="R342" s="145">
        <v>8</v>
      </c>
      <c r="S342" s="137" t="s">
        <v>4347</v>
      </c>
      <c r="T342" s="137" t="s">
        <v>4917</v>
      </c>
      <c r="U342" s="143"/>
      <c r="V342" s="143"/>
      <c r="W342" s="143"/>
      <c r="X342" s="143" t="s">
        <v>87</v>
      </c>
    </row>
    <row r="343" spans="1:24" ht="26.25" hidden="1" customHeight="1">
      <c r="A343" s="17">
        <f t="shared" si="1"/>
        <v>340</v>
      </c>
      <c r="B343" s="18" t="s">
        <v>13</v>
      </c>
      <c r="C343" s="31" t="s">
        <v>1077</v>
      </c>
      <c r="D343" s="19" t="s">
        <v>939</v>
      </c>
      <c r="E343" s="20" t="s">
        <v>1079</v>
      </c>
      <c r="F343" s="32" t="s">
        <v>170</v>
      </c>
      <c r="G343" s="22" t="s">
        <v>42</v>
      </c>
      <c r="H343" s="23" t="s">
        <v>2059</v>
      </c>
      <c r="I343" s="24" t="s">
        <v>55</v>
      </c>
      <c r="J343" s="1" t="str">
        <f t="shared" si="0"/>
        <v/>
      </c>
      <c r="K343" s="1"/>
      <c r="L343" s="1"/>
      <c r="M343" s="145">
        <v>70</v>
      </c>
      <c r="N343" s="137" t="s">
        <v>4337</v>
      </c>
      <c r="O343" s="137" t="s">
        <v>4918</v>
      </c>
      <c r="P343" s="137" t="s">
        <v>4919</v>
      </c>
      <c r="Q343" s="137" t="s">
        <v>2604</v>
      </c>
      <c r="R343" s="145">
        <v>12</v>
      </c>
      <c r="S343" s="137" t="s">
        <v>4347</v>
      </c>
      <c r="T343" s="137" t="s">
        <v>4920</v>
      </c>
      <c r="U343" s="143"/>
      <c r="V343" s="143"/>
      <c r="W343" s="143"/>
      <c r="X343" s="143" t="s">
        <v>87</v>
      </c>
    </row>
    <row r="344" spans="1:24" ht="26.25" hidden="1" customHeight="1">
      <c r="A344" s="17">
        <f t="shared" si="1"/>
        <v>341</v>
      </c>
      <c r="B344" s="18" t="s">
        <v>37</v>
      </c>
      <c r="C344" s="19" t="s">
        <v>2060</v>
      </c>
      <c r="D344" s="19" t="s">
        <v>141</v>
      </c>
      <c r="E344" s="20" t="s">
        <v>2061</v>
      </c>
      <c r="F344" s="21" t="s">
        <v>2062</v>
      </c>
      <c r="G344" s="22" t="s">
        <v>42</v>
      </c>
      <c r="H344" s="23" t="s">
        <v>2063</v>
      </c>
      <c r="I344" s="24" t="s">
        <v>20</v>
      </c>
      <c r="J344" s="1" t="str">
        <f t="shared" si="0"/>
        <v>FRIC</v>
      </c>
      <c r="K344" s="1"/>
      <c r="L344" s="1"/>
      <c r="M344" s="145">
        <v>71</v>
      </c>
      <c r="N344" s="137" t="s">
        <v>4337</v>
      </c>
      <c r="O344" s="137" t="s">
        <v>2635</v>
      </c>
      <c r="P344" s="137" t="s">
        <v>361</v>
      </c>
      <c r="Q344" s="137" t="s">
        <v>2637</v>
      </c>
      <c r="R344" s="145">
        <v>5</v>
      </c>
      <c r="S344" s="129"/>
      <c r="T344" s="137" t="s">
        <v>4881</v>
      </c>
      <c r="U344" s="143"/>
      <c r="V344" s="143"/>
      <c r="W344" s="143"/>
      <c r="X344" s="143" t="s">
        <v>87</v>
      </c>
    </row>
    <row r="345" spans="1:24" ht="26.25" hidden="1" customHeight="1">
      <c r="A345" s="17">
        <f t="shared" si="1"/>
        <v>342</v>
      </c>
      <c r="B345" s="18" t="s">
        <v>13</v>
      </c>
      <c r="C345" s="19" t="s">
        <v>2064</v>
      </c>
      <c r="D345" s="19" t="s">
        <v>939</v>
      </c>
      <c r="E345" s="20" t="s">
        <v>2065</v>
      </c>
      <c r="F345" s="21" t="s">
        <v>135</v>
      </c>
      <c r="G345" s="22" t="s">
        <v>42</v>
      </c>
      <c r="H345" s="23" t="s">
        <v>2066</v>
      </c>
      <c r="I345" s="24" t="s">
        <v>20</v>
      </c>
      <c r="J345" s="1" t="str">
        <f t="shared" si="0"/>
        <v>FRIC</v>
      </c>
      <c r="K345" s="1"/>
      <c r="L345" s="1"/>
      <c r="M345" s="145">
        <v>72</v>
      </c>
      <c r="N345" s="137" t="s">
        <v>4337</v>
      </c>
      <c r="O345" s="137" t="s">
        <v>4921</v>
      </c>
      <c r="P345" s="137" t="s">
        <v>196</v>
      </c>
      <c r="Q345" s="137" t="s">
        <v>2682</v>
      </c>
      <c r="R345" s="145">
        <v>6</v>
      </c>
      <c r="S345" s="137" t="s">
        <v>4347</v>
      </c>
      <c r="T345" s="137" t="s">
        <v>4922</v>
      </c>
      <c r="U345" s="143"/>
      <c r="V345" s="143"/>
      <c r="W345" s="143"/>
      <c r="X345" s="143" t="s">
        <v>87</v>
      </c>
    </row>
    <row r="346" spans="1:24" ht="26.25" hidden="1" customHeight="1">
      <c r="A346" s="17">
        <f t="shared" si="1"/>
        <v>343</v>
      </c>
      <c r="B346" s="18" t="s">
        <v>132</v>
      </c>
      <c r="C346" s="19" t="s">
        <v>2067</v>
      </c>
      <c r="D346" s="19" t="s">
        <v>2068</v>
      </c>
      <c r="E346" s="20" t="s">
        <v>2069</v>
      </c>
      <c r="F346" s="21" t="s">
        <v>905</v>
      </c>
      <c r="G346" s="22" t="s">
        <v>31</v>
      </c>
      <c r="H346" s="23" t="s">
        <v>2070</v>
      </c>
      <c r="I346" s="24" t="s">
        <v>20</v>
      </c>
      <c r="J346" s="1" t="str">
        <f t="shared" si="0"/>
        <v>FRIC</v>
      </c>
      <c r="K346" s="1"/>
      <c r="L346" s="1"/>
      <c r="M346" s="145">
        <v>73</v>
      </c>
      <c r="N346" s="137" t="s">
        <v>4337</v>
      </c>
      <c r="O346" s="137" t="s">
        <v>2691</v>
      </c>
      <c r="P346" s="137" t="s">
        <v>45</v>
      </c>
      <c r="Q346" s="137" t="s">
        <v>2692</v>
      </c>
      <c r="R346" s="145">
        <v>6</v>
      </c>
      <c r="S346" s="129"/>
      <c r="T346" s="137" t="s">
        <v>4923</v>
      </c>
      <c r="U346" s="143"/>
      <c r="V346" s="143"/>
      <c r="W346" s="143"/>
      <c r="X346" s="143" t="s">
        <v>87</v>
      </c>
    </row>
    <row r="347" spans="1:24" ht="26.25" hidden="1" customHeight="1">
      <c r="A347" s="17">
        <f t="shared" si="1"/>
        <v>344</v>
      </c>
      <c r="B347" s="18" t="s">
        <v>175</v>
      </c>
      <c r="C347" s="31" t="s">
        <v>2071</v>
      </c>
      <c r="D347" s="19" t="s">
        <v>2072</v>
      </c>
      <c r="E347" s="20" t="s">
        <v>2073</v>
      </c>
      <c r="F347" s="32" t="s">
        <v>2074</v>
      </c>
      <c r="G347" s="33" t="s">
        <v>42</v>
      </c>
      <c r="H347" s="23" t="s">
        <v>2075</v>
      </c>
      <c r="I347" s="24" t="s">
        <v>55</v>
      </c>
      <c r="J347" s="1" t="str">
        <f t="shared" si="0"/>
        <v/>
      </c>
      <c r="K347" s="1"/>
      <c r="L347" s="1"/>
      <c r="M347" s="145">
        <v>74</v>
      </c>
      <c r="N347" s="137" t="s">
        <v>4337</v>
      </c>
      <c r="O347" s="137" t="s">
        <v>2813</v>
      </c>
      <c r="P347" s="137" t="s">
        <v>361</v>
      </c>
      <c r="Q347" s="137" t="s">
        <v>2814</v>
      </c>
      <c r="R347" s="145">
        <v>6</v>
      </c>
      <c r="S347" s="137" t="s">
        <v>4347</v>
      </c>
      <c r="T347" s="137" t="s">
        <v>4924</v>
      </c>
      <c r="U347" s="129"/>
      <c r="V347" s="143"/>
      <c r="W347" s="143"/>
      <c r="X347" s="143" t="s">
        <v>87</v>
      </c>
    </row>
    <row r="348" spans="1:24" ht="26.25" hidden="1" customHeight="1">
      <c r="A348" s="17">
        <f t="shared" si="1"/>
        <v>345</v>
      </c>
      <c r="B348" s="18" t="s">
        <v>132</v>
      </c>
      <c r="C348" s="31" t="s">
        <v>2076</v>
      </c>
      <c r="D348" s="19" t="s">
        <v>447</v>
      </c>
      <c r="E348" s="20" t="s">
        <v>2077</v>
      </c>
      <c r="F348" s="32" t="s">
        <v>416</v>
      </c>
      <c r="G348" s="22" t="s">
        <v>31</v>
      </c>
      <c r="H348" s="23" t="s">
        <v>2078</v>
      </c>
      <c r="I348" s="24" t="s">
        <v>55</v>
      </c>
      <c r="J348" s="1" t="str">
        <f t="shared" si="0"/>
        <v/>
      </c>
      <c r="K348" s="1"/>
      <c r="L348" s="1"/>
      <c r="M348" s="145">
        <v>75</v>
      </c>
      <c r="N348" s="137" t="s">
        <v>4337</v>
      </c>
      <c r="O348" s="137" t="s">
        <v>3045</v>
      </c>
      <c r="P348" s="137" t="s">
        <v>3046</v>
      </c>
      <c r="Q348" s="137" t="s">
        <v>3047</v>
      </c>
      <c r="R348" s="145">
        <v>1</v>
      </c>
      <c r="S348" s="129"/>
      <c r="T348" s="137" t="s">
        <v>4839</v>
      </c>
      <c r="U348" s="137" t="s">
        <v>4925</v>
      </c>
      <c r="V348" s="143"/>
      <c r="W348" s="143"/>
      <c r="X348" s="143" t="s">
        <v>87</v>
      </c>
    </row>
    <row r="349" spans="1:24" ht="26.25" hidden="1" customHeight="1">
      <c r="A349" s="17">
        <f t="shared" si="1"/>
        <v>346</v>
      </c>
      <c r="B349" s="18" t="s">
        <v>81</v>
      </c>
      <c r="C349" s="31" t="s">
        <v>2079</v>
      </c>
      <c r="D349" s="19" t="s">
        <v>939</v>
      </c>
      <c r="E349" s="20" t="s">
        <v>2080</v>
      </c>
      <c r="F349" s="32" t="s">
        <v>2081</v>
      </c>
      <c r="G349" s="33" t="s">
        <v>42</v>
      </c>
      <c r="H349" s="23" t="s">
        <v>2082</v>
      </c>
      <c r="I349" s="24" t="s">
        <v>55</v>
      </c>
      <c r="J349" s="1" t="str">
        <f t="shared" si="0"/>
        <v/>
      </c>
      <c r="K349" s="1"/>
      <c r="L349" s="1"/>
      <c r="M349" s="145">
        <v>76</v>
      </c>
      <c r="N349" s="137" t="s">
        <v>4337</v>
      </c>
      <c r="O349" s="137" t="s">
        <v>4926</v>
      </c>
      <c r="P349" s="137" t="s">
        <v>4927</v>
      </c>
      <c r="Q349" s="137" t="s">
        <v>3110</v>
      </c>
      <c r="R349" s="145">
        <v>12</v>
      </c>
      <c r="S349" s="129"/>
      <c r="T349" s="137" t="s">
        <v>4928</v>
      </c>
      <c r="U349" s="143"/>
      <c r="V349" s="143"/>
      <c r="W349" s="143"/>
      <c r="X349" s="143" t="s">
        <v>87</v>
      </c>
    </row>
    <row r="350" spans="1:24" ht="26.25" hidden="1" customHeight="1">
      <c r="A350" s="17">
        <f t="shared" si="1"/>
        <v>347</v>
      </c>
      <c r="B350" s="18" t="s">
        <v>13</v>
      </c>
      <c r="C350" s="19" t="s">
        <v>2083</v>
      </c>
      <c r="D350" s="19" t="s">
        <v>939</v>
      </c>
      <c r="E350" s="20" t="s">
        <v>2084</v>
      </c>
      <c r="F350" s="21" t="s">
        <v>2085</v>
      </c>
      <c r="G350" s="22" t="s">
        <v>42</v>
      </c>
      <c r="H350" s="23" t="s">
        <v>2086</v>
      </c>
      <c r="I350" s="24" t="s">
        <v>20</v>
      </c>
      <c r="J350" s="1" t="str">
        <f t="shared" si="0"/>
        <v>FRIC</v>
      </c>
      <c r="K350" s="1"/>
      <c r="L350" s="1"/>
      <c r="M350" s="145">
        <v>77</v>
      </c>
      <c r="N350" s="137" t="s">
        <v>4337</v>
      </c>
      <c r="O350" s="137" t="s">
        <v>3201</v>
      </c>
      <c r="P350" s="137" t="s">
        <v>4929</v>
      </c>
      <c r="Q350" s="137" t="s">
        <v>3203</v>
      </c>
      <c r="R350" s="145">
        <v>4</v>
      </c>
      <c r="S350" s="129"/>
      <c r="T350" s="137" t="s">
        <v>4930</v>
      </c>
      <c r="U350" s="143"/>
      <c r="V350" s="143"/>
      <c r="W350" s="143"/>
      <c r="X350" s="143" t="s">
        <v>87</v>
      </c>
    </row>
    <row r="351" spans="1:24" ht="26.25" hidden="1" customHeight="1">
      <c r="A351" s="17">
        <f t="shared" si="1"/>
        <v>348</v>
      </c>
      <c r="B351" s="18" t="s">
        <v>105</v>
      </c>
      <c r="C351" s="31" t="s">
        <v>2087</v>
      </c>
      <c r="D351" s="19" t="s">
        <v>374</v>
      </c>
      <c r="E351" s="20" t="s">
        <v>2088</v>
      </c>
      <c r="F351" s="32" t="s">
        <v>2089</v>
      </c>
      <c r="G351" s="33" t="s">
        <v>42</v>
      </c>
      <c r="H351" s="23" t="s">
        <v>2090</v>
      </c>
      <c r="I351" s="24" t="s">
        <v>55</v>
      </c>
      <c r="J351" s="1" t="str">
        <f t="shared" si="0"/>
        <v/>
      </c>
      <c r="K351" s="1"/>
      <c r="L351" s="1"/>
      <c r="M351" s="145">
        <v>78</v>
      </c>
      <c r="N351" s="137" t="s">
        <v>4337</v>
      </c>
      <c r="O351" s="137" t="s">
        <v>3240</v>
      </c>
      <c r="P351" s="137" t="s">
        <v>337</v>
      </c>
      <c r="Q351" s="137" t="s">
        <v>3241</v>
      </c>
      <c r="R351" s="145">
        <v>8</v>
      </c>
      <c r="S351" s="137" t="s">
        <v>4347</v>
      </c>
      <c r="T351" s="137" t="s">
        <v>4931</v>
      </c>
      <c r="U351" s="143"/>
      <c r="V351" s="143"/>
      <c r="W351" s="143"/>
      <c r="X351" s="143" t="s">
        <v>87</v>
      </c>
    </row>
    <row r="352" spans="1:24" ht="26.25" hidden="1" customHeight="1">
      <c r="A352" s="17">
        <f t="shared" si="1"/>
        <v>349</v>
      </c>
      <c r="B352" s="18" t="s">
        <v>105</v>
      </c>
      <c r="C352" s="31" t="s">
        <v>2091</v>
      </c>
      <c r="D352" s="19" t="s">
        <v>2092</v>
      </c>
      <c r="E352" s="20" t="s">
        <v>2093</v>
      </c>
      <c r="F352" s="32" t="s">
        <v>2094</v>
      </c>
      <c r="G352" s="33" t="s">
        <v>42</v>
      </c>
      <c r="H352" s="23" t="s">
        <v>2095</v>
      </c>
      <c r="I352" s="24" t="s">
        <v>55</v>
      </c>
      <c r="J352" s="1" t="str">
        <f t="shared" si="0"/>
        <v/>
      </c>
      <c r="K352" s="1"/>
      <c r="L352" s="1"/>
      <c r="M352" s="145">
        <v>79</v>
      </c>
      <c r="N352" s="137" t="s">
        <v>4337</v>
      </c>
      <c r="O352" s="137" t="s">
        <v>3398</v>
      </c>
      <c r="P352" s="137" t="s">
        <v>45</v>
      </c>
      <c r="Q352" s="137" t="s">
        <v>3399</v>
      </c>
      <c r="R352" s="145">
        <v>6</v>
      </c>
      <c r="S352" s="129"/>
      <c r="T352" s="137" t="s">
        <v>4932</v>
      </c>
      <c r="U352" s="143"/>
      <c r="V352" s="143"/>
      <c r="W352" s="143"/>
      <c r="X352" s="143" t="s">
        <v>87</v>
      </c>
    </row>
    <row r="353" spans="1:24" ht="26.25" hidden="1" customHeight="1">
      <c r="A353" s="17">
        <f t="shared" si="1"/>
        <v>350</v>
      </c>
      <c r="B353" s="18" t="s">
        <v>132</v>
      </c>
      <c r="C353" s="31" t="s">
        <v>2096</v>
      </c>
      <c r="D353" s="19" t="s">
        <v>447</v>
      </c>
      <c r="E353" s="20" t="s">
        <v>2097</v>
      </c>
      <c r="F353" s="32" t="s">
        <v>2098</v>
      </c>
      <c r="G353" s="22" t="s">
        <v>31</v>
      </c>
      <c r="H353" s="23" t="s">
        <v>2099</v>
      </c>
      <c r="I353" s="24" t="s">
        <v>55</v>
      </c>
      <c r="J353" s="1" t="str">
        <f t="shared" si="0"/>
        <v/>
      </c>
      <c r="K353" s="1"/>
      <c r="L353" s="1"/>
      <c r="M353" s="145">
        <v>80</v>
      </c>
      <c r="N353" s="137" t="s">
        <v>4337</v>
      </c>
      <c r="O353" s="137" t="s">
        <v>3458</v>
      </c>
      <c r="P353" s="137" t="s">
        <v>4933</v>
      </c>
      <c r="Q353" s="137" t="s">
        <v>3460</v>
      </c>
      <c r="R353" s="145">
        <v>6</v>
      </c>
      <c r="S353" s="129"/>
      <c r="T353" s="137" t="s">
        <v>4934</v>
      </c>
      <c r="U353" s="143"/>
      <c r="V353" s="143"/>
      <c r="W353" s="143"/>
      <c r="X353" s="143" t="s">
        <v>87</v>
      </c>
    </row>
    <row r="354" spans="1:24" ht="26.25" hidden="1" customHeight="1">
      <c r="A354" s="17">
        <f t="shared" si="1"/>
        <v>351</v>
      </c>
      <c r="B354" s="18" t="s">
        <v>37</v>
      </c>
      <c r="C354" s="31" t="s">
        <v>865</v>
      </c>
      <c r="D354" s="19" t="s">
        <v>277</v>
      </c>
      <c r="E354" s="20" t="s">
        <v>866</v>
      </c>
      <c r="F354" s="32" t="s">
        <v>2100</v>
      </c>
      <c r="G354" s="22" t="s">
        <v>42</v>
      </c>
      <c r="H354" s="23" t="s">
        <v>2101</v>
      </c>
      <c r="I354" s="24" t="s">
        <v>55</v>
      </c>
      <c r="J354" s="1" t="str">
        <f t="shared" si="0"/>
        <v/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6.25" hidden="1" customHeight="1">
      <c r="A355" s="17">
        <f t="shared" si="1"/>
        <v>352</v>
      </c>
      <c r="B355" s="18" t="s">
        <v>48</v>
      </c>
      <c r="C355" s="31" t="s">
        <v>2102</v>
      </c>
      <c r="D355" s="19" t="s">
        <v>447</v>
      </c>
      <c r="E355" s="20" t="s">
        <v>2103</v>
      </c>
      <c r="F355" s="32" t="s">
        <v>416</v>
      </c>
      <c r="G355" s="33" t="s">
        <v>31</v>
      </c>
      <c r="H355" s="23" t="s">
        <v>2104</v>
      </c>
      <c r="I355" s="24" t="s">
        <v>55</v>
      </c>
      <c r="J355" s="1" t="str">
        <f t="shared" si="0"/>
        <v/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6.25" hidden="1" customHeight="1">
      <c r="A356" s="17">
        <f t="shared" si="1"/>
        <v>353</v>
      </c>
      <c r="B356" s="18" t="s">
        <v>105</v>
      </c>
      <c r="C356" s="19" t="s">
        <v>2105</v>
      </c>
      <c r="D356" s="19" t="s">
        <v>124</v>
      </c>
      <c r="E356" s="20" t="s">
        <v>2106</v>
      </c>
      <c r="F356" s="21" t="s">
        <v>905</v>
      </c>
      <c r="G356" s="33" t="s">
        <v>42</v>
      </c>
      <c r="H356" s="23" t="s">
        <v>2107</v>
      </c>
      <c r="I356" s="24" t="s">
        <v>20</v>
      </c>
      <c r="J356" s="1" t="str">
        <f t="shared" si="0"/>
        <v>FRIC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6.25" hidden="1" customHeight="1">
      <c r="A357" s="17">
        <f t="shared" si="1"/>
        <v>354</v>
      </c>
      <c r="B357" s="18" t="s">
        <v>146</v>
      </c>
      <c r="C357" s="19" t="s">
        <v>2108</v>
      </c>
      <c r="D357" s="19" t="s">
        <v>939</v>
      </c>
      <c r="E357" s="20" t="s">
        <v>2109</v>
      </c>
      <c r="F357" s="21" t="s">
        <v>2110</v>
      </c>
      <c r="G357" s="33" t="s">
        <v>42</v>
      </c>
      <c r="H357" s="23" t="s">
        <v>2111</v>
      </c>
      <c r="I357" s="24" t="s">
        <v>20</v>
      </c>
      <c r="J357" s="1" t="str">
        <f t="shared" si="0"/>
        <v>FRIC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6.25" hidden="1" customHeight="1">
      <c r="A358" s="17">
        <f t="shared" si="1"/>
        <v>355</v>
      </c>
      <c r="B358" s="18" t="s">
        <v>146</v>
      </c>
      <c r="C358" s="19" t="s">
        <v>2112</v>
      </c>
      <c r="D358" s="19" t="s">
        <v>447</v>
      </c>
      <c r="E358" s="20" t="s">
        <v>2113</v>
      </c>
      <c r="F358" s="21" t="s">
        <v>135</v>
      </c>
      <c r="G358" s="33" t="s">
        <v>42</v>
      </c>
      <c r="H358" s="23" t="s">
        <v>2114</v>
      </c>
      <c r="I358" s="24" t="s">
        <v>20</v>
      </c>
      <c r="J358" s="1" t="str">
        <f t="shared" si="0"/>
        <v>FRIC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6.25" hidden="1" customHeight="1">
      <c r="A359" s="17">
        <f t="shared" si="1"/>
        <v>356</v>
      </c>
      <c r="B359" s="18" t="s">
        <v>248</v>
      </c>
      <c r="C359" s="19" t="s">
        <v>1710</v>
      </c>
      <c r="D359" s="19" t="s">
        <v>124</v>
      </c>
      <c r="E359" s="20" t="s">
        <v>1711</v>
      </c>
      <c r="F359" s="32" t="s">
        <v>52</v>
      </c>
      <c r="G359" s="33" t="s">
        <v>42</v>
      </c>
      <c r="H359" s="23" t="s">
        <v>2115</v>
      </c>
      <c r="I359" s="34" t="s">
        <v>55</v>
      </c>
      <c r="J359" s="1" t="str">
        <f t="shared" si="0"/>
        <v/>
      </c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ht="26.25" hidden="1" customHeight="1">
      <c r="A360" s="17">
        <f t="shared" si="1"/>
        <v>357</v>
      </c>
      <c r="B360" s="18" t="s">
        <v>132</v>
      </c>
      <c r="C360" s="19" t="s">
        <v>2116</v>
      </c>
      <c r="D360" s="19" t="s">
        <v>447</v>
      </c>
      <c r="E360" s="20" t="s">
        <v>2117</v>
      </c>
      <c r="F360" s="21" t="s">
        <v>933</v>
      </c>
      <c r="G360" s="22" t="s">
        <v>42</v>
      </c>
      <c r="H360" s="23" t="s">
        <v>2118</v>
      </c>
      <c r="I360" s="24" t="s">
        <v>20</v>
      </c>
      <c r="J360" s="1" t="str">
        <f t="shared" si="0"/>
        <v>FRIC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6.25" hidden="1" customHeight="1">
      <c r="A361" s="17">
        <f t="shared" si="1"/>
        <v>358</v>
      </c>
      <c r="B361" s="18" t="s">
        <v>37</v>
      </c>
      <c r="C361" s="19" t="s">
        <v>2119</v>
      </c>
      <c r="D361" s="19" t="s">
        <v>447</v>
      </c>
      <c r="E361" s="20" t="s">
        <v>2120</v>
      </c>
      <c r="F361" s="21" t="s">
        <v>2121</v>
      </c>
      <c r="G361" s="22" t="s">
        <v>42</v>
      </c>
      <c r="H361" s="23" t="s">
        <v>2122</v>
      </c>
      <c r="I361" s="24" t="s">
        <v>20</v>
      </c>
      <c r="J361" s="1" t="str">
        <f t="shared" si="0"/>
        <v>FRIC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6.25" hidden="1" customHeight="1">
      <c r="A362" s="17">
        <f t="shared" si="1"/>
        <v>359</v>
      </c>
      <c r="B362" s="18" t="s">
        <v>132</v>
      </c>
      <c r="C362" s="19" t="s">
        <v>2123</v>
      </c>
      <c r="D362" s="19" t="s">
        <v>939</v>
      </c>
      <c r="E362" s="20" t="s">
        <v>2124</v>
      </c>
      <c r="F362" s="21" t="s">
        <v>2121</v>
      </c>
      <c r="G362" s="22" t="s">
        <v>42</v>
      </c>
      <c r="H362" s="23" t="s">
        <v>2125</v>
      </c>
      <c r="I362" s="24" t="s">
        <v>20</v>
      </c>
      <c r="J362" s="1" t="str">
        <f t="shared" si="0"/>
        <v>FRIC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6.25" hidden="1" customHeight="1">
      <c r="A363" s="17">
        <f t="shared" si="1"/>
        <v>360</v>
      </c>
      <c r="B363" s="18" t="s">
        <v>132</v>
      </c>
      <c r="C363" s="31" t="s">
        <v>102</v>
      </c>
      <c r="D363" s="19" t="s">
        <v>588</v>
      </c>
      <c r="E363" s="20" t="s">
        <v>104</v>
      </c>
      <c r="F363" s="32" t="s">
        <v>962</v>
      </c>
      <c r="G363" s="22" t="s">
        <v>42</v>
      </c>
      <c r="H363" s="23" t="s">
        <v>2126</v>
      </c>
      <c r="I363" s="24" t="s">
        <v>55</v>
      </c>
      <c r="J363" s="1" t="str">
        <f t="shared" si="0"/>
        <v/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6.25" hidden="1" customHeight="1">
      <c r="A364" s="17">
        <f t="shared" si="1"/>
        <v>361</v>
      </c>
      <c r="B364" s="18" t="s">
        <v>1197</v>
      </c>
      <c r="C364" s="19" t="s">
        <v>2127</v>
      </c>
      <c r="D364" s="19" t="s">
        <v>939</v>
      </c>
      <c r="E364" s="20" t="s">
        <v>2128</v>
      </c>
      <c r="F364" s="21" t="s">
        <v>2129</v>
      </c>
      <c r="G364" s="33" t="s">
        <v>42</v>
      </c>
      <c r="H364" s="23" t="s">
        <v>2130</v>
      </c>
      <c r="I364" s="24" t="s">
        <v>20</v>
      </c>
      <c r="J364" s="1" t="str">
        <f t="shared" si="0"/>
        <v>FRIC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6.25" hidden="1" customHeight="1">
      <c r="A365" s="17">
        <f t="shared" si="1"/>
        <v>362</v>
      </c>
      <c r="B365" s="18" t="s">
        <v>105</v>
      </c>
      <c r="C365" s="31" t="s">
        <v>2131</v>
      </c>
      <c r="D365" s="19" t="s">
        <v>2132</v>
      </c>
      <c r="E365" s="20" t="s">
        <v>2133</v>
      </c>
      <c r="F365" s="32" t="s">
        <v>519</v>
      </c>
      <c r="G365" s="33" t="s">
        <v>42</v>
      </c>
      <c r="H365" s="23" t="s">
        <v>2134</v>
      </c>
      <c r="I365" s="24" t="s">
        <v>55</v>
      </c>
      <c r="J365" s="1" t="str">
        <f t="shared" si="0"/>
        <v/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6.25" hidden="1" customHeight="1">
      <c r="A366" s="17">
        <f t="shared" si="1"/>
        <v>363</v>
      </c>
      <c r="B366" s="18" t="s">
        <v>175</v>
      </c>
      <c r="C366" s="31" t="s">
        <v>2135</v>
      </c>
      <c r="D366" s="19" t="s">
        <v>374</v>
      </c>
      <c r="E366" s="20" t="s">
        <v>2136</v>
      </c>
      <c r="F366" s="32" t="s">
        <v>2137</v>
      </c>
      <c r="G366" s="33" t="s">
        <v>42</v>
      </c>
      <c r="H366" s="23" t="s">
        <v>2138</v>
      </c>
      <c r="I366" s="24" t="s">
        <v>55</v>
      </c>
      <c r="J366" s="1" t="str">
        <f t="shared" si="0"/>
        <v/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6.25" hidden="1" customHeight="1">
      <c r="A367" s="17">
        <f t="shared" si="1"/>
        <v>364</v>
      </c>
      <c r="B367" s="18" t="s">
        <v>27</v>
      </c>
      <c r="C367" s="31" t="s">
        <v>2139</v>
      </c>
      <c r="D367" s="19" t="s">
        <v>124</v>
      </c>
      <c r="E367" s="20" t="s">
        <v>2140</v>
      </c>
      <c r="F367" s="32" t="s">
        <v>542</v>
      </c>
      <c r="G367" s="22" t="s">
        <v>42</v>
      </c>
      <c r="H367" s="23" t="s">
        <v>2141</v>
      </c>
      <c r="I367" s="24" t="s">
        <v>55</v>
      </c>
      <c r="J367" s="1" t="str">
        <f t="shared" si="0"/>
        <v/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6.25" customHeight="1">
      <c r="A368" s="17">
        <f t="shared" si="1"/>
        <v>365</v>
      </c>
      <c r="B368" s="18" t="s">
        <v>1368</v>
      </c>
      <c r="C368" s="31" t="s">
        <v>2142</v>
      </c>
      <c r="D368" s="19" t="s">
        <v>2143</v>
      </c>
      <c r="E368" s="20" t="s">
        <v>2144</v>
      </c>
      <c r="F368" s="21" t="s">
        <v>1075</v>
      </c>
      <c r="G368" s="33" t="s">
        <v>53</v>
      </c>
      <c r="H368" s="23" t="s">
        <v>2145</v>
      </c>
      <c r="I368" s="24" t="s">
        <v>20</v>
      </c>
      <c r="J368" s="1" t="str">
        <f t="shared" si="0"/>
        <v>과기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6.25" hidden="1" customHeight="1">
      <c r="A369" s="17">
        <f t="shared" si="1"/>
        <v>366</v>
      </c>
      <c r="B369" s="18" t="s">
        <v>37</v>
      </c>
      <c r="C369" s="31" t="s">
        <v>2146</v>
      </c>
      <c r="D369" s="19" t="s">
        <v>141</v>
      </c>
      <c r="E369" s="20" t="s">
        <v>2147</v>
      </c>
      <c r="F369" s="32" t="s">
        <v>542</v>
      </c>
      <c r="G369" s="22" t="s">
        <v>53</v>
      </c>
      <c r="H369" s="23" t="s">
        <v>2148</v>
      </c>
      <c r="I369" s="24" t="s">
        <v>55</v>
      </c>
      <c r="J369" s="1" t="str">
        <f t="shared" si="0"/>
        <v/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6.25" hidden="1" customHeight="1">
      <c r="A370" s="17">
        <f t="shared" si="1"/>
        <v>367</v>
      </c>
      <c r="B370" s="18" t="s">
        <v>248</v>
      </c>
      <c r="C370" s="19" t="s">
        <v>2149</v>
      </c>
      <c r="D370" s="19" t="s">
        <v>447</v>
      </c>
      <c r="E370" s="20" t="s">
        <v>2150</v>
      </c>
      <c r="F370" s="21" t="s">
        <v>2151</v>
      </c>
      <c r="G370" s="33" t="s">
        <v>42</v>
      </c>
      <c r="H370" s="23" t="s">
        <v>2152</v>
      </c>
      <c r="I370" s="24" t="s">
        <v>20</v>
      </c>
      <c r="J370" s="1" t="str">
        <f t="shared" si="0"/>
        <v>FRIC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6.25" hidden="1" customHeight="1">
      <c r="A371" s="17">
        <f t="shared" si="1"/>
        <v>368</v>
      </c>
      <c r="B371" s="18" t="s">
        <v>13</v>
      </c>
      <c r="C371" s="19" t="s">
        <v>2153</v>
      </c>
      <c r="D371" s="19" t="s">
        <v>939</v>
      </c>
      <c r="E371" s="20" t="s">
        <v>2154</v>
      </c>
      <c r="F371" s="21" t="s">
        <v>229</v>
      </c>
      <c r="G371" s="22" t="s">
        <v>42</v>
      </c>
      <c r="H371" s="23" t="s">
        <v>2155</v>
      </c>
      <c r="I371" s="24" t="s">
        <v>20</v>
      </c>
      <c r="J371" s="1" t="str">
        <f t="shared" si="0"/>
        <v>FRIC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6.25" hidden="1" customHeight="1">
      <c r="A372" s="17">
        <f t="shared" si="1"/>
        <v>369</v>
      </c>
      <c r="B372" s="18" t="s">
        <v>233</v>
      </c>
      <c r="C372" s="31" t="s">
        <v>585</v>
      </c>
      <c r="D372" s="19" t="s">
        <v>2156</v>
      </c>
      <c r="E372" s="20" t="s">
        <v>586</v>
      </c>
      <c r="F372" s="32" t="s">
        <v>2157</v>
      </c>
      <c r="G372" s="22" t="s">
        <v>42</v>
      </c>
      <c r="H372" s="23" t="s">
        <v>2158</v>
      </c>
      <c r="I372" s="24" t="s">
        <v>55</v>
      </c>
      <c r="J372" s="1" t="str">
        <f t="shared" si="0"/>
        <v/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6.25" hidden="1" customHeight="1">
      <c r="A373" s="17">
        <f t="shared" si="1"/>
        <v>370</v>
      </c>
      <c r="B373" s="18" t="s">
        <v>132</v>
      </c>
      <c r="C373" s="19" t="s">
        <v>2159</v>
      </c>
      <c r="D373" s="19" t="s">
        <v>447</v>
      </c>
      <c r="E373" s="20" t="s">
        <v>2160</v>
      </c>
      <c r="F373" s="21" t="s">
        <v>2161</v>
      </c>
      <c r="G373" s="22" t="s">
        <v>42</v>
      </c>
      <c r="H373" s="23" t="s">
        <v>2162</v>
      </c>
      <c r="I373" s="24" t="s">
        <v>20</v>
      </c>
      <c r="J373" s="1" t="str">
        <f t="shared" si="0"/>
        <v>FRIC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6.25" hidden="1" customHeight="1">
      <c r="A374" s="17">
        <f t="shared" si="1"/>
        <v>371</v>
      </c>
      <c r="B374" s="18" t="s">
        <v>175</v>
      </c>
      <c r="C374" s="31" t="s">
        <v>2163</v>
      </c>
      <c r="D374" s="19" t="s">
        <v>2164</v>
      </c>
      <c r="E374" s="20" t="s">
        <v>2165</v>
      </c>
      <c r="F374" s="32" t="s">
        <v>2166</v>
      </c>
      <c r="G374" s="33" t="s">
        <v>42</v>
      </c>
      <c r="H374" s="23" t="s">
        <v>2167</v>
      </c>
      <c r="I374" s="24" t="s">
        <v>55</v>
      </c>
      <c r="J374" s="1" t="str">
        <f t="shared" si="0"/>
        <v/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6.25" hidden="1" customHeight="1">
      <c r="A375" s="17">
        <f t="shared" si="1"/>
        <v>372</v>
      </c>
      <c r="B375" s="18" t="s">
        <v>248</v>
      </c>
      <c r="C375" s="19" t="s">
        <v>2168</v>
      </c>
      <c r="D375" s="19" t="s">
        <v>939</v>
      </c>
      <c r="E375" s="20" t="s">
        <v>2169</v>
      </c>
      <c r="F375" s="21" t="s">
        <v>2052</v>
      </c>
      <c r="G375" s="33" t="s">
        <v>42</v>
      </c>
      <c r="H375" s="23" t="s">
        <v>2170</v>
      </c>
      <c r="I375" s="24" t="s">
        <v>20</v>
      </c>
      <c r="J375" s="1" t="str">
        <f t="shared" si="0"/>
        <v>FRIC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6.25" hidden="1" customHeight="1">
      <c r="A376" s="17">
        <f t="shared" si="1"/>
        <v>373</v>
      </c>
      <c r="B376" s="18" t="s">
        <v>248</v>
      </c>
      <c r="C376" s="19" t="s">
        <v>2171</v>
      </c>
      <c r="D376" s="19" t="s">
        <v>124</v>
      </c>
      <c r="E376" s="20" t="s">
        <v>2172</v>
      </c>
      <c r="F376" s="21" t="s">
        <v>135</v>
      </c>
      <c r="G376" s="33" t="s">
        <v>42</v>
      </c>
      <c r="H376" s="23" t="s">
        <v>2173</v>
      </c>
      <c r="I376" s="24" t="s">
        <v>20</v>
      </c>
      <c r="J376" s="1" t="str">
        <f t="shared" si="0"/>
        <v>FRIC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6.25" hidden="1" customHeight="1">
      <c r="A377" s="17">
        <f t="shared" si="1"/>
        <v>374</v>
      </c>
      <c r="B377" s="18" t="s">
        <v>105</v>
      </c>
      <c r="C377" s="31" t="s">
        <v>2174</v>
      </c>
      <c r="D377" s="19" t="s">
        <v>2175</v>
      </c>
      <c r="E377" s="20" t="s">
        <v>2176</v>
      </c>
      <c r="F377" s="32" t="s">
        <v>222</v>
      </c>
      <c r="G377" s="33" t="s">
        <v>42</v>
      </c>
      <c r="H377" s="23" t="s">
        <v>2177</v>
      </c>
      <c r="I377" s="24" t="s">
        <v>55</v>
      </c>
      <c r="J377" s="1" t="str">
        <f t="shared" si="0"/>
        <v/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6.25" hidden="1" customHeight="1">
      <c r="A378" s="17">
        <f t="shared" si="1"/>
        <v>375</v>
      </c>
      <c r="B378" s="18" t="s">
        <v>248</v>
      </c>
      <c r="C378" s="19" t="s">
        <v>2178</v>
      </c>
      <c r="D378" s="19" t="s">
        <v>939</v>
      </c>
      <c r="E378" s="20" t="s">
        <v>2179</v>
      </c>
      <c r="F378" s="21" t="s">
        <v>135</v>
      </c>
      <c r="G378" s="33" t="s">
        <v>42</v>
      </c>
      <c r="H378" s="23" t="s">
        <v>2180</v>
      </c>
      <c r="I378" s="24" t="s">
        <v>20</v>
      </c>
      <c r="J378" s="1" t="str">
        <f t="shared" si="0"/>
        <v>FRIC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6.25" hidden="1" customHeight="1">
      <c r="A379" s="17">
        <f t="shared" si="1"/>
        <v>376</v>
      </c>
      <c r="B379" s="18" t="s">
        <v>2181</v>
      </c>
      <c r="C379" s="31" t="s">
        <v>2182</v>
      </c>
      <c r="D379" s="19" t="s">
        <v>2183</v>
      </c>
      <c r="E379" s="20" t="s">
        <v>2184</v>
      </c>
      <c r="F379" s="32" t="s">
        <v>222</v>
      </c>
      <c r="G379" s="33" t="s">
        <v>42</v>
      </c>
      <c r="H379" s="23" t="s">
        <v>2185</v>
      </c>
      <c r="I379" s="24" t="s">
        <v>55</v>
      </c>
      <c r="J379" s="1" t="str">
        <f t="shared" si="0"/>
        <v/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6.25" hidden="1" customHeight="1">
      <c r="A380" s="17">
        <f t="shared" si="1"/>
        <v>377</v>
      </c>
      <c r="B380" s="18" t="s">
        <v>37</v>
      </c>
      <c r="C380" s="19" t="s">
        <v>2186</v>
      </c>
      <c r="D380" s="19" t="s">
        <v>141</v>
      </c>
      <c r="E380" s="20" t="s">
        <v>2187</v>
      </c>
      <c r="F380" s="21" t="s">
        <v>1970</v>
      </c>
      <c r="G380" s="22" t="s">
        <v>42</v>
      </c>
      <c r="H380" s="23" t="s">
        <v>2188</v>
      </c>
      <c r="I380" s="24" t="s">
        <v>20</v>
      </c>
      <c r="J380" s="1" t="str">
        <f t="shared" si="0"/>
        <v>FRIC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6.25" hidden="1" customHeight="1">
      <c r="A381" s="17">
        <f t="shared" si="1"/>
        <v>378</v>
      </c>
      <c r="B381" s="18" t="s">
        <v>13</v>
      </c>
      <c r="C381" s="31" t="s">
        <v>2189</v>
      </c>
      <c r="D381" s="19" t="s">
        <v>939</v>
      </c>
      <c r="E381" s="20" t="s">
        <v>2190</v>
      </c>
      <c r="F381" s="32" t="s">
        <v>2191</v>
      </c>
      <c r="G381" s="22" t="s">
        <v>42</v>
      </c>
      <c r="H381" s="23" t="s">
        <v>2192</v>
      </c>
      <c r="I381" s="24" t="s">
        <v>55</v>
      </c>
      <c r="J381" s="1" t="str">
        <f t="shared" si="0"/>
        <v/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6.25" hidden="1" customHeight="1">
      <c r="A382" s="17">
        <f t="shared" si="1"/>
        <v>379</v>
      </c>
      <c r="B382" s="18" t="s">
        <v>81</v>
      </c>
      <c r="C382" s="31" t="s">
        <v>2193</v>
      </c>
      <c r="D382" s="19" t="s">
        <v>2194</v>
      </c>
      <c r="E382" s="20" t="s">
        <v>2195</v>
      </c>
      <c r="F382" s="32" t="s">
        <v>2196</v>
      </c>
      <c r="G382" s="33" t="s">
        <v>42</v>
      </c>
      <c r="H382" s="23" t="s">
        <v>2197</v>
      </c>
      <c r="I382" s="24" t="s">
        <v>55</v>
      </c>
      <c r="J382" s="1" t="str">
        <f t="shared" si="0"/>
        <v/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6.25" customHeight="1">
      <c r="A383" s="17">
        <f t="shared" si="1"/>
        <v>380</v>
      </c>
      <c r="B383" s="18" t="s">
        <v>27</v>
      </c>
      <c r="C383" s="31" t="s">
        <v>2198</v>
      </c>
      <c r="D383" s="19" t="s">
        <v>124</v>
      </c>
      <c r="E383" s="20" t="s">
        <v>2199</v>
      </c>
      <c r="F383" s="21" t="s">
        <v>2200</v>
      </c>
      <c r="G383" s="22" t="s">
        <v>42</v>
      </c>
      <c r="H383" s="23" t="s">
        <v>2201</v>
      </c>
      <c r="I383" s="34" t="s">
        <v>20</v>
      </c>
      <c r="J383" s="1" t="str">
        <f t="shared" si="0"/>
        <v>과기</v>
      </c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ht="26.25" hidden="1" customHeight="1">
      <c r="A384" s="17">
        <f t="shared" si="1"/>
        <v>381</v>
      </c>
      <c r="B384" s="18" t="s">
        <v>248</v>
      </c>
      <c r="C384" s="19" t="s">
        <v>2202</v>
      </c>
      <c r="D384" s="19" t="s">
        <v>939</v>
      </c>
      <c r="E384" s="20" t="s">
        <v>2203</v>
      </c>
      <c r="F384" s="21" t="s">
        <v>135</v>
      </c>
      <c r="G384" s="33" t="s">
        <v>42</v>
      </c>
      <c r="H384" s="23" t="s">
        <v>2204</v>
      </c>
      <c r="I384" s="24" t="s">
        <v>20</v>
      </c>
      <c r="J384" s="1" t="str">
        <f t="shared" si="0"/>
        <v>FRIC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6.25" hidden="1" customHeight="1">
      <c r="A385" s="17">
        <f t="shared" si="1"/>
        <v>382</v>
      </c>
      <c r="B385" s="18" t="s">
        <v>132</v>
      </c>
      <c r="C385" s="19" t="s">
        <v>2205</v>
      </c>
      <c r="D385" s="19" t="s">
        <v>447</v>
      </c>
      <c r="E385" s="20" t="s">
        <v>2206</v>
      </c>
      <c r="F385" s="21" t="s">
        <v>2207</v>
      </c>
      <c r="G385" s="22" t="s">
        <v>42</v>
      </c>
      <c r="H385" s="23" t="s">
        <v>2208</v>
      </c>
      <c r="I385" s="24" t="s">
        <v>20</v>
      </c>
      <c r="J385" s="1" t="str">
        <f t="shared" si="0"/>
        <v>FRIC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6.25" hidden="1" customHeight="1">
      <c r="A386" s="17">
        <f t="shared" si="1"/>
        <v>383</v>
      </c>
      <c r="B386" s="18" t="s">
        <v>132</v>
      </c>
      <c r="C386" s="31" t="s">
        <v>2209</v>
      </c>
      <c r="D386" s="19" t="s">
        <v>227</v>
      </c>
      <c r="E386" s="20" t="s">
        <v>2210</v>
      </c>
      <c r="F386" s="32" t="s">
        <v>2211</v>
      </c>
      <c r="G386" s="22" t="s">
        <v>42</v>
      </c>
      <c r="H386" s="23" t="s">
        <v>2212</v>
      </c>
      <c r="I386" s="24" t="s">
        <v>55</v>
      </c>
      <c r="J386" s="1" t="str">
        <f t="shared" si="0"/>
        <v/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6.25" hidden="1" customHeight="1">
      <c r="A387" s="17">
        <f t="shared" si="1"/>
        <v>384</v>
      </c>
      <c r="B387" s="18" t="s">
        <v>81</v>
      </c>
      <c r="C387" s="31" t="s">
        <v>2213</v>
      </c>
      <c r="D387" s="19" t="s">
        <v>271</v>
      </c>
      <c r="E387" s="20" t="s">
        <v>2214</v>
      </c>
      <c r="F387" s="32" t="s">
        <v>2215</v>
      </c>
      <c r="G387" s="33" t="s">
        <v>1290</v>
      </c>
      <c r="H387" s="23" t="s">
        <v>2216</v>
      </c>
      <c r="I387" s="24" t="s">
        <v>55</v>
      </c>
      <c r="J387" s="1" t="str">
        <f t="shared" si="0"/>
        <v/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6.25" hidden="1" customHeight="1">
      <c r="A388" s="17">
        <f t="shared" si="1"/>
        <v>385</v>
      </c>
      <c r="B388" s="18" t="s">
        <v>1375</v>
      </c>
      <c r="C388" s="31" t="s">
        <v>2217</v>
      </c>
      <c r="D388" s="19" t="s">
        <v>2218</v>
      </c>
      <c r="E388" s="20" t="s">
        <v>2219</v>
      </c>
      <c r="F388" s="32" t="s">
        <v>1921</v>
      </c>
      <c r="G388" s="22" t="s">
        <v>31</v>
      </c>
      <c r="H388" s="23" t="s">
        <v>2220</v>
      </c>
      <c r="I388" s="24" t="s">
        <v>55</v>
      </c>
      <c r="J388" s="1" t="str">
        <f t="shared" si="0"/>
        <v/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6.25" hidden="1" customHeight="1">
      <c r="A389" s="17">
        <f t="shared" si="1"/>
        <v>386</v>
      </c>
      <c r="B389" s="18" t="s">
        <v>27</v>
      </c>
      <c r="C389" s="31" t="s">
        <v>2221</v>
      </c>
      <c r="D389" s="19" t="s">
        <v>808</v>
      </c>
      <c r="E389" s="20" t="s">
        <v>2222</v>
      </c>
      <c r="F389" s="32" t="s">
        <v>428</v>
      </c>
      <c r="G389" s="22" t="s">
        <v>53</v>
      </c>
      <c r="H389" s="23" t="s">
        <v>2223</v>
      </c>
      <c r="I389" s="24" t="s">
        <v>55</v>
      </c>
      <c r="J389" s="1" t="str">
        <f t="shared" si="0"/>
        <v/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6.25" hidden="1" customHeight="1">
      <c r="A390" s="17">
        <f t="shared" si="1"/>
        <v>387</v>
      </c>
      <c r="B390" s="18" t="s">
        <v>27</v>
      </c>
      <c r="C390" s="31" t="s">
        <v>2224</v>
      </c>
      <c r="D390" s="19" t="s">
        <v>808</v>
      </c>
      <c r="E390" s="20" t="s">
        <v>809</v>
      </c>
      <c r="F390" s="32" t="s">
        <v>2225</v>
      </c>
      <c r="G390" s="22" t="s">
        <v>42</v>
      </c>
      <c r="H390" s="23" t="s">
        <v>2226</v>
      </c>
      <c r="I390" s="24" t="s">
        <v>55</v>
      </c>
      <c r="J390" s="1" t="str">
        <f t="shared" si="0"/>
        <v/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6.25" hidden="1" customHeight="1">
      <c r="A391" s="17">
        <f t="shared" si="1"/>
        <v>388</v>
      </c>
      <c r="B391" s="18" t="s">
        <v>27</v>
      </c>
      <c r="C391" s="31" t="s">
        <v>2227</v>
      </c>
      <c r="D391" s="19" t="s">
        <v>808</v>
      </c>
      <c r="E391" s="20" t="s">
        <v>814</v>
      </c>
      <c r="F391" s="32" t="s">
        <v>2225</v>
      </c>
      <c r="G391" s="22" t="s">
        <v>42</v>
      </c>
      <c r="H391" s="23" t="s">
        <v>2228</v>
      </c>
      <c r="I391" s="24" t="s">
        <v>55</v>
      </c>
      <c r="J391" s="1" t="str">
        <f t="shared" si="0"/>
        <v/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6.25" hidden="1" customHeight="1">
      <c r="A392" s="17">
        <f t="shared" si="1"/>
        <v>389</v>
      </c>
      <c r="B392" s="18" t="s">
        <v>27</v>
      </c>
      <c r="C392" s="31" t="s">
        <v>2229</v>
      </c>
      <c r="D392" s="19" t="s">
        <v>808</v>
      </c>
      <c r="E392" s="20" t="s">
        <v>820</v>
      </c>
      <c r="F392" s="32" t="s">
        <v>2225</v>
      </c>
      <c r="G392" s="22" t="s">
        <v>42</v>
      </c>
      <c r="H392" s="23" t="s">
        <v>2230</v>
      </c>
      <c r="I392" s="24" t="s">
        <v>55</v>
      </c>
      <c r="J392" s="1" t="str">
        <f t="shared" si="0"/>
        <v/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6.25" hidden="1" customHeight="1">
      <c r="A393" s="17">
        <f t="shared" si="1"/>
        <v>390</v>
      </c>
      <c r="B393" s="18" t="s">
        <v>13</v>
      </c>
      <c r="C393" s="19" t="s">
        <v>2231</v>
      </c>
      <c r="D393" s="19" t="s">
        <v>939</v>
      </c>
      <c r="E393" s="20" t="s">
        <v>2232</v>
      </c>
      <c r="F393" s="21" t="s">
        <v>1011</v>
      </c>
      <c r="G393" s="22" t="s">
        <v>42</v>
      </c>
      <c r="H393" s="23" t="s">
        <v>2233</v>
      </c>
      <c r="I393" s="24" t="s">
        <v>20</v>
      </c>
      <c r="J393" s="1" t="str">
        <f t="shared" si="0"/>
        <v>FRIC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6.25" hidden="1" customHeight="1">
      <c r="A394" s="17">
        <f t="shared" si="1"/>
        <v>391</v>
      </c>
      <c r="B394" s="18" t="s">
        <v>37</v>
      </c>
      <c r="C394" s="19" t="s">
        <v>2234</v>
      </c>
      <c r="D394" s="19" t="s">
        <v>45</v>
      </c>
      <c r="E394" s="20" t="s">
        <v>2235</v>
      </c>
      <c r="F394" s="21" t="s">
        <v>2236</v>
      </c>
      <c r="G394" s="22" t="s">
        <v>42</v>
      </c>
      <c r="H394" s="23" t="s">
        <v>2237</v>
      </c>
      <c r="I394" s="24" t="s">
        <v>20</v>
      </c>
      <c r="J394" s="1" t="str">
        <f t="shared" si="0"/>
        <v>FRIC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6.25" hidden="1" customHeight="1">
      <c r="A395" s="17">
        <f t="shared" si="1"/>
        <v>392</v>
      </c>
      <c r="B395" s="18" t="s">
        <v>37</v>
      </c>
      <c r="C395" s="19" t="s">
        <v>2238</v>
      </c>
      <c r="D395" s="19" t="s">
        <v>277</v>
      </c>
      <c r="E395" s="20" t="s">
        <v>2239</v>
      </c>
      <c r="F395" s="21" t="s">
        <v>85</v>
      </c>
      <c r="G395" s="22" t="s">
        <v>42</v>
      </c>
      <c r="H395" s="23" t="s">
        <v>2240</v>
      </c>
      <c r="I395" s="24" t="s">
        <v>20</v>
      </c>
      <c r="J395" s="1" t="str">
        <f t="shared" si="0"/>
        <v>FRIC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6.25" hidden="1" customHeight="1">
      <c r="A396" s="17">
        <f t="shared" si="1"/>
        <v>393</v>
      </c>
      <c r="B396" s="18" t="s">
        <v>37</v>
      </c>
      <c r="C396" s="31" t="s">
        <v>2241</v>
      </c>
      <c r="D396" s="19" t="s">
        <v>2242</v>
      </c>
      <c r="E396" s="20" t="s">
        <v>2243</v>
      </c>
      <c r="F396" s="32" t="s">
        <v>2244</v>
      </c>
      <c r="G396" s="22" t="s">
        <v>53</v>
      </c>
      <c r="H396" s="23" t="s">
        <v>2245</v>
      </c>
      <c r="I396" s="24" t="s">
        <v>55</v>
      </c>
      <c r="J396" s="1" t="str">
        <f t="shared" si="0"/>
        <v/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6.25" hidden="1" customHeight="1">
      <c r="A397" s="17">
        <f t="shared" si="1"/>
        <v>394</v>
      </c>
      <c r="B397" s="18" t="s">
        <v>37</v>
      </c>
      <c r="C397" s="31" t="s">
        <v>2246</v>
      </c>
      <c r="D397" s="19" t="s">
        <v>2247</v>
      </c>
      <c r="E397" s="20" t="s">
        <v>2248</v>
      </c>
      <c r="F397" s="32" t="s">
        <v>2249</v>
      </c>
      <c r="G397" s="22" t="s">
        <v>42</v>
      </c>
      <c r="H397" s="23" t="s">
        <v>2250</v>
      </c>
      <c r="I397" s="24" t="s">
        <v>55</v>
      </c>
      <c r="J397" s="1" t="str">
        <f t="shared" si="0"/>
        <v/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6.25" hidden="1" customHeight="1">
      <c r="A398" s="17">
        <f t="shared" si="1"/>
        <v>395</v>
      </c>
      <c r="B398" s="18" t="s">
        <v>37</v>
      </c>
      <c r="C398" s="31" t="s">
        <v>2251</v>
      </c>
      <c r="D398" s="19" t="s">
        <v>277</v>
      </c>
      <c r="E398" s="20" t="s">
        <v>2252</v>
      </c>
      <c r="F398" s="32" t="s">
        <v>2253</v>
      </c>
      <c r="G398" s="22" t="s">
        <v>42</v>
      </c>
      <c r="H398" s="23" t="s">
        <v>2254</v>
      </c>
      <c r="I398" s="24" t="s">
        <v>55</v>
      </c>
      <c r="J398" s="1" t="str">
        <f t="shared" si="0"/>
        <v/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6.25" hidden="1" customHeight="1">
      <c r="A399" s="17">
        <f t="shared" si="1"/>
        <v>396</v>
      </c>
      <c r="B399" s="18" t="s">
        <v>105</v>
      </c>
      <c r="C399" s="31" t="s">
        <v>2255</v>
      </c>
      <c r="D399" s="19" t="s">
        <v>277</v>
      </c>
      <c r="E399" s="20" t="s">
        <v>2256</v>
      </c>
      <c r="F399" s="32" t="s">
        <v>2257</v>
      </c>
      <c r="G399" s="33" t="s">
        <v>63</v>
      </c>
      <c r="H399" s="23" t="s">
        <v>2258</v>
      </c>
      <c r="I399" s="24" t="s">
        <v>55</v>
      </c>
      <c r="J399" s="1" t="str">
        <f t="shared" si="0"/>
        <v/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6.25" customHeight="1">
      <c r="A400" s="17">
        <f t="shared" si="1"/>
        <v>397</v>
      </c>
      <c r="B400" s="18" t="s">
        <v>132</v>
      </c>
      <c r="C400" s="31" t="s">
        <v>2259</v>
      </c>
      <c r="D400" s="19" t="s">
        <v>447</v>
      </c>
      <c r="E400" s="20" t="s">
        <v>2260</v>
      </c>
      <c r="F400" s="21" t="s">
        <v>1363</v>
      </c>
      <c r="G400" s="22" t="s">
        <v>31</v>
      </c>
      <c r="H400" s="23" t="s">
        <v>2261</v>
      </c>
      <c r="I400" s="24" t="s">
        <v>20</v>
      </c>
      <c r="J400" s="1" t="str">
        <f t="shared" si="0"/>
        <v>과기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6.25" hidden="1" customHeight="1">
      <c r="A401" s="17">
        <f t="shared" si="1"/>
        <v>398</v>
      </c>
      <c r="B401" s="18" t="s">
        <v>175</v>
      </c>
      <c r="C401" s="19" t="s">
        <v>2262</v>
      </c>
      <c r="D401" s="19" t="s">
        <v>2263</v>
      </c>
      <c r="E401" s="20" t="s">
        <v>2264</v>
      </c>
      <c r="F401" s="21" t="s">
        <v>905</v>
      </c>
      <c r="G401" s="33" t="s">
        <v>31</v>
      </c>
      <c r="H401" s="23" t="s">
        <v>2265</v>
      </c>
      <c r="I401" s="24" t="s">
        <v>20</v>
      </c>
      <c r="J401" s="1" t="str">
        <f t="shared" si="0"/>
        <v>FRIC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6.25" hidden="1" customHeight="1">
      <c r="A402" s="17">
        <f t="shared" si="1"/>
        <v>399</v>
      </c>
      <c r="B402" s="18" t="s">
        <v>48</v>
      </c>
      <c r="C402" s="31" t="s">
        <v>2266</v>
      </c>
      <c r="D402" s="19" t="s">
        <v>2267</v>
      </c>
      <c r="E402" s="20" t="s">
        <v>2268</v>
      </c>
      <c r="F402" s="32" t="s">
        <v>542</v>
      </c>
      <c r="G402" s="33" t="s">
        <v>42</v>
      </c>
      <c r="H402" s="23" t="s">
        <v>2269</v>
      </c>
      <c r="I402" s="24" t="s">
        <v>55</v>
      </c>
      <c r="J402" s="1" t="str">
        <f t="shared" si="0"/>
        <v/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6.25" hidden="1" customHeight="1">
      <c r="A403" s="17">
        <f t="shared" si="1"/>
        <v>400</v>
      </c>
      <c r="B403" s="18" t="s">
        <v>105</v>
      </c>
      <c r="C403" s="19" t="s">
        <v>2270</v>
      </c>
      <c r="D403" s="19" t="s">
        <v>2271</v>
      </c>
      <c r="E403" s="20" t="s">
        <v>1864</v>
      </c>
      <c r="F403" s="32" t="s">
        <v>2272</v>
      </c>
      <c r="G403" s="33" t="s">
        <v>42</v>
      </c>
      <c r="H403" s="23" t="s">
        <v>2273</v>
      </c>
      <c r="I403" s="34" t="s">
        <v>55</v>
      </c>
      <c r="J403" s="1" t="str">
        <f t="shared" si="0"/>
        <v/>
      </c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ht="26.25" hidden="1" customHeight="1">
      <c r="A404" s="17">
        <f t="shared" si="1"/>
        <v>401</v>
      </c>
      <c r="B404" s="18" t="s">
        <v>175</v>
      </c>
      <c r="C404" s="31" t="s">
        <v>2274</v>
      </c>
      <c r="D404" s="19" t="s">
        <v>722</v>
      </c>
      <c r="E404" s="20" t="s">
        <v>2275</v>
      </c>
      <c r="F404" s="32" t="s">
        <v>2276</v>
      </c>
      <c r="G404" s="33" t="s">
        <v>42</v>
      </c>
      <c r="H404" s="23" t="s">
        <v>2277</v>
      </c>
      <c r="I404" s="24" t="s">
        <v>55</v>
      </c>
      <c r="J404" s="1" t="str">
        <f t="shared" si="0"/>
        <v/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6.25" hidden="1" customHeight="1">
      <c r="A405" s="17">
        <f t="shared" si="1"/>
        <v>402</v>
      </c>
      <c r="B405" s="18" t="s">
        <v>105</v>
      </c>
      <c r="C405" s="31" t="s">
        <v>2278</v>
      </c>
      <c r="D405" s="19" t="s">
        <v>499</v>
      </c>
      <c r="E405" s="20" t="s">
        <v>2279</v>
      </c>
      <c r="F405" s="32" t="s">
        <v>2280</v>
      </c>
      <c r="G405" s="33" t="s">
        <v>1290</v>
      </c>
      <c r="H405" s="23" t="s">
        <v>2281</v>
      </c>
      <c r="I405" s="24" t="s">
        <v>55</v>
      </c>
      <c r="J405" s="1" t="str">
        <f t="shared" si="0"/>
        <v/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6.25" hidden="1" customHeight="1">
      <c r="A406" s="17">
        <f t="shared" si="1"/>
        <v>403</v>
      </c>
      <c r="B406" s="18" t="s">
        <v>248</v>
      </c>
      <c r="C406" s="19" t="s">
        <v>2282</v>
      </c>
      <c r="D406" s="19" t="s">
        <v>168</v>
      </c>
      <c r="E406" s="20" t="s">
        <v>2283</v>
      </c>
      <c r="F406" s="21" t="s">
        <v>2284</v>
      </c>
      <c r="G406" s="33" t="s">
        <v>31</v>
      </c>
      <c r="H406" s="23" t="s">
        <v>2285</v>
      </c>
      <c r="I406" s="24" t="s">
        <v>20</v>
      </c>
      <c r="J406" s="1" t="str">
        <f t="shared" si="0"/>
        <v>FRIC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6.25" hidden="1" customHeight="1">
      <c r="A407" s="17">
        <f t="shared" si="1"/>
        <v>404</v>
      </c>
      <c r="B407" s="18" t="s">
        <v>867</v>
      </c>
      <c r="C407" s="19" t="s">
        <v>2286</v>
      </c>
      <c r="D407" s="19" t="s">
        <v>2287</v>
      </c>
      <c r="E407" s="20" t="s">
        <v>2288</v>
      </c>
      <c r="F407" s="21" t="s">
        <v>293</v>
      </c>
      <c r="G407" s="33" t="s">
        <v>42</v>
      </c>
      <c r="H407" s="23" t="s">
        <v>2289</v>
      </c>
      <c r="I407" s="24" t="s">
        <v>20</v>
      </c>
      <c r="J407" s="1" t="str">
        <f t="shared" si="0"/>
        <v>FRIC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6.25" hidden="1" customHeight="1">
      <c r="A408" s="17">
        <f t="shared" si="1"/>
        <v>405</v>
      </c>
      <c r="B408" s="18" t="s">
        <v>105</v>
      </c>
      <c r="C408" s="31" t="s">
        <v>2290</v>
      </c>
      <c r="D408" s="19" t="s">
        <v>112</v>
      </c>
      <c r="E408" s="20" t="s">
        <v>113</v>
      </c>
      <c r="F408" s="32" t="s">
        <v>962</v>
      </c>
      <c r="G408" s="33" t="s">
        <v>42</v>
      </c>
      <c r="H408" s="23" t="s">
        <v>2291</v>
      </c>
      <c r="I408" s="24" t="s">
        <v>55</v>
      </c>
      <c r="J408" s="1" t="str">
        <f t="shared" si="0"/>
        <v/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6.25" hidden="1" customHeight="1">
      <c r="A409" s="17">
        <f t="shared" si="1"/>
        <v>406</v>
      </c>
      <c r="B409" s="18" t="s">
        <v>105</v>
      </c>
      <c r="C409" s="31" t="s">
        <v>2292</v>
      </c>
      <c r="D409" s="19" t="s">
        <v>124</v>
      </c>
      <c r="E409" s="20" t="s">
        <v>2293</v>
      </c>
      <c r="F409" s="32" t="s">
        <v>2294</v>
      </c>
      <c r="G409" s="33" t="s">
        <v>42</v>
      </c>
      <c r="H409" s="23" t="s">
        <v>2295</v>
      </c>
      <c r="I409" s="24" t="s">
        <v>55</v>
      </c>
      <c r="J409" s="1" t="str">
        <f t="shared" si="0"/>
        <v/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6.25" hidden="1" customHeight="1">
      <c r="A410" s="17">
        <f t="shared" si="1"/>
        <v>407</v>
      </c>
      <c r="B410" s="18" t="s">
        <v>132</v>
      </c>
      <c r="C410" s="19" t="s">
        <v>2296</v>
      </c>
      <c r="D410" s="19" t="s">
        <v>447</v>
      </c>
      <c r="E410" s="20" t="s">
        <v>2297</v>
      </c>
      <c r="F410" s="21" t="s">
        <v>135</v>
      </c>
      <c r="G410" s="22" t="s">
        <v>42</v>
      </c>
      <c r="H410" s="23" t="s">
        <v>2298</v>
      </c>
      <c r="I410" s="24" t="s">
        <v>20</v>
      </c>
      <c r="J410" s="1" t="str">
        <f t="shared" si="0"/>
        <v>FRIC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6.25" hidden="1" customHeight="1">
      <c r="A411" s="17">
        <f t="shared" si="1"/>
        <v>408</v>
      </c>
      <c r="B411" s="18" t="s">
        <v>27</v>
      </c>
      <c r="C411" s="19" t="s">
        <v>2299</v>
      </c>
      <c r="D411" s="19" t="s">
        <v>2300</v>
      </c>
      <c r="E411" s="20" t="s">
        <v>2301</v>
      </c>
      <c r="F411" s="21" t="s">
        <v>41</v>
      </c>
      <c r="G411" s="22" t="s">
        <v>42</v>
      </c>
      <c r="H411" s="23" t="s">
        <v>2302</v>
      </c>
      <c r="I411" s="24" t="s">
        <v>20</v>
      </c>
      <c r="J411" s="1" t="str">
        <f t="shared" si="0"/>
        <v>FRIC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6.25" hidden="1" customHeight="1">
      <c r="A412" s="17">
        <f t="shared" si="1"/>
        <v>409</v>
      </c>
      <c r="B412" s="18" t="s">
        <v>105</v>
      </c>
      <c r="C412" s="31" t="s">
        <v>2303</v>
      </c>
      <c r="D412" s="19" t="s">
        <v>277</v>
      </c>
      <c r="E412" s="20" t="s">
        <v>2304</v>
      </c>
      <c r="F412" s="32" t="s">
        <v>519</v>
      </c>
      <c r="G412" s="33" t="s">
        <v>42</v>
      </c>
      <c r="H412" s="23" t="s">
        <v>2305</v>
      </c>
      <c r="I412" s="24" t="s">
        <v>55</v>
      </c>
      <c r="J412" s="1" t="str">
        <f t="shared" si="0"/>
        <v/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6.25" hidden="1" customHeight="1">
      <c r="A413" s="17">
        <f t="shared" si="1"/>
        <v>410</v>
      </c>
      <c r="B413" s="18" t="s">
        <v>48</v>
      </c>
      <c r="C413" s="31" t="s">
        <v>2306</v>
      </c>
      <c r="D413" s="19" t="s">
        <v>2307</v>
      </c>
      <c r="E413" s="20" t="s">
        <v>2308</v>
      </c>
      <c r="F413" s="32" t="s">
        <v>222</v>
      </c>
      <c r="G413" s="33" t="s">
        <v>42</v>
      </c>
      <c r="H413" s="23" t="s">
        <v>2309</v>
      </c>
      <c r="I413" s="24" t="s">
        <v>55</v>
      </c>
      <c r="J413" s="1" t="str">
        <f t="shared" si="0"/>
        <v/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6.25" customHeight="1">
      <c r="A414" s="17">
        <f t="shared" si="1"/>
        <v>411</v>
      </c>
      <c r="B414" s="18" t="s">
        <v>105</v>
      </c>
      <c r="C414" s="31" t="s">
        <v>2310</v>
      </c>
      <c r="D414" s="19" t="s">
        <v>2311</v>
      </c>
      <c r="E414" s="20" t="s">
        <v>2312</v>
      </c>
      <c r="F414" s="21" t="s">
        <v>17</v>
      </c>
      <c r="G414" s="33" t="s">
        <v>42</v>
      </c>
      <c r="H414" s="23" t="s">
        <v>2313</v>
      </c>
      <c r="I414" s="24" t="s">
        <v>20</v>
      </c>
      <c r="J414" s="1" t="str">
        <f t="shared" si="0"/>
        <v>과기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6.25" hidden="1" customHeight="1">
      <c r="A415" s="17">
        <f t="shared" si="1"/>
        <v>412</v>
      </c>
      <c r="B415" s="18" t="s">
        <v>13</v>
      </c>
      <c r="C415" s="19" t="s">
        <v>2314</v>
      </c>
      <c r="D415" s="19" t="s">
        <v>939</v>
      </c>
      <c r="E415" s="20" t="s">
        <v>2315</v>
      </c>
      <c r="F415" s="21" t="s">
        <v>135</v>
      </c>
      <c r="G415" s="22" t="s">
        <v>42</v>
      </c>
      <c r="H415" s="23" t="s">
        <v>2316</v>
      </c>
      <c r="I415" s="24" t="s">
        <v>20</v>
      </c>
      <c r="J415" s="1" t="str">
        <f t="shared" si="0"/>
        <v>FRIC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6.25" hidden="1" customHeight="1">
      <c r="A416" s="17">
        <f t="shared" si="1"/>
        <v>413</v>
      </c>
      <c r="B416" s="18" t="s">
        <v>105</v>
      </c>
      <c r="C416" s="31" t="s">
        <v>2317</v>
      </c>
      <c r="D416" s="19" t="s">
        <v>374</v>
      </c>
      <c r="E416" s="20" t="s">
        <v>2318</v>
      </c>
      <c r="F416" s="32" t="s">
        <v>1957</v>
      </c>
      <c r="G416" s="33" t="s">
        <v>31</v>
      </c>
      <c r="H416" s="23" t="s">
        <v>2319</v>
      </c>
      <c r="I416" s="24" t="s">
        <v>55</v>
      </c>
      <c r="J416" s="1" t="str">
        <f t="shared" si="0"/>
        <v/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6.25" hidden="1" customHeight="1">
      <c r="A417" s="17">
        <f t="shared" si="1"/>
        <v>414</v>
      </c>
      <c r="B417" s="18" t="s">
        <v>175</v>
      </c>
      <c r="C417" s="31" t="s">
        <v>2320</v>
      </c>
      <c r="D417" s="19" t="s">
        <v>277</v>
      </c>
      <c r="E417" s="20" t="s">
        <v>2321</v>
      </c>
      <c r="F417" s="32" t="s">
        <v>2322</v>
      </c>
      <c r="G417" s="33" t="s">
        <v>42</v>
      </c>
      <c r="H417" s="23" t="s">
        <v>2323</v>
      </c>
      <c r="I417" s="24" t="s">
        <v>55</v>
      </c>
      <c r="J417" s="1" t="str">
        <f t="shared" si="0"/>
        <v/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6.25" hidden="1" customHeight="1">
      <c r="A418" s="17">
        <f t="shared" si="1"/>
        <v>415</v>
      </c>
      <c r="B418" s="18" t="s">
        <v>175</v>
      </c>
      <c r="C418" s="31" t="s">
        <v>2324</v>
      </c>
      <c r="D418" s="19" t="s">
        <v>308</v>
      </c>
      <c r="E418" s="20" t="s">
        <v>2325</v>
      </c>
      <c r="F418" s="32" t="s">
        <v>2326</v>
      </c>
      <c r="G418" s="33" t="s">
        <v>42</v>
      </c>
      <c r="H418" s="23" t="s">
        <v>2327</v>
      </c>
      <c r="I418" s="24" t="s">
        <v>55</v>
      </c>
      <c r="J418" s="1" t="str">
        <f t="shared" si="0"/>
        <v/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6.25" customHeight="1">
      <c r="A419" s="17">
        <f t="shared" si="1"/>
        <v>416</v>
      </c>
      <c r="B419" s="18" t="s">
        <v>175</v>
      </c>
      <c r="C419" s="31" t="s">
        <v>2328</v>
      </c>
      <c r="D419" s="19" t="s">
        <v>1338</v>
      </c>
      <c r="E419" s="20" t="s">
        <v>2329</v>
      </c>
      <c r="F419" s="21" t="s">
        <v>2330</v>
      </c>
      <c r="G419" s="33" t="s">
        <v>42</v>
      </c>
      <c r="H419" s="23" t="s">
        <v>2331</v>
      </c>
      <c r="I419" s="34" t="s">
        <v>20</v>
      </c>
      <c r="J419" s="1" t="str">
        <f t="shared" si="0"/>
        <v>과기</v>
      </c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ht="26.25" hidden="1" customHeight="1">
      <c r="A420" s="17">
        <f t="shared" si="1"/>
        <v>417</v>
      </c>
      <c r="B420" s="18" t="s">
        <v>248</v>
      </c>
      <c r="C420" s="31" t="s">
        <v>2332</v>
      </c>
      <c r="D420" s="19" t="s">
        <v>141</v>
      </c>
      <c r="E420" s="20" t="s">
        <v>2333</v>
      </c>
      <c r="F420" s="32" t="s">
        <v>2334</v>
      </c>
      <c r="G420" s="33" t="s">
        <v>350</v>
      </c>
      <c r="H420" s="23" t="s">
        <v>2335</v>
      </c>
      <c r="I420" s="24" t="s">
        <v>55</v>
      </c>
      <c r="J420" s="1" t="str">
        <f t="shared" si="0"/>
        <v/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6.25" hidden="1" customHeight="1">
      <c r="A421" s="17">
        <f t="shared" si="1"/>
        <v>418</v>
      </c>
      <c r="B421" s="18" t="s">
        <v>175</v>
      </c>
      <c r="C421" s="31" t="s">
        <v>2336</v>
      </c>
      <c r="D421" s="19" t="s">
        <v>2337</v>
      </c>
      <c r="E421" s="20" t="s">
        <v>2338</v>
      </c>
      <c r="F421" s="32" t="s">
        <v>2339</v>
      </c>
      <c r="G421" s="33" t="s">
        <v>42</v>
      </c>
      <c r="H421" s="23" t="s">
        <v>2340</v>
      </c>
      <c r="I421" s="24" t="s">
        <v>55</v>
      </c>
      <c r="J421" s="1" t="str">
        <f t="shared" si="0"/>
        <v/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6.25" customHeight="1">
      <c r="A422" s="17">
        <f t="shared" si="1"/>
        <v>419</v>
      </c>
      <c r="B422" s="18" t="s">
        <v>37</v>
      </c>
      <c r="C422" s="19" t="s">
        <v>2341</v>
      </c>
      <c r="D422" s="19" t="s">
        <v>141</v>
      </c>
      <c r="E422" s="20" t="s">
        <v>2342</v>
      </c>
      <c r="F422" s="21" t="s">
        <v>905</v>
      </c>
      <c r="G422" s="22" t="s">
        <v>42</v>
      </c>
      <c r="H422" s="23" t="s">
        <v>2343</v>
      </c>
      <c r="I422" s="24" t="s">
        <v>20</v>
      </c>
      <c r="J422" s="1" t="str">
        <f t="shared" si="0"/>
        <v>과기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6.25" hidden="1" customHeight="1">
      <c r="A423" s="17">
        <f t="shared" si="1"/>
        <v>420</v>
      </c>
      <c r="B423" s="18" t="s">
        <v>27</v>
      </c>
      <c r="C423" s="19" t="s">
        <v>2344</v>
      </c>
      <c r="D423" s="19" t="s">
        <v>112</v>
      </c>
      <c r="E423" s="20" t="s">
        <v>2345</v>
      </c>
      <c r="F423" s="21" t="s">
        <v>905</v>
      </c>
      <c r="G423" s="22" t="s">
        <v>42</v>
      </c>
      <c r="H423" s="23" t="s">
        <v>2346</v>
      </c>
      <c r="I423" s="24" t="s">
        <v>20</v>
      </c>
      <c r="J423" s="1" t="str">
        <f t="shared" si="0"/>
        <v>FRIC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6.25" hidden="1" customHeight="1">
      <c r="A424" s="17">
        <f t="shared" si="1"/>
        <v>421</v>
      </c>
      <c r="B424" s="18" t="s">
        <v>37</v>
      </c>
      <c r="C424" s="31" t="s">
        <v>1088</v>
      </c>
      <c r="D424" s="19" t="s">
        <v>588</v>
      </c>
      <c r="E424" s="20" t="s">
        <v>1089</v>
      </c>
      <c r="F424" s="32" t="s">
        <v>170</v>
      </c>
      <c r="G424" s="22" t="s">
        <v>42</v>
      </c>
      <c r="H424" s="23" t="s">
        <v>2347</v>
      </c>
      <c r="I424" s="24" t="s">
        <v>55</v>
      </c>
      <c r="J424" s="1" t="str">
        <f t="shared" si="0"/>
        <v/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6.25" hidden="1" customHeight="1">
      <c r="A425" s="17">
        <f t="shared" si="1"/>
        <v>422</v>
      </c>
      <c r="B425" s="18" t="s">
        <v>132</v>
      </c>
      <c r="C425" s="19" t="s">
        <v>2348</v>
      </c>
      <c r="D425" s="19" t="s">
        <v>447</v>
      </c>
      <c r="E425" s="20" t="s">
        <v>2349</v>
      </c>
      <c r="F425" s="21" t="s">
        <v>2350</v>
      </c>
      <c r="G425" s="22" t="s">
        <v>42</v>
      </c>
      <c r="H425" s="23" t="s">
        <v>2351</v>
      </c>
      <c r="I425" s="24" t="s">
        <v>20</v>
      </c>
      <c r="J425" s="1" t="str">
        <f t="shared" si="0"/>
        <v>FRIC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6.25" hidden="1" customHeight="1">
      <c r="A426" s="17">
        <f t="shared" si="1"/>
        <v>423</v>
      </c>
      <c r="B426" s="18" t="s">
        <v>13</v>
      </c>
      <c r="C426" s="31" t="s">
        <v>2352</v>
      </c>
      <c r="D426" s="19" t="s">
        <v>939</v>
      </c>
      <c r="E426" s="20" t="s">
        <v>2353</v>
      </c>
      <c r="F426" s="32" t="s">
        <v>222</v>
      </c>
      <c r="G426" s="22" t="s">
        <v>31</v>
      </c>
      <c r="H426" s="23" t="s">
        <v>2354</v>
      </c>
      <c r="I426" s="24" t="s">
        <v>55</v>
      </c>
      <c r="J426" s="1" t="str">
        <f t="shared" si="0"/>
        <v/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6.25" hidden="1" customHeight="1">
      <c r="A427" s="17">
        <f t="shared" si="1"/>
        <v>424</v>
      </c>
      <c r="B427" s="18" t="s">
        <v>233</v>
      </c>
      <c r="C427" s="31" t="s">
        <v>591</v>
      </c>
      <c r="D427" s="19" t="s">
        <v>242</v>
      </c>
      <c r="E427" s="20" t="s">
        <v>592</v>
      </c>
      <c r="F427" s="32" t="s">
        <v>496</v>
      </c>
      <c r="G427" s="22" t="s">
        <v>42</v>
      </c>
      <c r="H427" s="23" t="s">
        <v>2355</v>
      </c>
      <c r="I427" s="24" t="s">
        <v>55</v>
      </c>
      <c r="J427" s="1" t="str">
        <f t="shared" si="0"/>
        <v/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6.25" hidden="1" customHeight="1">
      <c r="A428" s="17">
        <f t="shared" si="1"/>
        <v>425</v>
      </c>
      <c r="B428" s="18" t="s">
        <v>132</v>
      </c>
      <c r="C428" s="19" t="s">
        <v>2356</v>
      </c>
      <c r="D428" s="19" t="s">
        <v>124</v>
      </c>
      <c r="E428" s="20" t="s">
        <v>2357</v>
      </c>
      <c r="F428" s="21" t="s">
        <v>2358</v>
      </c>
      <c r="G428" s="22" t="s">
        <v>42</v>
      </c>
      <c r="H428" s="23" t="s">
        <v>2359</v>
      </c>
      <c r="I428" s="24" t="s">
        <v>20</v>
      </c>
      <c r="J428" s="1" t="str">
        <f t="shared" si="0"/>
        <v>FRIC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6.25" customHeight="1">
      <c r="A429" s="17">
        <f t="shared" si="1"/>
        <v>426</v>
      </c>
      <c r="B429" s="18" t="s">
        <v>37</v>
      </c>
      <c r="C429" s="31" t="s">
        <v>2360</v>
      </c>
      <c r="D429" s="19" t="s">
        <v>2361</v>
      </c>
      <c r="E429" s="20" t="s">
        <v>2362</v>
      </c>
      <c r="F429" s="21" t="s">
        <v>1732</v>
      </c>
      <c r="G429" s="22" t="s">
        <v>42</v>
      </c>
      <c r="H429" s="23" t="s">
        <v>2363</v>
      </c>
      <c r="I429" s="34" t="s">
        <v>20</v>
      </c>
      <c r="J429" s="1" t="str">
        <f t="shared" si="0"/>
        <v>과기</v>
      </c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ht="26.25" hidden="1" customHeight="1">
      <c r="A430" s="17">
        <f t="shared" si="1"/>
        <v>427</v>
      </c>
      <c r="B430" s="18" t="s">
        <v>37</v>
      </c>
      <c r="C430" s="19" t="s">
        <v>1680</v>
      </c>
      <c r="D430" s="19" t="s">
        <v>141</v>
      </c>
      <c r="E430" s="20" t="s">
        <v>1681</v>
      </c>
      <c r="F430" s="32" t="s">
        <v>178</v>
      </c>
      <c r="G430" s="22" t="s">
        <v>42</v>
      </c>
      <c r="H430" s="23" t="s">
        <v>2364</v>
      </c>
      <c r="I430" s="34" t="s">
        <v>55</v>
      </c>
      <c r="J430" s="1" t="str">
        <f t="shared" si="0"/>
        <v/>
      </c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ht="26.25" hidden="1" customHeight="1">
      <c r="A431" s="17">
        <f t="shared" si="1"/>
        <v>428</v>
      </c>
      <c r="B431" s="18" t="s">
        <v>1368</v>
      </c>
      <c r="C431" s="31" t="s">
        <v>2365</v>
      </c>
      <c r="D431" s="19" t="s">
        <v>1626</v>
      </c>
      <c r="E431" s="20" t="s">
        <v>2366</v>
      </c>
      <c r="F431" s="32" t="s">
        <v>142</v>
      </c>
      <c r="G431" s="33" t="s">
        <v>42</v>
      </c>
      <c r="H431" s="23" t="s">
        <v>2367</v>
      </c>
      <c r="I431" s="24" t="s">
        <v>55</v>
      </c>
      <c r="J431" s="1" t="str">
        <f t="shared" si="0"/>
        <v/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6.25" hidden="1" customHeight="1">
      <c r="A432" s="17">
        <f t="shared" si="1"/>
        <v>429</v>
      </c>
      <c r="B432" s="18" t="s">
        <v>1368</v>
      </c>
      <c r="C432" s="31" t="s">
        <v>2368</v>
      </c>
      <c r="D432" s="19" t="s">
        <v>168</v>
      </c>
      <c r="E432" s="20" t="s">
        <v>2369</v>
      </c>
      <c r="F432" s="32" t="s">
        <v>416</v>
      </c>
      <c r="G432" s="33" t="s">
        <v>53</v>
      </c>
      <c r="H432" s="23" t="s">
        <v>2370</v>
      </c>
      <c r="I432" s="24" t="s">
        <v>55</v>
      </c>
      <c r="J432" s="1" t="str">
        <f t="shared" si="0"/>
        <v/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6.25" hidden="1" customHeight="1">
      <c r="A433" s="17">
        <f t="shared" si="1"/>
        <v>430</v>
      </c>
      <c r="B433" s="18" t="s">
        <v>105</v>
      </c>
      <c r="C433" s="31" t="s">
        <v>2371</v>
      </c>
      <c r="D433" s="19" t="s">
        <v>2372</v>
      </c>
      <c r="E433" s="20" t="s">
        <v>2373</v>
      </c>
      <c r="F433" s="32" t="s">
        <v>2374</v>
      </c>
      <c r="G433" s="33" t="s">
        <v>42</v>
      </c>
      <c r="H433" s="23" t="s">
        <v>2375</v>
      </c>
      <c r="I433" s="24" t="s">
        <v>55</v>
      </c>
      <c r="J433" s="1" t="str">
        <f t="shared" si="0"/>
        <v/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6.25" hidden="1" customHeight="1">
      <c r="A434" s="17">
        <f t="shared" si="1"/>
        <v>431</v>
      </c>
      <c r="B434" s="18" t="s">
        <v>1375</v>
      </c>
      <c r="C434" s="19" t="s">
        <v>2376</v>
      </c>
      <c r="D434" s="19" t="s">
        <v>2377</v>
      </c>
      <c r="E434" s="20" t="s">
        <v>2378</v>
      </c>
      <c r="F434" s="21" t="s">
        <v>135</v>
      </c>
      <c r="G434" s="22" t="s">
        <v>31</v>
      </c>
      <c r="H434" s="23" t="s">
        <v>2379</v>
      </c>
      <c r="I434" s="24" t="s">
        <v>20</v>
      </c>
      <c r="J434" s="1" t="str">
        <f t="shared" si="0"/>
        <v>FRIC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6.25" hidden="1" customHeight="1">
      <c r="A435" s="17">
        <f t="shared" si="1"/>
        <v>432</v>
      </c>
      <c r="B435" s="18" t="s">
        <v>1375</v>
      </c>
      <c r="C435" s="19" t="s">
        <v>2380</v>
      </c>
      <c r="D435" s="19" t="s">
        <v>2377</v>
      </c>
      <c r="E435" s="20" t="s">
        <v>2381</v>
      </c>
      <c r="F435" s="21" t="s">
        <v>2382</v>
      </c>
      <c r="G435" s="22" t="s">
        <v>31</v>
      </c>
      <c r="H435" s="23" t="s">
        <v>2383</v>
      </c>
      <c r="I435" s="24" t="s">
        <v>20</v>
      </c>
      <c r="J435" s="1" t="str">
        <f t="shared" si="0"/>
        <v>FRIC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6.25" hidden="1" customHeight="1">
      <c r="A436" s="17">
        <f t="shared" si="1"/>
        <v>433</v>
      </c>
      <c r="B436" s="18" t="s">
        <v>146</v>
      </c>
      <c r="C436" s="19" t="s">
        <v>2384</v>
      </c>
      <c r="D436" s="19" t="s">
        <v>447</v>
      </c>
      <c r="E436" s="20" t="s">
        <v>2385</v>
      </c>
      <c r="F436" s="21" t="s">
        <v>135</v>
      </c>
      <c r="G436" s="33" t="s">
        <v>42</v>
      </c>
      <c r="H436" s="23" t="s">
        <v>2386</v>
      </c>
      <c r="I436" s="24" t="s">
        <v>20</v>
      </c>
      <c r="J436" s="1" t="str">
        <f t="shared" si="0"/>
        <v>FRIC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6.25" hidden="1" customHeight="1">
      <c r="A437" s="17">
        <f t="shared" si="1"/>
        <v>434</v>
      </c>
      <c r="B437" s="18" t="s">
        <v>233</v>
      </c>
      <c r="C437" s="31" t="s">
        <v>598</v>
      </c>
      <c r="D437" s="19" t="s">
        <v>242</v>
      </c>
      <c r="E437" s="20" t="s">
        <v>599</v>
      </c>
      <c r="F437" s="32" t="s">
        <v>2387</v>
      </c>
      <c r="G437" s="22" t="s">
        <v>42</v>
      </c>
      <c r="H437" s="23" t="s">
        <v>2388</v>
      </c>
      <c r="I437" s="24" t="s">
        <v>55</v>
      </c>
      <c r="J437" s="1" t="str">
        <f t="shared" si="0"/>
        <v/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6.25" hidden="1" customHeight="1">
      <c r="A438" s="17">
        <f t="shared" si="1"/>
        <v>435</v>
      </c>
      <c r="B438" s="18" t="s">
        <v>105</v>
      </c>
      <c r="C438" s="31" t="s">
        <v>2389</v>
      </c>
      <c r="D438" s="19" t="s">
        <v>207</v>
      </c>
      <c r="E438" s="20" t="s">
        <v>2390</v>
      </c>
      <c r="F438" s="32" t="s">
        <v>222</v>
      </c>
      <c r="G438" s="33" t="s">
        <v>42</v>
      </c>
      <c r="H438" s="23" t="s">
        <v>2391</v>
      </c>
      <c r="I438" s="24" t="s">
        <v>55</v>
      </c>
      <c r="J438" s="1" t="str">
        <f t="shared" si="0"/>
        <v/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6.25" hidden="1" customHeight="1">
      <c r="A439" s="17">
        <f t="shared" si="1"/>
        <v>436</v>
      </c>
      <c r="B439" s="18" t="s">
        <v>13</v>
      </c>
      <c r="C439" s="19" t="s">
        <v>2392</v>
      </c>
      <c r="D439" s="19" t="s">
        <v>939</v>
      </c>
      <c r="E439" s="20" t="s">
        <v>2393</v>
      </c>
      <c r="F439" s="21" t="s">
        <v>2394</v>
      </c>
      <c r="G439" s="22" t="s">
        <v>42</v>
      </c>
      <c r="H439" s="23" t="s">
        <v>2395</v>
      </c>
      <c r="I439" s="24" t="s">
        <v>20</v>
      </c>
      <c r="J439" s="1" t="str">
        <f t="shared" si="0"/>
        <v>FRIC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6.25" hidden="1" customHeight="1">
      <c r="A440" s="17">
        <f t="shared" si="1"/>
        <v>437</v>
      </c>
      <c r="B440" s="18" t="s">
        <v>13</v>
      </c>
      <c r="C440" s="31" t="s">
        <v>1092</v>
      </c>
      <c r="D440" s="19" t="s">
        <v>939</v>
      </c>
      <c r="E440" s="20" t="s">
        <v>1093</v>
      </c>
      <c r="F440" s="32" t="s">
        <v>2396</v>
      </c>
      <c r="G440" s="22" t="s">
        <v>42</v>
      </c>
      <c r="H440" s="23" t="s">
        <v>2397</v>
      </c>
      <c r="I440" s="24" t="s">
        <v>55</v>
      </c>
      <c r="J440" s="1" t="str">
        <f t="shared" si="0"/>
        <v/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6.25" hidden="1" customHeight="1">
      <c r="A441" s="17">
        <f t="shared" si="1"/>
        <v>438</v>
      </c>
      <c r="B441" s="18" t="s">
        <v>37</v>
      </c>
      <c r="C441" s="19" t="s">
        <v>2398</v>
      </c>
      <c r="D441" s="19" t="s">
        <v>2399</v>
      </c>
      <c r="E441" s="20" t="s">
        <v>2400</v>
      </c>
      <c r="F441" s="21" t="s">
        <v>2284</v>
      </c>
      <c r="G441" s="22" t="s">
        <v>63</v>
      </c>
      <c r="H441" s="23" t="s">
        <v>2401</v>
      </c>
      <c r="I441" s="24" t="s">
        <v>20</v>
      </c>
      <c r="J441" s="1" t="str">
        <f t="shared" si="0"/>
        <v>FRIC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6.25" hidden="1" customHeight="1">
      <c r="A442" s="17">
        <f t="shared" si="1"/>
        <v>439</v>
      </c>
      <c r="B442" s="18" t="s">
        <v>1197</v>
      </c>
      <c r="C442" s="31" t="s">
        <v>2402</v>
      </c>
      <c r="D442" s="19" t="s">
        <v>1252</v>
      </c>
      <c r="E442" s="20" t="s">
        <v>2403</v>
      </c>
      <c r="F442" s="32" t="s">
        <v>2404</v>
      </c>
      <c r="G442" s="33" t="s">
        <v>42</v>
      </c>
      <c r="H442" s="23" t="s">
        <v>2405</v>
      </c>
      <c r="I442" s="24" t="s">
        <v>55</v>
      </c>
      <c r="J442" s="1" t="str">
        <f t="shared" si="0"/>
        <v/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6.25" hidden="1" customHeight="1">
      <c r="A443" s="17">
        <f t="shared" si="1"/>
        <v>440</v>
      </c>
      <c r="B443" s="18" t="s">
        <v>233</v>
      </c>
      <c r="C443" s="31" t="s">
        <v>2406</v>
      </c>
      <c r="D443" s="19" t="s">
        <v>2407</v>
      </c>
      <c r="E443" s="20" t="s">
        <v>2408</v>
      </c>
      <c r="F443" s="32" t="s">
        <v>222</v>
      </c>
      <c r="G443" s="22" t="s">
        <v>31</v>
      </c>
      <c r="H443" s="23" t="s">
        <v>2409</v>
      </c>
      <c r="I443" s="24" t="s">
        <v>55</v>
      </c>
      <c r="J443" s="1" t="str">
        <f t="shared" si="0"/>
        <v/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6.25" hidden="1" customHeight="1">
      <c r="A444" s="17">
        <f t="shared" si="1"/>
        <v>441</v>
      </c>
      <c r="B444" s="18" t="s">
        <v>27</v>
      </c>
      <c r="C444" s="19" t="s">
        <v>2410</v>
      </c>
      <c r="D444" s="19" t="s">
        <v>2411</v>
      </c>
      <c r="E444" s="20" t="s">
        <v>2412</v>
      </c>
      <c r="F444" s="21" t="s">
        <v>905</v>
      </c>
      <c r="G444" s="22" t="s">
        <v>42</v>
      </c>
      <c r="H444" s="23" t="s">
        <v>2413</v>
      </c>
      <c r="I444" s="24" t="s">
        <v>20</v>
      </c>
      <c r="J444" s="1" t="str">
        <f t="shared" si="0"/>
        <v>FRIC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6.25" hidden="1" customHeight="1">
      <c r="A445" s="17">
        <f t="shared" si="1"/>
        <v>442</v>
      </c>
      <c r="B445" s="18" t="s">
        <v>27</v>
      </c>
      <c r="C445" s="31" t="s">
        <v>2414</v>
      </c>
      <c r="D445" s="19" t="s">
        <v>277</v>
      </c>
      <c r="E445" s="20" t="s">
        <v>2415</v>
      </c>
      <c r="F445" s="32" t="s">
        <v>2416</v>
      </c>
      <c r="G445" s="22" t="s">
        <v>42</v>
      </c>
      <c r="H445" s="23" t="s">
        <v>2417</v>
      </c>
      <c r="I445" s="24" t="s">
        <v>55</v>
      </c>
      <c r="J445" s="1" t="str">
        <f t="shared" si="0"/>
        <v/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6.25" hidden="1" customHeight="1">
      <c r="A446" s="17">
        <f t="shared" si="1"/>
        <v>443</v>
      </c>
      <c r="B446" s="18" t="s">
        <v>867</v>
      </c>
      <c r="C446" s="92" t="s">
        <v>2418</v>
      </c>
      <c r="D446" s="89" t="s">
        <v>2419</v>
      </c>
      <c r="E446" s="90" t="s">
        <v>2420</v>
      </c>
      <c r="F446" s="91" t="s">
        <v>2421</v>
      </c>
      <c r="G446" s="93" t="s">
        <v>42</v>
      </c>
      <c r="H446" s="94" t="s">
        <v>2422</v>
      </c>
      <c r="I446" s="95" t="s">
        <v>55</v>
      </c>
      <c r="J446" s="1" t="str">
        <f t="shared" si="0"/>
        <v/>
      </c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</row>
    <row r="447" spans="1:24" ht="26.25" customHeight="1">
      <c r="A447" s="17">
        <f t="shared" si="1"/>
        <v>444</v>
      </c>
      <c r="B447" s="18" t="s">
        <v>105</v>
      </c>
      <c r="C447" s="31" t="s">
        <v>2423</v>
      </c>
      <c r="D447" s="19" t="s">
        <v>2424</v>
      </c>
      <c r="E447" s="20" t="s">
        <v>2425</v>
      </c>
      <c r="F447" s="21" t="s">
        <v>2426</v>
      </c>
      <c r="G447" s="33" t="s">
        <v>42</v>
      </c>
      <c r="H447" s="23" t="s">
        <v>2427</v>
      </c>
      <c r="I447" s="34" t="s">
        <v>20</v>
      </c>
      <c r="J447" s="1" t="str">
        <f t="shared" si="0"/>
        <v>과기</v>
      </c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ht="26.25" hidden="1" customHeight="1">
      <c r="A448" s="17">
        <f t="shared" si="1"/>
        <v>445</v>
      </c>
      <c r="B448" s="18" t="s">
        <v>105</v>
      </c>
      <c r="C448" s="19" t="s">
        <v>2428</v>
      </c>
      <c r="D448" s="19" t="s">
        <v>2429</v>
      </c>
      <c r="E448" s="20" t="s">
        <v>2430</v>
      </c>
      <c r="F448" s="21" t="s">
        <v>2431</v>
      </c>
      <c r="G448" s="33" t="s">
        <v>63</v>
      </c>
      <c r="H448" s="23" t="s">
        <v>2432</v>
      </c>
      <c r="I448" s="24" t="s">
        <v>20</v>
      </c>
      <c r="J448" s="1" t="str">
        <f t="shared" si="0"/>
        <v>FRIC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6.25" hidden="1" customHeight="1">
      <c r="A449" s="17">
        <f t="shared" si="1"/>
        <v>446</v>
      </c>
      <c r="B449" s="18" t="s">
        <v>81</v>
      </c>
      <c r="C449" s="31" t="s">
        <v>2433</v>
      </c>
      <c r="D449" s="19" t="s">
        <v>83</v>
      </c>
      <c r="E449" s="20" t="s">
        <v>1442</v>
      </c>
      <c r="F449" s="32" t="s">
        <v>2434</v>
      </c>
      <c r="G449" s="33" t="s">
        <v>42</v>
      </c>
      <c r="H449" s="23" t="s">
        <v>2435</v>
      </c>
      <c r="I449" s="34" t="s">
        <v>55</v>
      </c>
      <c r="J449" s="1" t="str">
        <f t="shared" si="0"/>
        <v/>
      </c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ht="26.25" hidden="1" customHeight="1">
      <c r="A450" s="17">
        <f t="shared" si="1"/>
        <v>447</v>
      </c>
      <c r="B450" s="18" t="s">
        <v>105</v>
      </c>
      <c r="C450" s="31" t="s">
        <v>2436</v>
      </c>
      <c r="D450" s="19" t="s">
        <v>761</v>
      </c>
      <c r="E450" s="20" t="s">
        <v>2437</v>
      </c>
      <c r="F450" s="32" t="s">
        <v>2438</v>
      </c>
      <c r="G450" s="33" t="s">
        <v>42</v>
      </c>
      <c r="H450" s="23" t="s">
        <v>2439</v>
      </c>
      <c r="I450" s="24" t="s">
        <v>55</v>
      </c>
      <c r="J450" s="1" t="str">
        <f t="shared" si="0"/>
        <v/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6.25" hidden="1" customHeight="1">
      <c r="A451" s="17">
        <f t="shared" si="1"/>
        <v>448</v>
      </c>
      <c r="B451" s="18" t="s">
        <v>27</v>
      </c>
      <c r="C451" s="31" t="s">
        <v>2440</v>
      </c>
      <c r="D451" s="19" t="s">
        <v>246</v>
      </c>
      <c r="E451" s="20" t="s">
        <v>2441</v>
      </c>
      <c r="F451" s="32" t="s">
        <v>2442</v>
      </c>
      <c r="G451" s="22" t="s">
        <v>42</v>
      </c>
      <c r="H451" s="23" t="s">
        <v>2443</v>
      </c>
      <c r="I451" s="24" t="s">
        <v>55</v>
      </c>
      <c r="J451" s="1" t="str">
        <f t="shared" si="0"/>
        <v/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6.25" hidden="1" customHeight="1">
      <c r="A452" s="17">
        <f t="shared" si="1"/>
        <v>449</v>
      </c>
      <c r="B452" s="18" t="s">
        <v>105</v>
      </c>
      <c r="C452" s="31" t="s">
        <v>2444</v>
      </c>
      <c r="D452" s="19" t="s">
        <v>2445</v>
      </c>
      <c r="E452" s="20" t="s">
        <v>2446</v>
      </c>
      <c r="F452" s="32" t="s">
        <v>2447</v>
      </c>
      <c r="G452" s="33" t="s">
        <v>42</v>
      </c>
      <c r="H452" s="23" t="s">
        <v>2448</v>
      </c>
      <c r="I452" s="24" t="s">
        <v>55</v>
      </c>
      <c r="J452" s="1" t="str">
        <f t="shared" si="0"/>
        <v/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6.25" hidden="1" customHeight="1">
      <c r="A453" s="17">
        <f t="shared" si="1"/>
        <v>450</v>
      </c>
      <c r="B453" s="18" t="s">
        <v>105</v>
      </c>
      <c r="C453" s="92" t="s">
        <v>2449</v>
      </c>
      <c r="D453" s="89" t="s">
        <v>2450</v>
      </c>
      <c r="E453" s="90" t="s">
        <v>2451</v>
      </c>
      <c r="F453" s="91" t="s">
        <v>2452</v>
      </c>
      <c r="G453" s="93" t="s">
        <v>53</v>
      </c>
      <c r="H453" s="94" t="s">
        <v>2453</v>
      </c>
      <c r="I453" s="95" t="s">
        <v>55</v>
      </c>
      <c r="J453" s="1" t="str">
        <f t="shared" si="0"/>
        <v/>
      </c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</row>
    <row r="454" spans="1:24" ht="26.25" hidden="1" customHeight="1">
      <c r="A454" s="17">
        <f t="shared" si="1"/>
        <v>451</v>
      </c>
      <c r="B454" s="18" t="s">
        <v>105</v>
      </c>
      <c r="C454" s="31" t="s">
        <v>2454</v>
      </c>
      <c r="D454" s="19" t="s">
        <v>2455</v>
      </c>
      <c r="E454" s="20" t="s">
        <v>2456</v>
      </c>
      <c r="F454" s="32" t="s">
        <v>2457</v>
      </c>
      <c r="G454" s="33" t="s">
        <v>42</v>
      </c>
      <c r="H454" s="23" t="s">
        <v>2458</v>
      </c>
      <c r="I454" s="24" t="s">
        <v>55</v>
      </c>
      <c r="J454" s="1" t="str">
        <f t="shared" si="0"/>
        <v/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6.25" hidden="1" customHeight="1">
      <c r="A455" s="17">
        <f t="shared" si="1"/>
        <v>452</v>
      </c>
      <c r="B455" s="18" t="s">
        <v>105</v>
      </c>
      <c r="C455" s="31" t="s">
        <v>2459</v>
      </c>
      <c r="D455" s="19" t="s">
        <v>2460</v>
      </c>
      <c r="E455" s="20" t="s">
        <v>493</v>
      </c>
      <c r="F455" s="32" t="s">
        <v>2461</v>
      </c>
      <c r="G455" s="33" t="s">
        <v>42</v>
      </c>
      <c r="H455" s="23" t="s">
        <v>2462</v>
      </c>
      <c r="I455" s="24" t="s">
        <v>55</v>
      </c>
      <c r="J455" s="1" t="str">
        <f t="shared" si="0"/>
        <v/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6.25" hidden="1" customHeight="1">
      <c r="A456" s="17">
        <f t="shared" si="1"/>
        <v>453</v>
      </c>
      <c r="B456" s="18" t="s">
        <v>105</v>
      </c>
      <c r="C456" s="31" t="s">
        <v>2463</v>
      </c>
      <c r="D456" s="19" t="s">
        <v>2464</v>
      </c>
      <c r="E456" s="20" t="s">
        <v>2465</v>
      </c>
      <c r="F456" s="32" t="s">
        <v>2466</v>
      </c>
      <c r="G456" s="33" t="s">
        <v>42</v>
      </c>
      <c r="H456" s="23" t="s">
        <v>2467</v>
      </c>
      <c r="I456" s="24" t="s">
        <v>55</v>
      </c>
      <c r="J456" s="1" t="str">
        <f t="shared" si="0"/>
        <v/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6.25" hidden="1" customHeight="1">
      <c r="A457" s="17">
        <f t="shared" si="1"/>
        <v>454</v>
      </c>
      <c r="B457" s="18" t="s">
        <v>105</v>
      </c>
      <c r="C457" s="31" t="s">
        <v>2468</v>
      </c>
      <c r="D457" s="19" t="s">
        <v>2464</v>
      </c>
      <c r="E457" s="20" t="s">
        <v>2469</v>
      </c>
      <c r="F457" s="32" t="s">
        <v>738</v>
      </c>
      <c r="G457" s="33" t="s">
        <v>42</v>
      </c>
      <c r="H457" s="23" t="s">
        <v>2470</v>
      </c>
      <c r="I457" s="24" t="s">
        <v>55</v>
      </c>
      <c r="J457" s="1" t="str">
        <f t="shared" si="0"/>
        <v/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6.25" customHeight="1">
      <c r="A458" s="17">
        <f t="shared" si="1"/>
        <v>455</v>
      </c>
      <c r="B458" s="18" t="s">
        <v>105</v>
      </c>
      <c r="C458" s="31" t="s">
        <v>2471</v>
      </c>
      <c r="D458" s="19" t="s">
        <v>2472</v>
      </c>
      <c r="E458" s="20" t="s">
        <v>2473</v>
      </c>
      <c r="F458" s="21" t="s">
        <v>2474</v>
      </c>
      <c r="G458" s="33" t="s">
        <v>42</v>
      </c>
      <c r="H458" s="23" t="s">
        <v>2475</v>
      </c>
      <c r="I458" s="34" t="s">
        <v>20</v>
      </c>
      <c r="J458" s="1" t="str">
        <f t="shared" si="0"/>
        <v>과기</v>
      </c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ht="26.25" hidden="1" customHeight="1">
      <c r="A459" s="17">
        <f t="shared" si="1"/>
        <v>456</v>
      </c>
      <c r="B459" s="18" t="s">
        <v>27</v>
      </c>
      <c r="C459" s="31" t="s">
        <v>1096</v>
      </c>
      <c r="D459" s="19" t="s">
        <v>1097</v>
      </c>
      <c r="E459" s="20" t="s">
        <v>1098</v>
      </c>
      <c r="F459" s="32" t="s">
        <v>1033</v>
      </c>
      <c r="G459" s="22" t="s">
        <v>31</v>
      </c>
      <c r="H459" s="23" t="s">
        <v>2476</v>
      </c>
      <c r="I459" s="24" t="s">
        <v>55</v>
      </c>
      <c r="J459" s="1" t="str">
        <f t="shared" si="0"/>
        <v/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6.25" hidden="1" customHeight="1">
      <c r="A460" s="17">
        <f t="shared" si="1"/>
        <v>457</v>
      </c>
      <c r="B460" s="18" t="s">
        <v>37</v>
      </c>
      <c r="C460" s="31" t="s">
        <v>367</v>
      </c>
      <c r="D460" s="19" t="s">
        <v>124</v>
      </c>
      <c r="E460" s="20" t="s">
        <v>368</v>
      </c>
      <c r="F460" s="32" t="s">
        <v>163</v>
      </c>
      <c r="G460" s="22" t="s">
        <v>42</v>
      </c>
      <c r="H460" s="23" t="s">
        <v>2477</v>
      </c>
      <c r="I460" s="24" t="s">
        <v>55</v>
      </c>
      <c r="J460" s="1" t="str">
        <f t="shared" si="0"/>
        <v/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6.25" hidden="1" customHeight="1">
      <c r="A461" s="17">
        <f t="shared" si="1"/>
        <v>458</v>
      </c>
      <c r="B461" s="18" t="s">
        <v>105</v>
      </c>
      <c r="C461" s="31" t="s">
        <v>605</v>
      </c>
      <c r="D461" s="19" t="s">
        <v>242</v>
      </c>
      <c r="E461" s="20" t="s">
        <v>606</v>
      </c>
      <c r="F461" s="32" t="s">
        <v>496</v>
      </c>
      <c r="G461" s="33" t="s">
        <v>42</v>
      </c>
      <c r="H461" s="23" t="s">
        <v>2478</v>
      </c>
      <c r="I461" s="24" t="s">
        <v>55</v>
      </c>
      <c r="J461" s="1" t="str">
        <f t="shared" si="0"/>
        <v/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6.25" hidden="1" customHeight="1">
      <c r="A462" s="17">
        <f t="shared" si="1"/>
        <v>459</v>
      </c>
      <c r="B462" s="18" t="s">
        <v>37</v>
      </c>
      <c r="C462" s="31" t="s">
        <v>695</v>
      </c>
      <c r="D462" s="19" t="s">
        <v>141</v>
      </c>
      <c r="E462" s="20" t="s">
        <v>696</v>
      </c>
      <c r="F462" s="32" t="s">
        <v>603</v>
      </c>
      <c r="G462" s="22" t="s">
        <v>42</v>
      </c>
      <c r="H462" s="23" t="s">
        <v>2479</v>
      </c>
      <c r="I462" s="24" t="s">
        <v>55</v>
      </c>
      <c r="J462" s="1" t="str">
        <f t="shared" si="0"/>
        <v/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6.25" hidden="1" customHeight="1">
      <c r="A463" s="17">
        <f t="shared" si="1"/>
        <v>460</v>
      </c>
      <c r="B463" s="18" t="s">
        <v>1197</v>
      </c>
      <c r="C463" s="19" t="s">
        <v>2480</v>
      </c>
      <c r="D463" s="19" t="s">
        <v>124</v>
      </c>
      <c r="E463" s="20" t="s">
        <v>2481</v>
      </c>
      <c r="F463" s="21" t="s">
        <v>905</v>
      </c>
      <c r="G463" s="33" t="s">
        <v>42</v>
      </c>
      <c r="H463" s="23" t="s">
        <v>2482</v>
      </c>
      <c r="I463" s="24" t="s">
        <v>20</v>
      </c>
      <c r="J463" s="1" t="str">
        <f t="shared" si="0"/>
        <v>FRIC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6.25" hidden="1" customHeight="1">
      <c r="A464" s="17">
        <f t="shared" si="1"/>
        <v>461</v>
      </c>
      <c r="B464" s="18" t="s">
        <v>13</v>
      </c>
      <c r="C464" s="19" t="s">
        <v>2483</v>
      </c>
      <c r="D464" s="19" t="s">
        <v>939</v>
      </c>
      <c r="E464" s="20" t="s">
        <v>2484</v>
      </c>
      <c r="F464" s="32" t="s">
        <v>2485</v>
      </c>
      <c r="G464" s="22" t="s">
        <v>31</v>
      </c>
      <c r="H464" s="23" t="s">
        <v>2486</v>
      </c>
      <c r="I464" s="34" t="s">
        <v>55</v>
      </c>
      <c r="J464" s="1" t="str">
        <f t="shared" si="0"/>
        <v/>
      </c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ht="26.25" hidden="1" customHeight="1">
      <c r="A465" s="17">
        <f t="shared" si="1"/>
        <v>462</v>
      </c>
      <c r="B465" s="18" t="s">
        <v>132</v>
      </c>
      <c r="C465" s="19" t="s">
        <v>2487</v>
      </c>
      <c r="D465" s="19" t="s">
        <v>447</v>
      </c>
      <c r="E465" s="20" t="s">
        <v>2488</v>
      </c>
      <c r="F465" s="21" t="s">
        <v>933</v>
      </c>
      <c r="G465" s="22" t="s">
        <v>42</v>
      </c>
      <c r="H465" s="23" t="s">
        <v>2489</v>
      </c>
      <c r="I465" s="24" t="s">
        <v>20</v>
      </c>
      <c r="J465" s="1" t="str">
        <f t="shared" si="0"/>
        <v>FRIC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6.25" hidden="1" customHeight="1">
      <c r="A466" s="17">
        <f t="shared" si="1"/>
        <v>463</v>
      </c>
      <c r="B466" s="18" t="s">
        <v>132</v>
      </c>
      <c r="C466" s="19" t="s">
        <v>2490</v>
      </c>
      <c r="D466" s="19" t="s">
        <v>447</v>
      </c>
      <c r="E466" s="20" t="s">
        <v>2491</v>
      </c>
      <c r="F466" s="21" t="s">
        <v>135</v>
      </c>
      <c r="G466" s="22" t="s">
        <v>42</v>
      </c>
      <c r="H466" s="23" t="s">
        <v>2492</v>
      </c>
      <c r="I466" s="24" t="s">
        <v>20</v>
      </c>
      <c r="J466" s="1" t="str">
        <f t="shared" si="0"/>
        <v>FRIC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6.25" hidden="1" customHeight="1">
      <c r="A467" s="17">
        <f t="shared" si="1"/>
        <v>464</v>
      </c>
      <c r="B467" s="18" t="s">
        <v>13</v>
      </c>
      <c r="C467" s="19" t="s">
        <v>2493</v>
      </c>
      <c r="D467" s="19" t="s">
        <v>499</v>
      </c>
      <c r="E467" s="20" t="s">
        <v>2494</v>
      </c>
      <c r="F467" s="21" t="s">
        <v>135</v>
      </c>
      <c r="G467" s="22" t="s">
        <v>1086</v>
      </c>
      <c r="H467" s="23" t="s">
        <v>2495</v>
      </c>
      <c r="I467" s="24" t="s">
        <v>20</v>
      </c>
      <c r="J467" s="1" t="str">
        <f t="shared" si="0"/>
        <v>FRIC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6.25" hidden="1" customHeight="1">
      <c r="A468" s="17">
        <f t="shared" si="1"/>
        <v>465</v>
      </c>
      <c r="B468" s="18" t="s">
        <v>13</v>
      </c>
      <c r="C468" s="19" t="s">
        <v>2496</v>
      </c>
      <c r="D468" s="19" t="s">
        <v>939</v>
      </c>
      <c r="E468" s="20" t="s">
        <v>2497</v>
      </c>
      <c r="F468" s="21" t="s">
        <v>2498</v>
      </c>
      <c r="G468" s="22" t="s">
        <v>1290</v>
      </c>
      <c r="H468" s="23" t="s">
        <v>2499</v>
      </c>
      <c r="I468" s="24" t="s">
        <v>20</v>
      </c>
      <c r="J468" s="1" t="str">
        <f t="shared" si="0"/>
        <v>FRIC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6.25" hidden="1" customHeight="1">
      <c r="A469" s="17">
        <f t="shared" si="1"/>
        <v>466</v>
      </c>
      <c r="B469" s="18" t="s">
        <v>37</v>
      </c>
      <c r="C469" s="19" t="s">
        <v>2500</v>
      </c>
      <c r="D469" s="19" t="s">
        <v>2501</v>
      </c>
      <c r="E469" s="20" t="s">
        <v>1717</v>
      </c>
      <c r="F469" s="32" t="s">
        <v>52</v>
      </c>
      <c r="G469" s="22" t="s">
        <v>42</v>
      </c>
      <c r="H469" s="23" t="s">
        <v>2502</v>
      </c>
      <c r="I469" s="34" t="s">
        <v>55</v>
      </c>
      <c r="J469" s="1" t="str">
        <f t="shared" si="0"/>
        <v/>
      </c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ht="26.25" hidden="1" customHeight="1">
      <c r="A470" s="17">
        <f t="shared" si="1"/>
        <v>467</v>
      </c>
      <c r="B470" s="18" t="s">
        <v>37</v>
      </c>
      <c r="C470" s="19" t="s">
        <v>2503</v>
      </c>
      <c r="D470" s="19" t="s">
        <v>2501</v>
      </c>
      <c r="E470" s="20" t="s">
        <v>1723</v>
      </c>
      <c r="F470" s="32" t="s">
        <v>2504</v>
      </c>
      <c r="G470" s="22" t="s">
        <v>42</v>
      </c>
      <c r="H470" s="23" t="s">
        <v>2505</v>
      </c>
      <c r="I470" s="34" t="s">
        <v>55</v>
      </c>
      <c r="J470" s="1" t="str">
        <f t="shared" si="0"/>
        <v/>
      </c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ht="26.25" hidden="1" customHeight="1">
      <c r="A471" s="17">
        <f t="shared" si="1"/>
        <v>468</v>
      </c>
      <c r="B471" s="18" t="s">
        <v>105</v>
      </c>
      <c r="C471" s="31" t="s">
        <v>689</v>
      </c>
      <c r="D471" s="19" t="s">
        <v>2506</v>
      </c>
      <c r="E471" s="20" t="s">
        <v>690</v>
      </c>
      <c r="F471" s="32" t="s">
        <v>2507</v>
      </c>
      <c r="G471" s="33" t="s">
        <v>42</v>
      </c>
      <c r="H471" s="23" t="s">
        <v>2508</v>
      </c>
      <c r="I471" s="24" t="s">
        <v>55</v>
      </c>
      <c r="J471" s="1" t="str">
        <f t="shared" si="0"/>
        <v/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6.25" hidden="1" customHeight="1">
      <c r="A472" s="17">
        <f t="shared" si="1"/>
        <v>469</v>
      </c>
      <c r="B472" s="18" t="s">
        <v>132</v>
      </c>
      <c r="C472" s="19" t="s">
        <v>2509</v>
      </c>
      <c r="D472" s="19" t="s">
        <v>447</v>
      </c>
      <c r="E472" s="20" t="s">
        <v>2510</v>
      </c>
      <c r="F472" s="21" t="s">
        <v>135</v>
      </c>
      <c r="G472" s="22" t="s">
        <v>31</v>
      </c>
      <c r="H472" s="23" t="s">
        <v>2511</v>
      </c>
      <c r="I472" s="24" t="s">
        <v>20</v>
      </c>
      <c r="J472" s="1" t="str">
        <f t="shared" si="0"/>
        <v>FRIC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6.25" customHeight="1">
      <c r="A473" s="17">
        <f t="shared" si="1"/>
        <v>470</v>
      </c>
      <c r="B473" s="18" t="s">
        <v>105</v>
      </c>
      <c r="C473" s="19" t="s">
        <v>2512</v>
      </c>
      <c r="D473" s="19" t="s">
        <v>141</v>
      </c>
      <c r="E473" s="20" t="s">
        <v>2513</v>
      </c>
      <c r="F473" s="21" t="s">
        <v>905</v>
      </c>
      <c r="G473" s="33" t="s">
        <v>42</v>
      </c>
      <c r="H473" s="23" t="s">
        <v>2514</v>
      </c>
      <c r="I473" s="24" t="s">
        <v>20</v>
      </c>
      <c r="J473" s="1" t="str">
        <f t="shared" si="0"/>
        <v>과기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6.25" hidden="1" customHeight="1">
      <c r="A474" s="17">
        <f t="shared" si="1"/>
        <v>471</v>
      </c>
      <c r="B474" s="18" t="s">
        <v>13</v>
      </c>
      <c r="C474" s="19" t="s">
        <v>2515</v>
      </c>
      <c r="D474" s="19" t="s">
        <v>939</v>
      </c>
      <c r="E474" s="20" t="s">
        <v>2516</v>
      </c>
      <c r="F474" s="21" t="s">
        <v>135</v>
      </c>
      <c r="G474" s="22" t="s">
        <v>42</v>
      </c>
      <c r="H474" s="23" t="s">
        <v>2517</v>
      </c>
      <c r="I474" s="24" t="s">
        <v>20</v>
      </c>
      <c r="J474" s="1" t="str">
        <f t="shared" si="0"/>
        <v>FRIC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6.25" customHeight="1">
      <c r="A475" s="17">
        <f t="shared" si="1"/>
        <v>472</v>
      </c>
      <c r="B475" s="18" t="s">
        <v>105</v>
      </c>
      <c r="C475" s="89" t="s">
        <v>2518</v>
      </c>
      <c r="D475" s="89" t="s">
        <v>2175</v>
      </c>
      <c r="E475" s="90" t="s">
        <v>2519</v>
      </c>
      <c r="F475" s="97" t="s">
        <v>135</v>
      </c>
      <c r="G475" s="33" t="s">
        <v>42</v>
      </c>
      <c r="H475" s="94" t="s">
        <v>2520</v>
      </c>
      <c r="I475" s="24" t="s">
        <v>20</v>
      </c>
      <c r="J475" s="1" t="str">
        <f t="shared" si="0"/>
        <v>과기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6.25" hidden="1" customHeight="1">
      <c r="A476" s="17">
        <f t="shared" si="1"/>
        <v>473</v>
      </c>
      <c r="B476" s="18" t="s">
        <v>1375</v>
      </c>
      <c r="C476" s="19" t="s">
        <v>2521</v>
      </c>
      <c r="D476" s="19" t="s">
        <v>939</v>
      </c>
      <c r="E476" s="20" t="s">
        <v>2522</v>
      </c>
      <c r="F476" s="21" t="s">
        <v>2523</v>
      </c>
      <c r="G476" s="22" t="s">
        <v>42</v>
      </c>
      <c r="H476" s="23" t="s">
        <v>2524</v>
      </c>
      <c r="I476" s="24" t="s">
        <v>20</v>
      </c>
      <c r="J476" s="1" t="str">
        <f t="shared" si="0"/>
        <v>FRIC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6.25" hidden="1" customHeight="1">
      <c r="A477" s="17">
        <f t="shared" si="1"/>
        <v>474</v>
      </c>
      <c r="B477" s="18" t="s">
        <v>27</v>
      </c>
      <c r="C477" s="19" t="s">
        <v>2525</v>
      </c>
      <c r="D477" s="19" t="s">
        <v>124</v>
      </c>
      <c r="E477" s="20" t="s">
        <v>2526</v>
      </c>
      <c r="F477" s="21" t="s">
        <v>905</v>
      </c>
      <c r="G477" s="22" t="s">
        <v>42</v>
      </c>
      <c r="H477" s="23" t="s">
        <v>2527</v>
      </c>
      <c r="I477" s="24" t="s">
        <v>20</v>
      </c>
      <c r="J477" s="1" t="str">
        <f t="shared" si="0"/>
        <v>FRIC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6.25" hidden="1" customHeight="1">
      <c r="A478" s="17">
        <f t="shared" si="1"/>
        <v>475</v>
      </c>
      <c r="B478" s="18" t="s">
        <v>248</v>
      </c>
      <c r="C478" s="19" t="s">
        <v>2528</v>
      </c>
      <c r="D478" s="19" t="s">
        <v>1068</v>
      </c>
      <c r="E478" s="20" t="s">
        <v>2529</v>
      </c>
      <c r="F478" s="21" t="s">
        <v>135</v>
      </c>
      <c r="G478" s="33" t="s">
        <v>42</v>
      </c>
      <c r="H478" s="23" t="s">
        <v>2530</v>
      </c>
      <c r="I478" s="24" t="s">
        <v>20</v>
      </c>
      <c r="J478" s="1" t="str">
        <f t="shared" si="0"/>
        <v>FRIC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6.25" customHeight="1">
      <c r="A479" s="17">
        <f t="shared" si="1"/>
        <v>476</v>
      </c>
      <c r="B479" s="18" t="s">
        <v>48</v>
      </c>
      <c r="C479" s="19" t="s">
        <v>2531</v>
      </c>
      <c r="D479" s="19" t="s">
        <v>1700</v>
      </c>
      <c r="E479" s="20" t="s">
        <v>2532</v>
      </c>
      <c r="F479" s="21" t="s">
        <v>905</v>
      </c>
      <c r="G479" s="33" t="s">
        <v>42</v>
      </c>
      <c r="H479" s="23" t="s">
        <v>2533</v>
      </c>
      <c r="I479" s="24" t="s">
        <v>20</v>
      </c>
      <c r="J479" s="1" t="str">
        <f t="shared" si="0"/>
        <v>과기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6.25" hidden="1" customHeight="1">
      <c r="A480" s="17">
        <f t="shared" si="1"/>
        <v>477</v>
      </c>
      <c r="B480" s="18" t="s">
        <v>13</v>
      </c>
      <c r="C480" s="19" t="s">
        <v>2534</v>
      </c>
      <c r="D480" s="19" t="s">
        <v>2535</v>
      </c>
      <c r="E480" s="20" t="s">
        <v>1857</v>
      </c>
      <c r="F480" s="32" t="s">
        <v>178</v>
      </c>
      <c r="G480" s="22" t="s">
        <v>53</v>
      </c>
      <c r="H480" s="23" t="s">
        <v>2536</v>
      </c>
      <c r="I480" s="34" t="s">
        <v>55</v>
      </c>
      <c r="J480" s="1" t="str">
        <f t="shared" si="0"/>
        <v/>
      </c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ht="26.25" hidden="1" customHeight="1">
      <c r="A481" s="17">
        <f t="shared" si="1"/>
        <v>478</v>
      </c>
      <c r="B481" s="18" t="s">
        <v>1375</v>
      </c>
      <c r="C481" s="31" t="s">
        <v>2537</v>
      </c>
      <c r="D481" s="19" t="s">
        <v>2538</v>
      </c>
      <c r="E481" s="20" t="s">
        <v>767</v>
      </c>
      <c r="F481" s="32" t="s">
        <v>1033</v>
      </c>
      <c r="G481" s="22" t="s">
        <v>53</v>
      </c>
      <c r="H481" s="23" t="s">
        <v>2539</v>
      </c>
      <c r="I481" s="24" t="s">
        <v>55</v>
      </c>
      <c r="J481" s="1" t="str">
        <f t="shared" si="0"/>
        <v/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6.25" hidden="1" customHeight="1">
      <c r="A482" s="17">
        <f t="shared" si="1"/>
        <v>479</v>
      </c>
      <c r="B482" s="18" t="s">
        <v>27</v>
      </c>
      <c r="C482" s="19" t="s">
        <v>2540</v>
      </c>
      <c r="D482" s="19" t="s">
        <v>277</v>
      </c>
      <c r="E482" s="20" t="s">
        <v>2541</v>
      </c>
      <c r="F482" s="21" t="s">
        <v>1970</v>
      </c>
      <c r="G482" s="22" t="s">
        <v>42</v>
      </c>
      <c r="H482" s="23" t="s">
        <v>2542</v>
      </c>
      <c r="I482" s="24" t="s">
        <v>20</v>
      </c>
      <c r="J482" s="1" t="str">
        <f t="shared" si="0"/>
        <v>FRIC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6.25" hidden="1" customHeight="1">
      <c r="A483" s="17">
        <f t="shared" si="1"/>
        <v>480</v>
      </c>
      <c r="B483" s="18" t="s">
        <v>1197</v>
      </c>
      <c r="C483" s="31" t="s">
        <v>2543</v>
      </c>
      <c r="D483" s="19" t="s">
        <v>2544</v>
      </c>
      <c r="E483" s="20" t="s">
        <v>2545</v>
      </c>
      <c r="F483" s="32" t="s">
        <v>2546</v>
      </c>
      <c r="G483" s="33" t="s">
        <v>350</v>
      </c>
      <c r="H483" s="23" t="s">
        <v>2547</v>
      </c>
      <c r="I483" s="24" t="s">
        <v>55</v>
      </c>
      <c r="J483" s="1" t="str">
        <f t="shared" si="0"/>
        <v/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6.25" hidden="1" customHeight="1">
      <c r="A484" s="17">
        <f t="shared" si="1"/>
        <v>481</v>
      </c>
      <c r="B484" s="18" t="s">
        <v>13</v>
      </c>
      <c r="C484" s="31" t="s">
        <v>2548</v>
      </c>
      <c r="D484" s="19" t="s">
        <v>2549</v>
      </c>
      <c r="E484" s="20" t="s">
        <v>2550</v>
      </c>
      <c r="F484" s="32" t="s">
        <v>2551</v>
      </c>
      <c r="G484" s="22" t="s">
        <v>2552</v>
      </c>
      <c r="H484" s="23" t="s">
        <v>2553</v>
      </c>
      <c r="I484" s="24" t="s">
        <v>55</v>
      </c>
      <c r="J484" s="1" t="str">
        <f t="shared" si="0"/>
        <v/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6.25" hidden="1" customHeight="1">
      <c r="A485" s="17">
        <f t="shared" si="1"/>
        <v>482</v>
      </c>
      <c r="B485" s="18" t="s">
        <v>48</v>
      </c>
      <c r="C485" s="31" t="s">
        <v>1448</v>
      </c>
      <c r="D485" s="19" t="s">
        <v>2554</v>
      </c>
      <c r="E485" s="20" t="s">
        <v>1450</v>
      </c>
      <c r="F485" s="32" t="s">
        <v>52</v>
      </c>
      <c r="G485" s="33" t="s">
        <v>42</v>
      </c>
      <c r="H485" s="23" t="s">
        <v>2555</v>
      </c>
      <c r="I485" s="34" t="s">
        <v>55</v>
      </c>
      <c r="J485" s="1" t="str">
        <f t="shared" si="0"/>
        <v/>
      </c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ht="26.25" hidden="1" customHeight="1">
      <c r="A486" s="17">
        <f t="shared" si="1"/>
        <v>483</v>
      </c>
      <c r="B486" s="18" t="s">
        <v>248</v>
      </c>
      <c r="C486" s="31" t="s">
        <v>1103</v>
      </c>
      <c r="D486" s="19" t="s">
        <v>124</v>
      </c>
      <c r="E486" s="20" t="s">
        <v>1104</v>
      </c>
      <c r="F486" s="32" t="s">
        <v>2556</v>
      </c>
      <c r="G486" s="33" t="s">
        <v>31</v>
      </c>
      <c r="H486" s="23" t="s">
        <v>2557</v>
      </c>
      <c r="I486" s="24" t="s">
        <v>55</v>
      </c>
      <c r="J486" s="1" t="str">
        <f t="shared" si="0"/>
        <v/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6.25" hidden="1" customHeight="1">
      <c r="A487" s="17">
        <f t="shared" si="1"/>
        <v>484</v>
      </c>
      <c r="B487" s="18" t="s">
        <v>105</v>
      </c>
      <c r="C487" s="31" t="s">
        <v>2558</v>
      </c>
      <c r="D487" s="19" t="s">
        <v>308</v>
      </c>
      <c r="E487" s="20" t="s">
        <v>2559</v>
      </c>
      <c r="F487" s="32" t="s">
        <v>2560</v>
      </c>
      <c r="G487" s="33" t="s">
        <v>42</v>
      </c>
      <c r="H487" s="23" t="s">
        <v>2561</v>
      </c>
      <c r="I487" s="24" t="s">
        <v>55</v>
      </c>
      <c r="J487" s="1" t="str">
        <f t="shared" si="0"/>
        <v/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6.25" hidden="1" customHeight="1">
      <c r="A488" s="17">
        <f t="shared" si="1"/>
        <v>485</v>
      </c>
      <c r="B488" s="18" t="s">
        <v>175</v>
      </c>
      <c r="C488" s="31" t="s">
        <v>2562</v>
      </c>
      <c r="D488" s="19" t="s">
        <v>308</v>
      </c>
      <c r="E488" s="20" t="s">
        <v>2563</v>
      </c>
      <c r="F488" s="32" t="s">
        <v>2564</v>
      </c>
      <c r="G488" s="33" t="s">
        <v>42</v>
      </c>
      <c r="H488" s="23" t="s">
        <v>2565</v>
      </c>
      <c r="I488" s="24" t="s">
        <v>55</v>
      </c>
      <c r="J488" s="1" t="str">
        <f t="shared" si="0"/>
        <v/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6.25" hidden="1" customHeight="1">
      <c r="A489" s="17">
        <f t="shared" si="1"/>
        <v>486</v>
      </c>
      <c r="B489" s="18" t="s">
        <v>132</v>
      </c>
      <c r="C489" s="19" t="s">
        <v>2566</v>
      </c>
      <c r="D489" s="19" t="s">
        <v>370</v>
      </c>
      <c r="E489" s="20" t="s">
        <v>2567</v>
      </c>
      <c r="F489" s="21" t="s">
        <v>2568</v>
      </c>
      <c r="G489" s="22" t="s">
        <v>53</v>
      </c>
      <c r="H489" s="23" t="s">
        <v>2569</v>
      </c>
      <c r="I489" s="24" t="s">
        <v>20</v>
      </c>
      <c r="J489" s="1" t="str">
        <f t="shared" si="0"/>
        <v>FRIC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6.25" hidden="1" customHeight="1">
      <c r="A490" s="17">
        <f t="shared" si="1"/>
        <v>487</v>
      </c>
      <c r="B490" s="18" t="s">
        <v>132</v>
      </c>
      <c r="C490" s="31" t="s">
        <v>1110</v>
      </c>
      <c r="D490" s="19" t="s">
        <v>1111</v>
      </c>
      <c r="E490" s="20" t="s">
        <v>1112</v>
      </c>
      <c r="F490" s="32" t="s">
        <v>170</v>
      </c>
      <c r="G490" s="22" t="s">
        <v>53</v>
      </c>
      <c r="H490" s="23" t="s">
        <v>2570</v>
      </c>
      <c r="I490" s="24" t="s">
        <v>55</v>
      </c>
      <c r="J490" s="1" t="str">
        <f t="shared" si="0"/>
        <v/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6.25" hidden="1" customHeight="1">
      <c r="A491" s="17">
        <f t="shared" si="1"/>
        <v>488</v>
      </c>
      <c r="B491" s="18" t="s">
        <v>132</v>
      </c>
      <c r="C491" s="19" t="s">
        <v>2571</v>
      </c>
      <c r="D491" s="19" t="s">
        <v>124</v>
      </c>
      <c r="E491" s="20" t="s">
        <v>2572</v>
      </c>
      <c r="F491" s="21" t="s">
        <v>135</v>
      </c>
      <c r="G491" s="22" t="s">
        <v>42</v>
      </c>
      <c r="H491" s="23" t="s">
        <v>2573</v>
      </c>
      <c r="I491" s="24" t="s">
        <v>20</v>
      </c>
      <c r="J491" s="1" t="str">
        <f t="shared" si="0"/>
        <v>FRIC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6.25" hidden="1" customHeight="1">
      <c r="A492" s="17">
        <f t="shared" si="1"/>
        <v>489</v>
      </c>
      <c r="B492" s="18" t="s">
        <v>13</v>
      </c>
      <c r="C492" s="19" t="s">
        <v>2574</v>
      </c>
      <c r="D492" s="19" t="s">
        <v>199</v>
      </c>
      <c r="E492" s="20" t="s">
        <v>2575</v>
      </c>
      <c r="F492" s="21" t="s">
        <v>135</v>
      </c>
      <c r="G492" s="22" t="s">
        <v>42</v>
      </c>
      <c r="H492" s="23" t="s">
        <v>2576</v>
      </c>
      <c r="I492" s="24" t="s">
        <v>20</v>
      </c>
      <c r="J492" s="1" t="str">
        <f t="shared" si="0"/>
        <v>FRIC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6.25" hidden="1" customHeight="1">
      <c r="A493" s="17">
        <f t="shared" si="1"/>
        <v>490</v>
      </c>
      <c r="B493" s="18" t="s">
        <v>81</v>
      </c>
      <c r="C493" s="31" t="s">
        <v>2577</v>
      </c>
      <c r="D493" s="19" t="s">
        <v>2578</v>
      </c>
      <c r="E493" s="20" t="s">
        <v>2579</v>
      </c>
      <c r="F493" s="32" t="s">
        <v>2580</v>
      </c>
      <c r="G493" s="33" t="s">
        <v>1893</v>
      </c>
      <c r="H493" s="23" t="s">
        <v>2581</v>
      </c>
      <c r="I493" s="24" t="s">
        <v>55</v>
      </c>
      <c r="J493" s="1" t="str">
        <f t="shared" si="0"/>
        <v/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6.25" hidden="1" customHeight="1">
      <c r="A494" s="17">
        <f t="shared" si="1"/>
        <v>491</v>
      </c>
      <c r="B494" s="18" t="s">
        <v>248</v>
      </c>
      <c r="C494" s="31" t="s">
        <v>1117</v>
      </c>
      <c r="D494" s="19" t="s">
        <v>1118</v>
      </c>
      <c r="E494" s="20" t="s">
        <v>1119</v>
      </c>
      <c r="F494" s="32" t="s">
        <v>2582</v>
      </c>
      <c r="G494" s="33" t="s">
        <v>31</v>
      </c>
      <c r="H494" s="23" t="s">
        <v>2583</v>
      </c>
      <c r="I494" s="24" t="s">
        <v>55</v>
      </c>
      <c r="J494" s="1" t="str">
        <f t="shared" si="0"/>
        <v/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6.25" hidden="1" customHeight="1">
      <c r="A495" s="17">
        <f t="shared" si="1"/>
        <v>492</v>
      </c>
      <c r="B495" s="18" t="s">
        <v>1375</v>
      </c>
      <c r="C495" s="31" t="s">
        <v>2584</v>
      </c>
      <c r="D495" s="19" t="s">
        <v>2585</v>
      </c>
      <c r="E495" s="20" t="s">
        <v>2586</v>
      </c>
      <c r="F495" s="32" t="s">
        <v>428</v>
      </c>
      <c r="G495" s="22" t="s">
        <v>53</v>
      </c>
      <c r="H495" s="23" t="s">
        <v>2587</v>
      </c>
      <c r="I495" s="24" t="s">
        <v>55</v>
      </c>
      <c r="J495" s="1" t="str">
        <f t="shared" si="0"/>
        <v/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6.25" hidden="1" customHeight="1">
      <c r="A496" s="17">
        <f t="shared" si="1"/>
        <v>493</v>
      </c>
      <c r="B496" s="18" t="s">
        <v>1375</v>
      </c>
      <c r="C496" s="31" t="s">
        <v>2588</v>
      </c>
      <c r="D496" s="19" t="s">
        <v>2589</v>
      </c>
      <c r="E496" s="20" t="s">
        <v>264</v>
      </c>
      <c r="F496" s="32" t="s">
        <v>142</v>
      </c>
      <c r="G496" s="22" t="s">
        <v>63</v>
      </c>
      <c r="H496" s="23" t="s">
        <v>2590</v>
      </c>
      <c r="I496" s="24" t="s">
        <v>55</v>
      </c>
      <c r="J496" s="1" t="str">
        <f t="shared" si="0"/>
        <v/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6.25" hidden="1" customHeight="1">
      <c r="A497" s="17">
        <f t="shared" si="1"/>
        <v>494</v>
      </c>
      <c r="B497" s="18" t="s">
        <v>1375</v>
      </c>
      <c r="C497" s="31" t="s">
        <v>2591</v>
      </c>
      <c r="D497" s="19" t="s">
        <v>2592</v>
      </c>
      <c r="E497" s="20" t="s">
        <v>2593</v>
      </c>
      <c r="F497" s="32">
        <v>2013</v>
      </c>
      <c r="G497" s="22" t="s">
        <v>53</v>
      </c>
      <c r="H497" s="23" t="s">
        <v>2594</v>
      </c>
      <c r="I497" s="24" t="s">
        <v>55</v>
      </c>
      <c r="J497" s="1" t="str">
        <f t="shared" si="0"/>
        <v/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6.25" hidden="1" customHeight="1">
      <c r="A498" s="17">
        <f t="shared" si="1"/>
        <v>495</v>
      </c>
      <c r="B498" s="18" t="s">
        <v>1375</v>
      </c>
      <c r="C498" s="19" t="s">
        <v>2595</v>
      </c>
      <c r="D498" s="19" t="s">
        <v>2377</v>
      </c>
      <c r="E498" s="20" t="s">
        <v>2596</v>
      </c>
      <c r="F498" s="21" t="s">
        <v>135</v>
      </c>
      <c r="G498" s="22" t="s">
        <v>53</v>
      </c>
      <c r="H498" s="23" t="s">
        <v>2597</v>
      </c>
      <c r="I498" s="24" t="s">
        <v>20</v>
      </c>
      <c r="J498" s="1" t="str">
        <f t="shared" si="0"/>
        <v>FRIC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6.25" hidden="1" customHeight="1">
      <c r="A499" s="17">
        <f t="shared" si="1"/>
        <v>496</v>
      </c>
      <c r="B499" s="18" t="s">
        <v>1375</v>
      </c>
      <c r="C499" s="31" t="s">
        <v>1124</v>
      </c>
      <c r="D499" s="19" t="s">
        <v>2598</v>
      </c>
      <c r="E499" s="20" t="s">
        <v>1126</v>
      </c>
      <c r="F499" s="32" t="s">
        <v>170</v>
      </c>
      <c r="G499" s="22" t="s">
        <v>42</v>
      </c>
      <c r="H499" s="23" t="s">
        <v>2599</v>
      </c>
      <c r="I499" s="24" t="s">
        <v>55</v>
      </c>
      <c r="J499" s="1" t="str">
        <f t="shared" si="0"/>
        <v/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6.25" hidden="1" customHeight="1">
      <c r="A500" s="17">
        <f t="shared" si="1"/>
        <v>497</v>
      </c>
      <c r="B500" s="18" t="s">
        <v>37</v>
      </c>
      <c r="C500" s="31" t="s">
        <v>319</v>
      </c>
      <c r="D500" s="19" t="s">
        <v>2600</v>
      </c>
      <c r="E500" s="20" t="s">
        <v>321</v>
      </c>
      <c r="F500" s="32" t="s">
        <v>163</v>
      </c>
      <c r="G500" s="22" t="s">
        <v>42</v>
      </c>
      <c r="H500" s="23" t="s">
        <v>2601</v>
      </c>
      <c r="I500" s="24" t="s">
        <v>55</v>
      </c>
      <c r="J500" s="1" t="str">
        <f t="shared" si="0"/>
        <v/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6.25" customHeight="1">
      <c r="A501" s="17">
        <f t="shared" si="1"/>
        <v>498</v>
      </c>
      <c r="B501" s="18" t="s">
        <v>37</v>
      </c>
      <c r="C501" s="19" t="s">
        <v>2602</v>
      </c>
      <c r="D501" s="19" t="s">
        <v>2603</v>
      </c>
      <c r="E501" s="20" t="s">
        <v>2604</v>
      </c>
      <c r="F501" s="21" t="s">
        <v>293</v>
      </c>
      <c r="G501" s="22" t="s">
        <v>42</v>
      </c>
      <c r="H501" s="23" t="s">
        <v>2605</v>
      </c>
      <c r="I501" s="24" t="s">
        <v>20</v>
      </c>
      <c r="J501" s="1" t="str">
        <f t="shared" si="0"/>
        <v>과기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6.25" hidden="1" customHeight="1">
      <c r="A502" s="17">
        <f t="shared" si="1"/>
        <v>499</v>
      </c>
      <c r="B502" s="18" t="s">
        <v>37</v>
      </c>
      <c r="C502" s="19" t="s">
        <v>2606</v>
      </c>
      <c r="D502" s="19" t="s">
        <v>124</v>
      </c>
      <c r="E502" s="20" t="s">
        <v>2607</v>
      </c>
      <c r="F502" s="21" t="s">
        <v>135</v>
      </c>
      <c r="G502" s="22" t="s">
        <v>42</v>
      </c>
      <c r="H502" s="23" t="s">
        <v>2608</v>
      </c>
      <c r="I502" s="24" t="s">
        <v>20</v>
      </c>
      <c r="J502" s="1" t="str">
        <f t="shared" si="0"/>
        <v>FRIC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6.25" hidden="1" customHeight="1">
      <c r="A503" s="17">
        <f t="shared" si="1"/>
        <v>500</v>
      </c>
      <c r="B503" s="18" t="s">
        <v>13</v>
      </c>
      <c r="C503" s="31" t="s">
        <v>2609</v>
      </c>
      <c r="D503" s="19" t="s">
        <v>2610</v>
      </c>
      <c r="E503" s="20" t="s">
        <v>2611</v>
      </c>
      <c r="F503" s="32" t="s">
        <v>222</v>
      </c>
      <c r="G503" s="22" t="s">
        <v>42</v>
      </c>
      <c r="H503" s="23" t="s">
        <v>2612</v>
      </c>
      <c r="I503" s="24" t="s">
        <v>55</v>
      </c>
      <c r="J503" s="1" t="str">
        <f t="shared" si="0"/>
        <v/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6.25" hidden="1" customHeight="1">
      <c r="A504" s="17">
        <f t="shared" si="1"/>
        <v>501</v>
      </c>
      <c r="B504" s="18" t="s">
        <v>37</v>
      </c>
      <c r="C504" s="19" t="s">
        <v>2613</v>
      </c>
      <c r="D504" s="19" t="s">
        <v>124</v>
      </c>
      <c r="E504" s="20" t="s">
        <v>2614</v>
      </c>
      <c r="F504" s="21" t="s">
        <v>135</v>
      </c>
      <c r="G504" s="22" t="s">
        <v>42</v>
      </c>
      <c r="H504" s="23" t="s">
        <v>2615</v>
      </c>
      <c r="I504" s="24" t="s">
        <v>20</v>
      </c>
      <c r="J504" s="1" t="str">
        <f t="shared" si="0"/>
        <v>FRIC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6.25" hidden="1" customHeight="1">
      <c r="A505" s="17">
        <f t="shared" si="1"/>
        <v>502</v>
      </c>
      <c r="B505" s="18" t="s">
        <v>37</v>
      </c>
      <c r="C505" s="19" t="s">
        <v>2616</v>
      </c>
      <c r="D505" s="19" t="s">
        <v>2617</v>
      </c>
      <c r="E505" s="20" t="s">
        <v>2618</v>
      </c>
      <c r="F505" s="21" t="s">
        <v>1970</v>
      </c>
      <c r="G505" s="22" t="s">
        <v>31</v>
      </c>
      <c r="H505" s="23" t="s">
        <v>2619</v>
      </c>
      <c r="I505" s="24" t="s">
        <v>20</v>
      </c>
      <c r="J505" s="1" t="str">
        <f t="shared" si="0"/>
        <v>FRIC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6.25" hidden="1" customHeight="1">
      <c r="A506" s="17">
        <f t="shared" si="1"/>
        <v>503</v>
      </c>
      <c r="B506" s="18" t="s">
        <v>37</v>
      </c>
      <c r="C506" s="31" t="s">
        <v>1132</v>
      </c>
      <c r="D506" s="19" t="s">
        <v>1106</v>
      </c>
      <c r="E506" s="20" t="s">
        <v>1134</v>
      </c>
      <c r="F506" s="32" t="s">
        <v>2582</v>
      </c>
      <c r="G506" s="22" t="s">
        <v>31</v>
      </c>
      <c r="H506" s="23" t="s">
        <v>2620</v>
      </c>
      <c r="I506" s="24" t="s">
        <v>55</v>
      </c>
      <c r="J506" s="1" t="str">
        <f t="shared" si="0"/>
        <v/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6.25" hidden="1" customHeight="1">
      <c r="A507" s="17">
        <f t="shared" si="1"/>
        <v>504</v>
      </c>
      <c r="B507" s="18" t="s">
        <v>37</v>
      </c>
      <c r="C507" s="19" t="s">
        <v>2621</v>
      </c>
      <c r="D507" s="19" t="s">
        <v>173</v>
      </c>
      <c r="E507" s="20" t="s">
        <v>2622</v>
      </c>
      <c r="F507" s="21" t="s">
        <v>905</v>
      </c>
      <c r="G507" s="22" t="s">
        <v>42</v>
      </c>
      <c r="H507" s="23" t="s">
        <v>2623</v>
      </c>
      <c r="I507" s="24" t="s">
        <v>20</v>
      </c>
      <c r="J507" s="1" t="str">
        <f t="shared" si="0"/>
        <v>FRIC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6.25" hidden="1" customHeight="1">
      <c r="A508" s="17">
        <f t="shared" si="1"/>
        <v>505</v>
      </c>
      <c r="B508" s="18" t="s">
        <v>27</v>
      </c>
      <c r="C508" s="19" t="s">
        <v>2624</v>
      </c>
      <c r="D508" s="99" t="s">
        <v>440</v>
      </c>
      <c r="E508" s="20" t="s">
        <v>2625</v>
      </c>
      <c r="F508" s="21" t="s">
        <v>135</v>
      </c>
      <c r="G508" s="22" t="s">
        <v>63</v>
      </c>
      <c r="H508" s="23" t="s">
        <v>2626</v>
      </c>
      <c r="I508" s="24" t="s">
        <v>20</v>
      </c>
      <c r="J508" s="1" t="str">
        <f t="shared" si="0"/>
        <v>FRIC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6.25" hidden="1" customHeight="1">
      <c r="A509" s="17">
        <f t="shared" si="1"/>
        <v>506</v>
      </c>
      <c r="B509" s="18" t="s">
        <v>37</v>
      </c>
      <c r="C509" s="19" t="s">
        <v>2627</v>
      </c>
      <c r="D509" s="19" t="s">
        <v>124</v>
      </c>
      <c r="E509" s="20" t="s">
        <v>2628</v>
      </c>
      <c r="F509" s="21" t="s">
        <v>135</v>
      </c>
      <c r="G509" s="22" t="s">
        <v>42</v>
      </c>
      <c r="H509" s="23" t="s">
        <v>2629</v>
      </c>
      <c r="I509" s="24" t="s">
        <v>20</v>
      </c>
      <c r="J509" s="1" t="str">
        <f t="shared" si="0"/>
        <v>FRIC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6.25" hidden="1" customHeight="1">
      <c r="A510" s="17">
        <f t="shared" si="1"/>
        <v>507</v>
      </c>
      <c r="B510" s="18" t="s">
        <v>37</v>
      </c>
      <c r="C510" s="19" t="s">
        <v>2630</v>
      </c>
      <c r="D510" s="19" t="s">
        <v>2631</v>
      </c>
      <c r="E510" s="20" t="s">
        <v>2632</v>
      </c>
      <c r="F510" s="21" t="s">
        <v>135</v>
      </c>
      <c r="G510" s="22" t="s">
        <v>42</v>
      </c>
      <c r="H510" s="23" t="s">
        <v>2633</v>
      </c>
      <c r="I510" s="24" t="s">
        <v>20</v>
      </c>
      <c r="J510" s="1" t="str">
        <f t="shared" si="0"/>
        <v>FRIC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6.25" hidden="1" customHeight="1">
      <c r="A511" s="17">
        <f t="shared" si="1"/>
        <v>508</v>
      </c>
      <c r="B511" s="18" t="s">
        <v>105</v>
      </c>
      <c r="C511" s="31" t="s">
        <v>683</v>
      </c>
      <c r="D511" s="19" t="s">
        <v>141</v>
      </c>
      <c r="E511" s="20" t="s">
        <v>684</v>
      </c>
      <c r="F511" s="32" t="s">
        <v>603</v>
      </c>
      <c r="G511" s="33" t="s">
        <v>42</v>
      </c>
      <c r="H511" s="23" t="s">
        <v>2634</v>
      </c>
      <c r="I511" s="24" t="s">
        <v>55</v>
      </c>
      <c r="J511" s="1" t="str">
        <f t="shared" si="0"/>
        <v/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6.25" customHeight="1">
      <c r="A512" s="17">
        <f t="shared" si="1"/>
        <v>509</v>
      </c>
      <c r="B512" s="18" t="s">
        <v>105</v>
      </c>
      <c r="C512" s="31" t="s">
        <v>2635</v>
      </c>
      <c r="D512" s="19" t="s">
        <v>2636</v>
      </c>
      <c r="E512" s="20" t="s">
        <v>2637</v>
      </c>
      <c r="F512" s="21" t="s">
        <v>2638</v>
      </c>
      <c r="G512" s="33" t="s">
        <v>63</v>
      </c>
      <c r="H512" s="23" t="s">
        <v>2639</v>
      </c>
      <c r="I512" s="34" t="s">
        <v>20</v>
      </c>
      <c r="J512" s="1" t="str">
        <f t="shared" si="0"/>
        <v>과기</v>
      </c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ht="26.25" hidden="1" customHeight="1">
      <c r="A513" s="17">
        <f t="shared" si="1"/>
        <v>510</v>
      </c>
      <c r="B513" s="18" t="s">
        <v>105</v>
      </c>
      <c r="C513" s="31" t="s">
        <v>732</v>
      </c>
      <c r="D513" s="19" t="s">
        <v>733</v>
      </c>
      <c r="E513" s="20" t="s">
        <v>734</v>
      </c>
      <c r="F513" s="32" t="s">
        <v>2640</v>
      </c>
      <c r="G513" s="33" t="s">
        <v>53</v>
      </c>
      <c r="H513" s="23" t="s">
        <v>2641</v>
      </c>
      <c r="I513" s="24" t="s">
        <v>55</v>
      </c>
      <c r="J513" s="1" t="str">
        <f t="shared" si="0"/>
        <v/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6.25" hidden="1" customHeight="1">
      <c r="A514" s="17">
        <f t="shared" si="1"/>
        <v>511</v>
      </c>
      <c r="B514" s="18" t="s">
        <v>105</v>
      </c>
      <c r="C514" s="31" t="s">
        <v>740</v>
      </c>
      <c r="D514" s="19" t="s">
        <v>2642</v>
      </c>
      <c r="E514" s="20" t="s">
        <v>741</v>
      </c>
      <c r="F514" s="32" t="s">
        <v>170</v>
      </c>
      <c r="G514" s="33" t="s">
        <v>53</v>
      </c>
      <c r="H514" s="23" t="s">
        <v>2643</v>
      </c>
      <c r="I514" s="24" t="s">
        <v>55</v>
      </c>
      <c r="J514" s="1" t="str">
        <f t="shared" si="0"/>
        <v/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6.25" hidden="1" customHeight="1">
      <c r="A515" s="17">
        <f t="shared" si="1"/>
        <v>512</v>
      </c>
      <c r="B515" s="18" t="s">
        <v>105</v>
      </c>
      <c r="C515" s="31" t="s">
        <v>2644</v>
      </c>
      <c r="D515" s="19" t="s">
        <v>196</v>
      </c>
      <c r="E515" s="20" t="s">
        <v>2645</v>
      </c>
      <c r="F515" s="32" t="s">
        <v>1101</v>
      </c>
      <c r="G515" s="33" t="s">
        <v>42</v>
      </c>
      <c r="H515" s="23" t="s">
        <v>2646</v>
      </c>
      <c r="I515" s="24" t="s">
        <v>55</v>
      </c>
      <c r="J515" s="1" t="str">
        <f t="shared" si="0"/>
        <v/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6.25" hidden="1" customHeight="1">
      <c r="A516" s="17">
        <f t="shared" si="1"/>
        <v>513</v>
      </c>
      <c r="B516" s="18" t="s">
        <v>105</v>
      </c>
      <c r="C516" s="31" t="s">
        <v>2647</v>
      </c>
      <c r="D516" s="19" t="s">
        <v>196</v>
      </c>
      <c r="E516" s="20" t="s">
        <v>2648</v>
      </c>
      <c r="F516" s="32" t="s">
        <v>519</v>
      </c>
      <c r="G516" s="33" t="s">
        <v>42</v>
      </c>
      <c r="H516" s="23" t="s">
        <v>2649</v>
      </c>
      <c r="I516" s="24" t="s">
        <v>55</v>
      </c>
      <c r="J516" s="1" t="str">
        <f t="shared" si="0"/>
        <v/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6.25" hidden="1" customHeight="1">
      <c r="A517" s="17">
        <f t="shared" si="1"/>
        <v>514</v>
      </c>
      <c r="B517" s="18" t="s">
        <v>105</v>
      </c>
      <c r="C517" s="31" t="s">
        <v>1455</v>
      </c>
      <c r="D517" s="19" t="s">
        <v>141</v>
      </c>
      <c r="E517" s="20" t="s">
        <v>1457</v>
      </c>
      <c r="F517" s="32" t="s">
        <v>52</v>
      </c>
      <c r="G517" s="33" t="s">
        <v>42</v>
      </c>
      <c r="H517" s="23" t="s">
        <v>2650</v>
      </c>
      <c r="I517" s="34" t="s">
        <v>55</v>
      </c>
      <c r="J517" s="1" t="str">
        <f t="shared" si="0"/>
        <v/>
      </c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ht="26.25" hidden="1" customHeight="1">
      <c r="A518" s="17">
        <f t="shared" si="1"/>
        <v>515</v>
      </c>
      <c r="B518" s="18" t="s">
        <v>132</v>
      </c>
      <c r="C518" s="31" t="s">
        <v>2651</v>
      </c>
      <c r="D518" s="19" t="s">
        <v>2652</v>
      </c>
      <c r="E518" s="20" t="s">
        <v>2653</v>
      </c>
      <c r="F518" s="32" t="s">
        <v>2654</v>
      </c>
      <c r="G518" s="22" t="s">
        <v>31</v>
      </c>
      <c r="H518" s="23" t="s">
        <v>2655</v>
      </c>
      <c r="I518" s="24" t="s">
        <v>55</v>
      </c>
      <c r="J518" s="1" t="str">
        <f t="shared" si="0"/>
        <v/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6.25" hidden="1" customHeight="1">
      <c r="A519" s="17">
        <f t="shared" si="1"/>
        <v>516</v>
      </c>
      <c r="B519" s="18" t="s">
        <v>132</v>
      </c>
      <c r="C519" s="19" t="s">
        <v>1728</v>
      </c>
      <c r="D519" s="19" t="s">
        <v>124</v>
      </c>
      <c r="E519" s="20" t="s">
        <v>1729</v>
      </c>
      <c r="F519" s="32" t="s">
        <v>2656</v>
      </c>
      <c r="G519" s="22" t="s">
        <v>42</v>
      </c>
      <c r="H519" s="23" t="s">
        <v>2657</v>
      </c>
      <c r="I519" s="34" t="s">
        <v>55</v>
      </c>
      <c r="J519" s="1" t="str">
        <f t="shared" si="0"/>
        <v/>
      </c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ht="26.25" hidden="1" customHeight="1">
      <c r="A520" s="17">
        <f t="shared" si="1"/>
        <v>517</v>
      </c>
      <c r="B520" s="18" t="s">
        <v>132</v>
      </c>
      <c r="C520" s="19" t="s">
        <v>2658</v>
      </c>
      <c r="D520" s="19" t="s">
        <v>124</v>
      </c>
      <c r="E520" s="20" t="s">
        <v>2659</v>
      </c>
      <c r="F520" s="21" t="s">
        <v>135</v>
      </c>
      <c r="G520" s="22" t="s">
        <v>31</v>
      </c>
      <c r="H520" s="23" t="s">
        <v>2660</v>
      </c>
      <c r="I520" s="24" t="s">
        <v>20</v>
      </c>
      <c r="J520" s="1" t="str">
        <f t="shared" si="0"/>
        <v>FRIC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6.25" hidden="1" customHeight="1">
      <c r="A521" s="17">
        <f t="shared" si="1"/>
        <v>518</v>
      </c>
      <c r="B521" s="18" t="s">
        <v>132</v>
      </c>
      <c r="C521" s="31" t="s">
        <v>872</v>
      </c>
      <c r="D521" s="19" t="s">
        <v>2661</v>
      </c>
      <c r="E521" s="20" t="s">
        <v>873</v>
      </c>
      <c r="F521" s="32" t="s">
        <v>2662</v>
      </c>
      <c r="G521" s="22" t="s">
        <v>31</v>
      </c>
      <c r="H521" s="23" t="s">
        <v>2663</v>
      </c>
      <c r="I521" s="24" t="s">
        <v>55</v>
      </c>
      <c r="J521" s="1" t="str">
        <f t="shared" si="0"/>
        <v/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6.25" hidden="1" customHeight="1">
      <c r="A522" s="17">
        <f t="shared" si="1"/>
        <v>519</v>
      </c>
      <c r="B522" s="18" t="s">
        <v>37</v>
      </c>
      <c r="C522" s="70" t="s">
        <v>1139</v>
      </c>
      <c r="D522" s="39" t="s">
        <v>2664</v>
      </c>
      <c r="E522" s="20" t="s">
        <v>1141</v>
      </c>
      <c r="F522" s="44">
        <v>2019</v>
      </c>
      <c r="G522" s="22" t="s">
        <v>53</v>
      </c>
      <c r="H522" s="41" t="s">
        <v>2665</v>
      </c>
      <c r="I522" s="24" t="s">
        <v>55</v>
      </c>
      <c r="J522" s="1" t="str">
        <f t="shared" si="0"/>
        <v/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6.25" hidden="1" customHeight="1">
      <c r="A523" s="17">
        <f t="shared" si="1"/>
        <v>520</v>
      </c>
      <c r="B523" s="18" t="s">
        <v>37</v>
      </c>
      <c r="C523" s="19" t="s">
        <v>2666</v>
      </c>
      <c r="D523" s="19" t="s">
        <v>2667</v>
      </c>
      <c r="E523" s="20" t="s">
        <v>2668</v>
      </c>
      <c r="F523" s="21" t="s">
        <v>2669</v>
      </c>
      <c r="G523" s="22" t="s">
        <v>53</v>
      </c>
      <c r="H523" s="23" t="s">
        <v>2670</v>
      </c>
      <c r="I523" s="24" t="s">
        <v>20</v>
      </c>
      <c r="J523" s="1" t="str">
        <f t="shared" si="0"/>
        <v>FRIC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6.25" hidden="1" customHeight="1">
      <c r="A524" s="17">
        <f t="shared" si="1"/>
        <v>521</v>
      </c>
      <c r="B524" s="18" t="s">
        <v>37</v>
      </c>
      <c r="C524" s="19" t="s">
        <v>2671</v>
      </c>
      <c r="D524" s="19" t="s">
        <v>2667</v>
      </c>
      <c r="E524" s="20" t="s">
        <v>2672</v>
      </c>
      <c r="F524" s="21" t="s">
        <v>2673</v>
      </c>
      <c r="G524" s="22" t="s">
        <v>53</v>
      </c>
      <c r="H524" s="23" t="s">
        <v>2674</v>
      </c>
      <c r="I524" s="24" t="s">
        <v>20</v>
      </c>
      <c r="J524" s="1" t="str">
        <f t="shared" si="0"/>
        <v>FRIC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6.25" hidden="1" customHeight="1">
      <c r="A525" s="17">
        <f t="shared" si="1"/>
        <v>522</v>
      </c>
      <c r="B525" s="18" t="s">
        <v>37</v>
      </c>
      <c r="C525" s="31" t="s">
        <v>2675</v>
      </c>
      <c r="D525" s="19" t="s">
        <v>2676</v>
      </c>
      <c r="E525" s="20" t="s">
        <v>1148</v>
      </c>
      <c r="F525" s="32" t="s">
        <v>170</v>
      </c>
      <c r="G525" s="22" t="s">
        <v>63</v>
      </c>
      <c r="H525" s="23" t="s">
        <v>2677</v>
      </c>
      <c r="I525" s="24" t="s">
        <v>55</v>
      </c>
      <c r="J525" s="1" t="str">
        <f t="shared" si="0"/>
        <v/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6.25" hidden="1" customHeight="1">
      <c r="A526" s="17">
        <f t="shared" si="1"/>
        <v>523</v>
      </c>
      <c r="B526" s="18" t="s">
        <v>37</v>
      </c>
      <c r="C526" s="31" t="s">
        <v>2678</v>
      </c>
      <c r="D526" s="19" t="s">
        <v>277</v>
      </c>
      <c r="E526" s="20" t="s">
        <v>2679</v>
      </c>
      <c r="F526" s="32" t="s">
        <v>2257</v>
      </c>
      <c r="G526" s="22" t="s">
        <v>42</v>
      </c>
      <c r="H526" s="23" t="s">
        <v>2680</v>
      </c>
      <c r="I526" s="24" t="s">
        <v>55</v>
      </c>
      <c r="J526" s="1" t="str">
        <f t="shared" si="0"/>
        <v/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6.25" customHeight="1">
      <c r="A527" s="17">
        <f t="shared" si="1"/>
        <v>524</v>
      </c>
      <c r="B527" s="18" t="s">
        <v>37</v>
      </c>
      <c r="C527" s="19" t="s">
        <v>2681</v>
      </c>
      <c r="D527" s="19" t="s">
        <v>277</v>
      </c>
      <c r="E527" s="20" t="s">
        <v>2682</v>
      </c>
      <c r="F527" s="21" t="s">
        <v>2683</v>
      </c>
      <c r="G527" s="22" t="s">
        <v>42</v>
      </c>
      <c r="H527" s="23" t="s">
        <v>2684</v>
      </c>
      <c r="I527" s="24" t="s">
        <v>20</v>
      </c>
      <c r="J527" s="1" t="str">
        <f t="shared" si="0"/>
        <v>과기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6.25" hidden="1" customHeight="1">
      <c r="A528" s="17">
        <f t="shared" si="1"/>
        <v>525</v>
      </c>
      <c r="B528" s="18" t="s">
        <v>27</v>
      </c>
      <c r="C528" s="31" t="s">
        <v>2685</v>
      </c>
      <c r="D528" s="19" t="s">
        <v>808</v>
      </c>
      <c r="E528" s="20" t="s">
        <v>2686</v>
      </c>
      <c r="F528" s="32" t="s">
        <v>1947</v>
      </c>
      <c r="G528" s="22" t="s">
        <v>53</v>
      </c>
      <c r="H528" s="23" t="s">
        <v>2687</v>
      </c>
      <c r="I528" s="24" t="s">
        <v>55</v>
      </c>
      <c r="J528" s="1" t="str">
        <f t="shared" si="0"/>
        <v/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6.25" hidden="1" customHeight="1">
      <c r="A529" s="17">
        <f t="shared" si="1"/>
        <v>526</v>
      </c>
      <c r="B529" s="18" t="s">
        <v>175</v>
      </c>
      <c r="C529" s="31" t="s">
        <v>2688</v>
      </c>
      <c r="D529" s="19" t="s">
        <v>277</v>
      </c>
      <c r="E529" s="20" t="s">
        <v>2689</v>
      </c>
      <c r="F529" s="32" t="s">
        <v>252</v>
      </c>
      <c r="G529" s="33" t="s">
        <v>42</v>
      </c>
      <c r="H529" s="23" t="s">
        <v>2690</v>
      </c>
      <c r="I529" s="24" t="s">
        <v>55</v>
      </c>
      <c r="J529" s="1" t="str">
        <f t="shared" si="0"/>
        <v/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6.25" customHeight="1">
      <c r="A530" s="17">
        <f t="shared" si="1"/>
        <v>527</v>
      </c>
      <c r="B530" s="18" t="s">
        <v>175</v>
      </c>
      <c r="C530" s="19" t="s">
        <v>2691</v>
      </c>
      <c r="D530" s="19" t="s">
        <v>45</v>
      </c>
      <c r="E530" s="20" t="s">
        <v>2692</v>
      </c>
      <c r="F530" s="21" t="s">
        <v>905</v>
      </c>
      <c r="G530" s="33" t="s">
        <v>42</v>
      </c>
      <c r="H530" s="23" t="s">
        <v>2693</v>
      </c>
      <c r="I530" s="24" t="s">
        <v>20</v>
      </c>
      <c r="J530" s="1" t="str">
        <f t="shared" si="0"/>
        <v>과기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6.25" hidden="1" customHeight="1">
      <c r="A531" s="17">
        <f t="shared" si="1"/>
        <v>528</v>
      </c>
      <c r="B531" s="18" t="s">
        <v>48</v>
      </c>
      <c r="C531" s="31" t="s">
        <v>2694</v>
      </c>
      <c r="D531" s="19" t="s">
        <v>370</v>
      </c>
      <c r="E531" s="20" t="s">
        <v>2695</v>
      </c>
      <c r="F531" s="32" t="s">
        <v>2696</v>
      </c>
      <c r="G531" s="33" t="s">
        <v>53</v>
      </c>
      <c r="H531" s="23" t="s">
        <v>2697</v>
      </c>
      <c r="I531" s="24" t="s">
        <v>55</v>
      </c>
      <c r="J531" s="1" t="str">
        <f t="shared" si="0"/>
        <v/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6.25" hidden="1" customHeight="1">
      <c r="A532" s="17">
        <f t="shared" si="1"/>
        <v>529</v>
      </c>
      <c r="B532" s="18" t="s">
        <v>105</v>
      </c>
      <c r="C532" s="19" t="s">
        <v>2698</v>
      </c>
      <c r="D532" s="19" t="s">
        <v>124</v>
      </c>
      <c r="E532" s="20" t="s">
        <v>2699</v>
      </c>
      <c r="F532" s="21" t="s">
        <v>905</v>
      </c>
      <c r="G532" s="33" t="s">
        <v>42</v>
      </c>
      <c r="H532" s="23" t="s">
        <v>2700</v>
      </c>
      <c r="I532" s="24" t="s">
        <v>20</v>
      </c>
      <c r="J532" s="1" t="str">
        <f t="shared" si="0"/>
        <v>FRIC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6.25" hidden="1" customHeight="1">
      <c r="A533" s="17">
        <f t="shared" si="1"/>
        <v>530</v>
      </c>
      <c r="B533" s="18" t="s">
        <v>105</v>
      </c>
      <c r="C533" s="19" t="s">
        <v>2701</v>
      </c>
      <c r="D533" s="19" t="s">
        <v>196</v>
      </c>
      <c r="E533" s="100" t="s">
        <v>2702</v>
      </c>
      <c r="F533" s="32" t="s">
        <v>178</v>
      </c>
      <c r="G533" s="33" t="s">
        <v>42</v>
      </c>
      <c r="H533" s="23" t="s">
        <v>2703</v>
      </c>
      <c r="I533" s="34" t="s">
        <v>55</v>
      </c>
      <c r="J533" s="1" t="str">
        <f t="shared" si="0"/>
        <v/>
      </c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ht="26.25" hidden="1" customHeight="1">
      <c r="A534" s="17">
        <f t="shared" si="1"/>
        <v>531</v>
      </c>
      <c r="B534" s="18" t="s">
        <v>1368</v>
      </c>
      <c r="C534" s="31" t="s">
        <v>1568</v>
      </c>
      <c r="D534" s="19" t="s">
        <v>2704</v>
      </c>
      <c r="E534" s="43"/>
      <c r="F534" s="21" t="s">
        <v>2705</v>
      </c>
      <c r="G534" s="33" t="s">
        <v>53</v>
      </c>
      <c r="H534" s="59" t="s">
        <v>2706</v>
      </c>
      <c r="I534" s="34" t="s">
        <v>55</v>
      </c>
      <c r="J534" s="1" t="str">
        <f t="shared" si="0"/>
        <v/>
      </c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ht="26.25" hidden="1" customHeight="1">
      <c r="A535" s="17">
        <f t="shared" si="1"/>
        <v>532</v>
      </c>
      <c r="B535" s="18" t="s">
        <v>37</v>
      </c>
      <c r="C535" s="19" t="s">
        <v>2707</v>
      </c>
      <c r="D535" s="19" t="s">
        <v>1804</v>
      </c>
      <c r="E535" s="20" t="s">
        <v>2708</v>
      </c>
      <c r="F535" s="21" t="s">
        <v>2709</v>
      </c>
      <c r="G535" s="22" t="s">
        <v>53</v>
      </c>
      <c r="H535" s="23" t="s">
        <v>2710</v>
      </c>
      <c r="I535" s="24" t="s">
        <v>20</v>
      </c>
      <c r="J535" s="1" t="str">
        <f t="shared" si="0"/>
        <v>FRIC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6.25" hidden="1" customHeight="1">
      <c r="A536" s="17">
        <f t="shared" si="1"/>
        <v>533</v>
      </c>
      <c r="B536" s="18" t="s">
        <v>175</v>
      </c>
      <c r="C536" s="31" t="s">
        <v>2711</v>
      </c>
      <c r="D536" s="19" t="s">
        <v>196</v>
      </c>
      <c r="E536" s="20" t="s">
        <v>2712</v>
      </c>
      <c r="F536" s="32" t="s">
        <v>2713</v>
      </c>
      <c r="G536" s="33" t="s">
        <v>42</v>
      </c>
      <c r="H536" s="23" t="s">
        <v>2714</v>
      </c>
      <c r="I536" s="24" t="s">
        <v>55</v>
      </c>
      <c r="J536" s="1" t="str">
        <f t="shared" si="0"/>
        <v/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6.25" hidden="1" customHeight="1">
      <c r="A537" s="17">
        <f t="shared" si="1"/>
        <v>534</v>
      </c>
      <c r="B537" s="18" t="s">
        <v>175</v>
      </c>
      <c r="C537" s="31" t="s">
        <v>2715</v>
      </c>
      <c r="D537" s="19" t="s">
        <v>2716</v>
      </c>
      <c r="E537" s="20" t="s">
        <v>2717</v>
      </c>
      <c r="F537" s="32" t="s">
        <v>2718</v>
      </c>
      <c r="G537" s="33" t="s">
        <v>42</v>
      </c>
      <c r="H537" s="23" t="s">
        <v>2719</v>
      </c>
      <c r="I537" s="24" t="s">
        <v>55</v>
      </c>
      <c r="J537" s="1" t="str">
        <f t="shared" si="0"/>
        <v/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6.25" hidden="1" customHeight="1">
      <c r="A538" s="17">
        <f t="shared" si="1"/>
        <v>535</v>
      </c>
      <c r="B538" s="18" t="s">
        <v>132</v>
      </c>
      <c r="C538" s="31" t="s">
        <v>1157</v>
      </c>
      <c r="D538" s="19" t="s">
        <v>2720</v>
      </c>
      <c r="E538" s="20" t="s">
        <v>1158</v>
      </c>
      <c r="F538" s="32" t="s">
        <v>170</v>
      </c>
      <c r="G538" s="22" t="s">
        <v>53</v>
      </c>
      <c r="H538" s="23" t="s">
        <v>2721</v>
      </c>
      <c r="I538" s="24" t="s">
        <v>55</v>
      </c>
      <c r="J538" s="1" t="str">
        <f t="shared" si="0"/>
        <v/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6.25" hidden="1" customHeight="1">
      <c r="A539" s="17">
        <f t="shared" si="1"/>
        <v>536</v>
      </c>
      <c r="B539" s="18" t="s">
        <v>37</v>
      </c>
      <c r="C539" s="19" t="s">
        <v>2722</v>
      </c>
      <c r="D539" s="19" t="s">
        <v>45</v>
      </c>
      <c r="E539" s="20" t="s">
        <v>2723</v>
      </c>
      <c r="F539" s="21" t="s">
        <v>1970</v>
      </c>
      <c r="G539" s="22" t="s">
        <v>42</v>
      </c>
      <c r="H539" s="23" t="s">
        <v>2724</v>
      </c>
      <c r="I539" s="24" t="s">
        <v>20</v>
      </c>
      <c r="J539" s="1" t="str">
        <f t="shared" si="0"/>
        <v>FRIC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6.25" hidden="1" customHeight="1">
      <c r="A540" s="17">
        <f t="shared" si="1"/>
        <v>537</v>
      </c>
      <c r="B540" s="18" t="s">
        <v>175</v>
      </c>
      <c r="C540" s="31" t="s">
        <v>2725</v>
      </c>
      <c r="D540" s="19" t="s">
        <v>124</v>
      </c>
      <c r="E540" s="20" t="s">
        <v>2726</v>
      </c>
      <c r="F540" s="32" t="s">
        <v>2727</v>
      </c>
      <c r="G540" s="33" t="s">
        <v>42</v>
      </c>
      <c r="H540" s="23" t="s">
        <v>2728</v>
      </c>
      <c r="I540" s="24" t="s">
        <v>55</v>
      </c>
      <c r="J540" s="1" t="str">
        <f t="shared" si="0"/>
        <v/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6.25" hidden="1" customHeight="1">
      <c r="A541" s="17">
        <f t="shared" si="1"/>
        <v>538</v>
      </c>
      <c r="B541" s="18" t="s">
        <v>175</v>
      </c>
      <c r="C541" s="31" t="s">
        <v>2729</v>
      </c>
      <c r="D541" s="19" t="s">
        <v>227</v>
      </c>
      <c r="E541" s="20" t="s">
        <v>2730</v>
      </c>
      <c r="F541" s="32" t="s">
        <v>2731</v>
      </c>
      <c r="G541" s="33" t="s">
        <v>42</v>
      </c>
      <c r="H541" s="23" t="s">
        <v>2732</v>
      </c>
      <c r="I541" s="24" t="s">
        <v>55</v>
      </c>
      <c r="J541" s="1" t="str">
        <f t="shared" si="0"/>
        <v/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6.25" hidden="1" customHeight="1">
      <c r="A542" s="17">
        <f t="shared" si="1"/>
        <v>539</v>
      </c>
      <c r="B542" s="18" t="s">
        <v>37</v>
      </c>
      <c r="C542" s="31" t="s">
        <v>2733</v>
      </c>
      <c r="D542" s="19" t="s">
        <v>748</v>
      </c>
      <c r="E542" s="20" t="s">
        <v>2734</v>
      </c>
      <c r="F542" s="32" t="s">
        <v>209</v>
      </c>
      <c r="G542" s="22" t="s">
        <v>42</v>
      </c>
      <c r="H542" s="23" t="s">
        <v>2735</v>
      </c>
      <c r="I542" s="24" t="s">
        <v>55</v>
      </c>
      <c r="J542" s="1" t="str">
        <f t="shared" si="0"/>
        <v/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6.25" hidden="1" customHeight="1">
      <c r="A543" s="17">
        <f t="shared" si="1"/>
        <v>540</v>
      </c>
      <c r="B543" s="18" t="s">
        <v>37</v>
      </c>
      <c r="C543" s="31" t="s">
        <v>2736</v>
      </c>
      <c r="D543" s="19" t="s">
        <v>808</v>
      </c>
      <c r="E543" s="20" t="s">
        <v>2737</v>
      </c>
      <c r="F543" s="32" t="s">
        <v>209</v>
      </c>
      <c r="G543" s="22" t="s">
        <v>42</v>
      </c>
      <c r="H543" s="23" t="s">
        <v>2738</v>
      </c>
      <c r="I543" s="24" t="s">
        <v>55</v>
      </c>
      <c r="J543" s="1" t="str">
        <f t="shared" si="0"/>
        <v/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6.25" hidden="1" customHeight="1">
      <c r="A544" s="17">
        <f t="shared" si="1"/>
        <v>541</v>
      </c>
      <c r="B544" s="18" t="s">
        <v>248</v>
      </c>
      <c r="C544" s="101" t="s">
        <v>4935</v>
      </c>
      <c r="D544" s="101" t="s">
        <v>168</v>
      </c>
      <c r="E544" s="84" t="s">
        <v>1735</v>
      </c>
      <c r="F544" s="44" t="s">
        <v>4936</v>
      </c>
      <c r="G544" s="22" t="s">
        <v>31</v>
      </c>
      <c r="H544" s="102" t="s">
        <v>2741</v>
      </c>
      <c r="I544" s="34" t="s">
        <v>55</v>
      </c>
      <c r="J544" s="1" t="str">
        <f t="shared" si="0"/>
        <v/>
      </c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ht="26.25" hidden="1" customHeight="1">
      <c r="A545" s="17">
        <f t="shared" si="1"/>
        <v>542</v>
      </c>
      <c r="B545" s="18" t="s">
        <v>37</v>
      </c>
      <c r="C545" s="31" t="s">
        <v>878</v>
      </c>
      <c r="D545" s="19" t="s">
        <v>2742</v>
      </c>
      <c r="E545" s="20" t="s">
        <v>879</v>
      </c>
      <c r="F545" s="32" t="s">
        <v>2100</v>
      </c>
      <c r="G545" s="22" t="s">
        <v>1846</v>
      </c>
      <c r="H545" s="23" t="s">
        <v>2743</v>
      </c>
      <c r="I545" s="24" t="s">
        <v>55</v>
      </c>
      <c r="J545" s="1" t="str">
        <f t="shared" si="0"/>
        <v/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6.25" hidden="1" customHeight="1">
      <c r="A546" s="17">
        <f t="shared" si="1"/>
        <v>543</v>
      </c>
      <c r="B546" s="18" t="s">
        <v>27</v>
      </c>
      <c r="C546" s="31" t="s">
        <v>2744</v>
      </c>
      <c r="D546" s="19" t="s">
        <v>808</v>
      </c>
      <c r="E546" s="20" t="s">
        <v>2745</v>
      </c>
      <c r="F546" s="32" t="s">
        <v>2746</v>
      </c>
      <c r="G546" s="22" t="s">
        <v>42</v>
      </c>
      <c r="H546" s="23" t="s">
        <v>2747</v>
      </c>
      <c r="I546" s="24" t="s">
        <v>55</v>
      </c>
      <c r="J546" s="1" t="str">
        <f t="shared" si="0"/>
        <v/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6.25" hidden="1" customHeight="1">
      <c r="A547" s="17">
        <f t="shared" si="1"/>
        <v>544</v>
      </c>
      <c r="B547" s="18" t="s">
        <v>105</v>
      </c>
      <c r="C547" s="31" t="s">
        <v>2748</v>
      </c>
      <c r="D547" s="19" t="s">
        <v>2164</v>
      </c>
      <c r="E547" s="20" t="s">
        <v>2749</v>
      </c>
      <c r="F547" s="32" t="s">
        <v>2750</v>
      </c>
      <c r="G547" s="33" t="s">
        <v>42</v>
      </c>
      <c r="H547" s="23" t="s">
        <v>2751</v>
      </c>
      <c r="I547" s="24" t="s">
        <v>55</v>
      </c>
      <c r="J547" s="1" t="str">
        <f t="shared" si="0"/>
        <v/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6.25" hidden="1" customHeight="1">
      <c r="A548" s="17">
        <f t="shared" si="1"/>
        <v>545</v>
      </c>
      <c r="B548" s="18" t="s">
        <v>175</v>
      </c>
      <c r="C548" s="31" t="s">
        <v>2752</v>
      </c>
      <c r="D548" s="19" t="s">
        <v>196</v>
      </c>
      <c r="E548" s="20" t="s">
        <v>2753</v>
      </c>
      <c r="F548" s="32" t="s">
        <v>2754</v>
      </c>
      <c r="G548" s="33" t="s">
        <v>42</v>
      </c>
      <c r="H548" s="23" t="s">
        <v>2755</v>
      </c>
      <c r="I548" s="24" t="s">
        <v>55</v>
      </c>
      <c r="J548" s="1" t="str">
        <f t="shared" si="0"/>
        <v/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6.25" hidden="1" customHeight="1">
      <c r="A549" s="17">
        <f t="shared" si="1"/>
        <v>546</v>
      </c>
      <c r="B549" s="18" t="s">
        <v>1375</v>
      </c>
      <c r="C549" s="19" t="s">
        <v>2756</v>
      </c>
      <c r="D549" s="19" t="s">
        <v>2757</v>
      </c>
      <c r="E549" s="20" t="s">
        <v>2758</v>
      </c>
      <c r="F549" s="21" t="s">
        <v>135</v>
      </c>
      <c r="G549" s="22" t="s">
        <v>53</v>
      </c>
      <c r="H549" s="23" t="s">
        <v>2759</v>
      </c>
      <c r="I549" s="24" t="s">
        <v>20</v>
      </c>
      <c r="J549" s="1" t="str">
        <f t="shared" si="0"/>
        <v>FRIC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6.25" hidden="1" customHeight="1">
      <c r="A550" s="17">
        <f t="shared" si="1"/>
        <v>547</v>
      </c>
      <c r="B550" s="18" t="s">
        <v>1368</v>
      </c>
      <c r="C550" s="31" t="s">
        <v>661</v>
      </c>
      <c r="D550" s="19" t="s">
        <v>662</v>
      </c>
      <c r="E550" s="20" t="s">
        <v>663</v>
      </c>
      <c r="F550" s="32" t="s">
        <v>496</v>
      </c>
      <c r="G550" s="33" t="s">
        <v>53</v>
      </c>
      <c r="H550" s="23" t="s">
        <v>2760</v>
      </c>
      <c r="I550" s="24" t="s">
        <v>55</v>
      </c>
      <c r="J550" s="1" t="str">
        <f t="shared" si="0"/>
        <v/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6.25" hidden="1" customHeight="1">
      <c r="A551" s="17">
        <f t="shared" si="1"/>
        <v>548</v>
      </c>
      <c r="B551" s="18" t="s">
        <v>105</v>
      </c>
      <c r="C551" s="31" t="s">
        <v>2761</v>
      </c>
      <c r="D551" s="19" t="s">
        <v>733</v>
      </c>
      <c r="E551" s="20" t="s">
        <v>2762</v>
      </c>
      <c r="F551" s="32" t="s">
        <v>2763</v>
      </c>
      <c r="G551" s="33" t="s">
        <v>53</v>
      </c>
      <c r="H551" s="23" t="s">
        <v>2764</v>
      </c>
      <c r="I551" s="24" t="s">
        <v>55</v>
      </c>
      <c r="J551" s="1" t="str">
        <f t="shared" si="0"/>
        <v/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6.25" hidden="1" customHeight="1">
      <c r="A552" s="17">
        <f t="shared" si="1"/>
        <v>549</v>
      </c>
      <c r="B552" s="18" t="s">
        <v>37</v>
      </c>
      <c r="C552" s="19" t="s">
        <v>2765</v>
      </c>
      <c r="D552" s="19" t="s">
        <v>2766</v>
      </c>
      <c r="E552" s="20" t="s">
        <v>2767</v>
      </c>
      <c r="F552" s="21" t="s">
        <v>2768</v>
      </c>
      <c r="G552" s="22" t="s">
        <v>42</v>
      </c>
      <c r="H552" s="23" t="s">
        <v>2769</v>
      </c>
      <c r="I552" s="24" t="s">
        <v>20</v>
      </c>
      <c r="J552" s="1" t="str">
        <f t="shared" si="0"/>
        <v>FRIC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6.25" hidden="1" customHeight="1">
      <c r="A553" s="17">
        <f t="shared" si="1"/>
        <v>550</v>
      </c>
      <c r="B553" s="18" t="s">
        <v>105</v>
      </c>
      <c r="C553" s="31" t="s">
        <v>2770</v>
      </c>
      <c r="D553" s="19" t="s">
        <v>2771</v>
      </c>
      <c r="E553" s="20" t="s">
        <v>1167</v>
      </c>
      <c r="F553" s="32" t="s">
        <v>170</v>
      </c>
      <c r="G553" s="33" t="s">
        <v>63</v>
      </c>
      <c r="H553" s="23" t="s">
        <v>2772</v>
      </c>
      <c r="I553" s="24" t="s">
        <v>55</v>
      </c>
      <c r="J553" s="1" t="str">
        <f t="shared" si="0"/>
        <v/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6.25" hidden="1" customHeight="1">
      <c r="A554" s="17">
        <f t="shared" si="1"/>
        <v>551</v>
      </c>
      <c r="B554" s="18" t="s">
        <v>132</v>
      </c>
      <c r="C554" s="19" t="s">
        <v>1697</v>
      </c>
      <c r="D554" s="19" t="s">
        <v>124</v>
      </c>
      <c r="E554" s="20" t="s">
        <v>1698</v>
      </c>
      <c r="F554" s="32" t="s">
        <v>52</v>
      </c>
      <c r="G554" s="22" t="s">
        <v>42</v>
      </c>
      <c r="H554" s="23" t="s">
        <v>2773</v>
      </c>
      <c r="I554" s="34" t="s">
        <v>55</v>
      </c>
      <c r="J554" s="1" t="str">
        <f t="shared" si="0"/>
        <v/>
      </c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ht="26.25" hidden="1" customHeight="1">
      <c r="A555" s="17">
        <f t="shared" si="1"/>
        <v>552</v>
      </c>
      <c r="B555" s="18" t="s">
        <v>105</v>
      </c>
      <c r="C555" s="31" t="s">
        <v>2774</v>
      </c>
      <c r="D555" s="19" t="s">
        <v>112</v>
      </c>
      <c r="E555" s="20" t="s">
        <v>130</v>
      </c>
      <c r="F555" s="32" t="s">
        <v>962</v>
      </c>
      <c r="G555" s="33" t="s">
        <v>42</v>
      </c>
      <c r="H555" s="23" t="s">
        <v>2775</v>
      </c>
      <c r="I555" s="24" t="s">
        <v>55</v>
      </c>
      <c r="J555" s="1" t="str">
        <f t="shared" si="0"/>
        <v/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6.25" hidden="1" customHeight="1">
      <c r="A556" s="17">
        <f t="shared" si="1"/>
        <v>553</v>
      </c>
      <c r="B556" s="18" t="s">
        <v>175</v>
      </c>
      <c r="C556" s="31" t="s">
        <v>2776</v>
      </c>
      <c r="D556" s="19" t="s">
        <v>374</v>
      </c>
      <c r="E556" s="20" t="s">
        <v>2777</v>
      </c>
      <c r="F556" s="32" t="s">
        <v>2778</v>
      </c>
      <c r="G556" s="33" t="s">
        <v>42</v>
      </c>
      <c r="H556" s="23" t="s">
        <v>2779</v>
      </c>
      <c r="I556" s="24" t="s">
        <v>55</v>
      </c>
      <c r="J556" s="1" t="str">
        <f t="shared" si="0"/>
        <v/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6.25" hidden="1" customHeight="1">
      <c r="A557" s="17">
        <f t="shared" si="1"/>
        <v>554</v>
      </c>
      <c r="B557" s="18" t="s">
        <v>132</v>
      </c>
      <c r="C557" s="19" t="s">
        <v>2780</v>
      </c>
      <c r="D557" s="19" t="s">
        <v>124</v>
      </c>
      <c r="E557" s="20" t="s">
        <v>2781</v>
      </c>
      <c r="F557" s="21" t="s">
        <v>1011</v>
      </c>
      <c r="G557" s="22" t="s">
        <v>42</v>
      </c>
      <c r="H557" s="23" t="s">
        <v>2782</v>
      </c>
      <c r="I557" s="24" t="s">
        <v>20</v>
      </c>
      <c r="J557" s="1" t="str">
        <f t="shared" si="0"/>
        <v>FRIC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6.25" hidden="1" customHeight="1">
      <c r="A558" s="17">
        <f t="shared" si="1"/>
        <v>555</v>
      </c>
      <c r="B558" s="18" t="s">
        <v>132</v>
      </c>
      <c r="C558" s="19" t="s">
        <v>2783</v>
      </c>
      <c r="D558" s="19" t="s">
        <v>124</v>
      </c>
      <c r="E558" s="20" t="s">
        <v>2784</v>
      </c>
      <c r="F558" s="21" t="s">
        <v>1011</v>
      </c>
      <c r="G558" s="22" t="s">
        <v>42</v>
      </c>
      <c r="H558" s="23" t="s">
        <v>2785</v>
      </c>
      <c r="I558" s="24" t="s">
        <v>20</v>
      </c>
      <c r="J558" s="1" t="str">
        <f t="shared" si="0"/>
        <v>FRIC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6.25" hidden="1" customHeight="1">
      <c r="A559" s="17">
        <f t="shared" si="1"/>
        <v>556</v>
      </c>
      <c r="B559" s="18" t="s">
        <v>105</v>
      </c>
      <c r="C559" s="31" t="s">
        <v>1173</v>
      </c>
      <c r="D559" s="19" t="s">
        <v>2786</v>
      </c>
      <c r="E559" s="20" t="s">
        <v>1175</v>
      </c>
      <c r="F559" s="32" t="s">
        <v>170</v>
      </c>
      <c r="G559" s="33" t="s">
        <v>53</v>
      </c>
      <c r="H559" s="23" t="s">
        <v>2787</v>
      </c>
      <c r="I559" s="24" t="s">
        <v>55</v>
      </c>
      <c r="J559" s="1" t="str">
        <f t="shared" si="0"/>
        <v/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6.25" hidden="1" customHeight="1">
      <c r="A560" s="17">
        <f t="shared" si="1"/>
        <v>557</v>
      </c>
      <c r="B560" s="18" t="s">
        <v>146</v>
      </c>
      <c r="C560" s="31" t="s">
        <v>621</v>
      </c>
      <c r="D560" s="19" t="s">
        <v>2788</v>
      </c>
      <c r="E560" s="20" t="s">
        <v>623</v>
      </c>
      <c r="F560" s="32" t="s">
        <v>1033</v>
      </c>
      <c r="G560" s="33" t="s">
        <v>63</v>
      </c>
      <c r="H560" s="23" t="s">
        <v>2789</v>
      </c>
      <c r="I560" s="24" t="s">
        <v>55</v>
      </c>
      <c r="J560" s="1" t="str">
        <f t="shared" si="0"/>
        <v/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6.25" hidden="1" customHeight="1">
      <c r="A561" s="17">
        <f t="shared" si="1"/>
        <v>558</v>
      </c>
      <c r="B561" s="18" t="s">
        <v>27</v>
      </c>
      <c r="C561" s="31" t="s">
        <v>1188</v>
      </c>
      <c r="D561" s="19" t="s">
        <v>2790</v>
      </c>
      <c r="E561" s="20" t="s">
        <v>1190</v>
      </c>
      <c r="F561" s="32" t="s">
        <v>170</v>
      </c>
      <c r="G561" s="22" t="s">
        <v>31</v>
      </c>
      <c r="H561" s="23" t="s">
        <v>2791</v>
      </c>
      <c r="I561" s="24" t="s">
        <v>55</v>
      </c>
      <c r="J561" s="1" t="str">
        <f t="shared" si="0"/>
        <v/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6.25" hidden="1" customHeight="1">
      <c r="A562" s="17">
        <f t="shared" si="1"/>
        <v>559</v>
      </c>
      <c r="B562" s="18" t="s">
        <v>13</v>
      </c>
      <c r="C562" s="31" t="s">
        <v>2792</v>
      </c>
      <c r="D562" s="19" t="s">
        <v>2793</v>
      </c>
      <c r="E562" s="20" t="s">
        <v>1196</v>
      </c>
      <c r="F562" s="32" t="s">
        <v>170</v>
      </c>
      <c r="G562" s="22" t="s">
        <v>53</v>
      </c>
      <c r="H562" s="23" t="s">
        <v>2794</v>
      </c>
      <c r="I562" s="24" t="s">
        <v>55</v>
      </c>
      <c r="J562" s="1" t="str">
        <f t="shared" si="0"/>
        <v/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6.25" hidden="1" customHeight="1">
      <c r="A563" s="17">
        <f t="shared" si="1"/>
        <v>560</v>
      </c>
      <c r="B563" s="18" t="s">
        <v>81</v>
      </c>
      <c r="C563" s="31" t="s">
        <v>2795</v>
      </c>
      <c r="D563" s="19" t="s">
        <v>1776</v>
      </c>
      <c r="E563" s="20" t="s">
        <v>2796</v>
      </c>
      <c r="F563" s="32" t="s">
        <v>222</v>
      </c>
      <c r="G563" s="33" t="s">
        <v>42</v>
      </c>
      <c r="H563" s="23" t="s">
        <v>2797</v>
      </c>
      <c r="I563" s="24" t="s">
        <v>55</v>
      </c>
      <c r="J563" s="1" t="str">
        <f t="shared" si="0"/>
        <v/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6.25" hidden="1" customHeight="1">
      <c r="A564" s="17">
        <f t="shared" si="1"/>
        <v>561</v>
      </c>
      <c r="B564" s="18" t="s">
        <v>81</v>
      </c>
      <c r="C564" s="31" t="s">
        <v>2798</v>
      </c>
      <c r="D564" s="19" t="s">
        <v>2799</v>
      </c>
      <c r="E564" s="20" t="s">
        <v>2800</v>
      </c>
      <c r="F564" s="32" t="s">
        <v>2801</v>
      </c>
      <c r="G564" s="33" t="s">
        <v>53</v>
      </c>
      <c r="H564" s="23" t="s">
        <v>2802</v>
      </c>
      <c r="I564" s="24" t="s">
        <v>55</v>
      </c>
      <c r="J564" s="1" t="str">
        <f t="shared" si="0"/>
        <v/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6.25" hidden="1" customHeight="1">
      <c r="A565" s="17">
        <f t="shared" si="1"/>
        <v>562</v>
      </c>
      <c r="B565" s="18" t="s">
        <v>81</v>
      </c>
      <c r="C565" s="31" t="s">
        <v>2803</v>
      </c>
      <c r="D565" s="19" t="s">
        <v>1693</v>
      </c>
      <c r="E565" s="20" t="s">
        <v>2804</v>
      </c>
      <c r="F565" s="32" t="s">
        <v>2805</v>
      </c>
      <c r="G565" s="33" t="s">
        <v>1290</v>
      </c>
      <c r="H565" s="23" t="s">
        <v>2806</v>
      </c>
      <c r="I565" s="24" t="s">
        <v>55</v>
      </c>
      <c r="J565" s="1" t="str">
        <f t="shared" si="0"/>
        <v/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6.25" hidden="1" customHeight="1">
      <c r="A566" s="17">
        <f t="shared" si="1"/>
        <v>563</v>
      </c>
      <c r="B566" s="18" t="s">
        <v>105</v>
      </c>
      <c r="C566" s="31" t="s">
        <v>824</v>
      </c>
      <c r="D566" s="19" t="s">
        <v>2267</v>
      </c>
      <c r="E566" s="20" t="s">
        <v>826</v>
      </c>
      <c r="F566" s="32" t="s">
        <v>2807</v>
      </c>
      <c r="G566" s="33" t="s">
        <v>42</v>
      </c>
      <c r="H566" s="23" t="s">
        <v>2808</v>
      </c>
      <c r="I566" s="24" t="s">
        <v>55</v>
      </c>
      <c r="J566" s="1" t="str">
        <f t="shared" si="0"/>
        <v/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6.25" hidden="1" customHeight="1">
      <c r="A567" s="17">
        <f t="shared" si="1"/>
        <v>564</v>
      </c>
      <c r="B567" s="18" t="s">
        <v>105</v>
      </c>
      <c r="C567" s="31" t="s">
        <v>2809</v>
      </c>
      <c r="D567" s="19" t="s">
        <v>808</v>
      </c>
      <c r="E567" s="20" t="s">
        <v>2810</v>
      </c>
      <c r="F567" s="32" t="s">
        <v>2811</v>
      </c>
      <c r="G567" s="33" t="s">
        <v>42</v>
      </c>
      <c r="H567" s="23" t="s">
        <v>2812</v>
      </c>
      <c r="I567" s="24" t="s">
        <v>55</v>
      </c>
      <c r="J567" s="1" t="str">
        <f t="shared" si="0"/>
        <v/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6.25" customHeight="1">
      <c r="A568" s="17">
        <f t="shared" si="1"/>
        <v>565</v>
      </c>
      <c r="B568" s="18" t="s">
        <v>27</v>
      </c>
      <c r="C568" s="31" t="s">
        <v>2813</v>
      </c>
      <c r="D568" s="19" t="s">
        <v>124</v>
      </c>
      <c r="E568" s="20" t="s">
        <v>2814</v>
      </c>
      <c r="F568" s="21" t="s">
        <v>2815</v>
      </c>
      <c r="G568" s="22" t="s">
        <v>42</v>
      </c>
      <c r="H568" s="23" t="s">
        <v>2816</v>
      </c>
      <c r="I568" s="34" t="s">
        <v>20</v>
      </c>
      <c r="J568" s="1" t="str">
        <f t="shared" si="0"/>
        <v>과기</v>
      </c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ht="26.25" hidden="1" customHeight="1">
      <c r="A569" s="17">
        <f t="shared" si="1"/>
        <v>566</v>
      </c>
      <c r="B569" s="18" t="s">
        <v>13</v>
      </c>
      <c r="C569" s="31" t="s">
        <v>2817</v>
      </c>
      <c r="D569" s="19" t="s">
        <v>2818</v>
      </c>
      <c r="E569" s="20" t="s">
        <v>2819</v>
      </c>
      <c r="F569" s="32" t="s">
        <v>2820</v>
      </c>
      <c r="G569" s="22" t="s">
        <v>31</v>
      </c>
      <c r="H569" s="23" t="s">
        <v>2821</v>
      </c>
      <c r="I569" s="24" t="s">
        <v>55</v>
      </c>
      <c r="J569" s="1" t="str">
        <f t="shared" si="0"/>
        <v/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6.25" hidden="1" customHeight="1">
      <c r="A570" s="17">
        <f t="shared" si="1"/>
        <v>567</v>
      </c>
      <c r="B570" s="18" t="s">
        <v>105</v>
      </c>
      <c r="C570" s="31" t="s">
        <v>2822</v>
      </c>
      <c r="D570" s="19" t="s">
        <v>2445</v>
      </c>
      <c r="E570" s="20" t="s">
        <v>2823</v>
      </c>
      <c r="F570" s="32" t="s">
        <v>222</v>
      </c>
      <c r="G570" s="33" t="s">
        <v>42</v>
      </c>
      <c r="H570" s="23" t="s">
        <v>2824</v>
      </c>
      <c r="I570" s="24" t="s">
        <v>55</v>
      </c>
      <c r="J570" s="1" t="str">
        <f t="shared" si="0"/>
        <v/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6.25" hidden="1" customHeight="1">
      <c r="A571" s="17">
        <f t="shared" si="1"/>
        <v>568</v>
      </c>
      <c r="B571" s="18" t="s">
        <v>27</v>
      </c>
      <c r="C571" s="31" t="s">
        <v>2825</v>
      </c>
      <c r="D571" s="19" t="s">
        <v>124</v>
      </c>
      <c r="E571" s="20" t="s">
        <v>2826</v>
      </c>
      <c r="F571" s="32">
        <v>2010</v>
      </c>
      <c r="G571" s="33" t="s">
        <v>42</v>
      </c>
      <c r="H571" s="23" t="s">
        <v>2827</v>
      </c>
      <c r="I571" s="24" t="s">
        <v>55</v>
      </c>
      <c r="J571" s="1" t="str">
        <f t="shared" si="0"/>
        <v/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6.25" hidden="1" customHeight="1">
      <c r="A572" s="17">
        <f t="shared" si="1"/>
        <v>569</v>
      </c>
      <c r="B572" s="18" t="s">
        <v>105</v>
      </c>
      <c r="C572" s="31" t="s">
        <v>1203</v>
      </c>
      <c r="D572" s="19" t="s">
        <v>1204</v>
      </c>
      <c r="E572" s="20" t="s">
        <v>1205</v>
      </c>
      <c r="F572" s="32" t="s">
        <v>170</v>
      </c>
      <c r="G572" s="33" t="s">
        <v>42</v>
      </c>
      <c r="H572" s="23" t="s">
        <v>2828</v>
      </c>
      <c r="I572" s="24" t="s">
        <v>55</v>
      </c>
      <c r="J572" s="1" t="str">
        <f t="shared" si="0"/>
        <v/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6.25" hidden="1" customHeight="1">
      <c r="A573" s="17">
        <f t="shared" si="1"/>
        <v>570</v>
      </c>
      <c r="B573" s="18" t="s">
        <v>175</v>
      </c>
      <c r="C573" s="31" t="s">
        <v>2829</v>
      </c>
      <c r="D573" s="19" t="s">
        <v>2830</v>
      </c>
      <c r="E573" s="20" t="s">
        <v>2831</v>
      </c>
      <c r="F573" s="32" t="s">
        <v>2832</v>
      </c>
      <c r="G573" s="33" t="s">
        <v>42</v>
      </c>
      <c r="H573" s="23" t="s">
        <v>2833</v>
      </c>
      <c r="I573" s="24" t="s">
        <v>55</v>
      </c>
      <c r="J573" s="1" t="str">
        <f t="shared" si="0"/>
        <v/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6.25" hidden="1" customHeight="1">
      <c r="A574" s="17">
        <f t="shared" si="1"/>
        <v>571</v>
      </c>
      <c r="B574" s="18" t="s">
        <v>105</v>
      </c>
      <c r="C574" s="31" t="s">
        <v>1525</v>
      </c>
      <c r="D574" s="19" t="s">
        <v>124</v>
      </c>
      <c r="E574" s="20" t="s">
        <v>1526</v>
      </c>
      <c r="F574" s="21" t="s">
        <v>2834</v>
      </c>
      <c r="G574" s="33" t="s">
        <v>42</v>
      </c>
      <c r="H574" s="23" t="s">
        <v>2835</v>
      </c>
      <c r="I574" s="34" t="s">
        <v>55</v>
      </c>
      <c r="J574" s="1" t="str">
        <f t="shared" si="0"/>
        <v/>
      </c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ht="26.25" hidden="1" customHeight="1">
      <c r="A575" s="17">
        <f t="shared" si="1"/>
        <v>572</v>
      </c>
      <c r="B575" s="18" t="s">
        <v>27</v>
      </c>
      <c r="C575" s="31" t="s">
        <v>2836</v>
      </c>
      <c r="D575" s="19" t="s">
        <v>808</v>
      </c>
      <c r="E575" s="20" t="s">
        <v>2837</v>
      </c>
      <c r="F575" s="32" t="s">
        <v>2838</v>
      </c>
      <c r="G575" s="33" t="s">
        <v>42</v>
      </c>
      <c r="H575" s="23" t="s">
        <v>2839</v>
      </c>
      <c r="I575" s="24" t="s">
        <v>55</v>
      </c>
      <c r="J575" s="1" t="str">
        <f t="shared" si="0"/>
        <v/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6.25" hidden="1" customHeight="1">
      <c r="A576" s="17">
        <f t="shared" si="1"/>
        <v>573</v>
      </c>
      <c r="B576" s="18" t="s">
        <v>27</v>
      </c>
      <c r="C576" s="31" t="s">
        <v>2840</v>
      </c>
      <c r="D576" s="19" t="s">
        <v>808</v>
      </c>
      <c r="E576" s="20" t="s">
        <v>2841</v>
      </c>
      <c r="F576" s="32" t="s">
        <v>2842</v>
      </c>
      <c r="G576" s="33" t="s">
        <v>42</v>
      </c>
      <c r="H576" s="23" t="s">
        <v>2843</v>
      </c>
      <c r="I576" s="24" t="s">
        <v>55</v>
      </c>
      <c r="J576" s="1" t="str">
        <f t="shared" si="0"/>
        <v/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6.25" hidden="1" customHeight="1">
      <c r="A577" s="17">
        <f t="shared" si="1"/>
        <v>574</v>
      </c>
      <c r="B577" s="18" t="s">
        <v>105</v>
      </c>
      <c r="C577" s="19" t="s">
        <v>2844</v>
      </c>
      <c r="D577" s="19" t="s">
        <v>124</v>
      </c>
      <c r="E577" s="20" t="s">
        <v>2845</v>
      </c>
      <c r="F577" s="21" t="s">
        <v>933</v>
      </c>
      <c r="G577" s="33" t="s">
        <v>42</v>
      </c>
      <c r="H577" s="23" t="s">
        <v>2846</v>
      </c>
      <c r="I577" s="24" t="s">
        <v>20</v>
      </c>
      <c r="J577" s="1" t="str">
        <f t="shared" si="0"/>
        <v>FRIC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6.25" hidden="1" customHeight="1">
      <c r="A578" s="17">
        <f t="shared" si="1"/>
        <v>575</v>
      </c>
      <c r="B578" s="18" t="s">
        <v>27</v>
      </c>
      <c r="C578" s="31" t="s">
        <v>2847</v>
      </c>
      <c r="D578" s="19" t="s">
        <v>1320</v>
      </c>
      <c r="E578" s="20" t="s">
        <v>2848</v>
      </c>
      <c r="F578" s="32" t="s">
        <v>2849</v>
      </c>
      <c r="G578" s="22" t="s">
        <v>53</v>
      </c>
      <c r="H578" s="23" t="s">
        <v>2850</v>
      </c>
      <c r="I578" s="24" t="s">
        <v>55</v>
      </c>
      <c r="J578" s="1" t="str">
        <f t="shared" si="0"/>
        <v/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6.25" hidden="1" customHeight="1">
      <c r="A579" s="17">
        <f t="shared" si="1"/>
        <v>576</v>
      </c>
      <c r="B579" s="18" t="s">
        <v>175</v>
      </c>
      <c r="C579" s="31" t="s">
        <v>2851</v>
      </c>
      <c r="D579" s="19" t="s">
        <v>1338</v>
      </c>
      <c r="E579" s="20" t="s">
        <v>297</v>
      </c>
      <c r="F579" s="32" t="s">
        <v>2852</v>
      </c>
      <c r="G579" s="33" t="s">
        <v>42</v>
      </c>
      <c r="H579" s="23" t="s">
        <v>2853</v>
      </c>
      <c r="I579" s="24" t="s">
        <v>55</v>
      </c>
      <c r="J579" s="1" t="str">
        <f t="shared" si="0"/>
        <v/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6.25" hidden="1" customHeight="1">
      <c r="A580" s="17">
        <f t="shared" si="1"/>
        <v>577</v>
      </c>
      <c r="B580" s="18" t="s">
        <v>175</v>
      </c>
      <c r="C580" s="31" t="s">
        <v>2854</v>
      </c>
      <c r="D580" s="19" t="s">
        <v>722</v>
      </c>
      <c r="E580" s="20" t="s">
        <v>2855</v>
      </c>
      <c r="F580" s="32" t="s">
        <v>252</v>
      </c>
      <c r="G580" s="33" t="s">
        <v>42</v>
      </c>
      <c r="H580" s="23" t="s">
        <v>2856</v>
      </c>
      <c r="I580" s="24" t="s">
        <v>55</v>
      </c>
      <c r="J580" s="1" t="str">
        <f t="shared" si="0"/>
        <v/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6.25" hidden="1" customHeight="1">
      <c r="A581" s="17">
        <f t="shared" si="1"/>
        <v>578</v>
      </c>
      <c r="B581" s="18" t="s">
        <v>175</v>
      </c>
      <c r="C581" s="31" t="s">
        <v>2857</v>
      </c>
      <c r="D581" s="19" t="s">
        <v>2858</v>
      </c>
      <c r="E581" s="20" t="s">
        <v>2859</v>
      </c>
      <c r="F581" s="32" t="s">
        <v>2860</v>
      </c>
      <c r="G581" s="33" t="s">
        <v>42</v>
      </c>
      <c r="H581" s="23" t="s">
        <v>2861</v>
      </c>
      <c r="I581" s="24" t="s">
        <v>55</v>
      </c>
      <c r="J581" s="1" t="str">
        <f t="shared" si="0"/>
        <v/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6.25" hidden="1" customHeight="1">
      <c r="A582" s="17">
        <f t="shared" si="1"/>
        <v>579</v>
      </c>
      <c r="B582" s="18" t="s">
        <v>175</v>
      </c>
      <c r="C582" s="31" t="s">
        <v>2862</v>
      </c>
      <c r="D582" s="19" t="s">
        <v>2863</v>
      </c>
      <c r="E582" s="20" t="s">
        <v>2864</v>
      </c>
      <c r="F582" s="32" t="s">
        <v>252</v>
      </c>
      <c r="G582" s="33" t="s">
        <v>53</v>
      </c>
      <c r="H582" s="23" t="s">
        <v>2865</v>
      </c>
      <c r="I582" s="24" t="s">
        <v>55</v>
      </c>
      <c r="J582" s="1" t="str">
        <f t="shared" si="0"/>
        <v/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6.25" hidden="1" customHeight="1">
      <c r="A583" s="17">
        <f t="shared" si="1"/>
        <v>580</v>
      </c>
      <c r="B583" s="18" t="s">
        <v>175</v>
      </c>
      <c r="C583" s="31" t="s">
        <v>2866</v>
      </c>
      <c r="D583" s="19" t="s">
        <v>196</v>
      </c>
      <c r="E583" s="20" t="s">
        <v>2867</v>
      </c>
      <c r="F583" s="32" t="s">
        <v>2868</v>
      </c>
      <c r="G583" s="33" t="s">
        <v>42</v>
      </c>
      <c r="H583" s="23" t="s">
        <v>2869</v>
      </c>
      <c r="I583" s="24" t="s">
        <v>55</v>
      </c>
      <c r="J583" s="1" t="str">
        <f t="shared" si="0"/>
        <v/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6.25" hidden="1" customHeight="1">
      <c r="A584" s="17">
        <f t="shared" si="1"/>
        <v>581</v>
      </c>
      <c r="B584" s="18" t="s">
        <v>105</v>
      </c>
      <c r="C584" s="31" t="s">
        <v>2870</v>
      </c>
      <c r="D584" s="19" t="s">
        <v>2501</v>
      </c>
      <c r="E584" s="20" t="s">
        <v>2871</v>
      </c>
      <c r="F584" s="32" t="s">
        <v>738</v>
      </c>
      <c r="G584" s="33" t="s">
        <v>42</v>
      </c>
      <c r="H584" s="23" t="s">
        <v>2872</v>
      </c>
      <c r="I584" s="24" t="s">
        <v>55</v>
      </c>
      <c r="J584" s="1" t="str">
        <f t="shared" si="0"/>
        <v/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6.25" hidden="1" customHeight="1">
      <c r="A585" s="17">
        <f t="shared" si="1"/>
        <v>582</v>
      </c>
      <c r="B585" s="18" t="s">
        <v>37</v>
      </c>
      <c r="C585" s="19" t="s">
        <v>2873</v>
      </c>
      <c r="D585" s="19" t="s">
        <v>173</v>
      </c>
      <c r="E585" s="20" t="s">
        <v>2874</v>
      </c>
      <c r="F585" s="21" t="s">
        <v>135</v>
      </c>
      <c r="G585" s="22" t="s">
        <v>42</v>
      </c>
      <c r="H585" s="23" t="s">
        <v>2875</v>
      </c>
      <c r="I585" s="24" t="s">
        <v>20</v>
      </c>
      <c r="J585" s="1" t="str">
        <f t="shared" si="0"/>
        <v>FRIC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6.25" hidden="1" customHeight="1">
      <c r="A586" s="17">
        <f t="shared" si="1"/>
        <v>583</v>
      </c>
      <c r="B586" s="18" t="s">
        <v>27</v>
      </c>
      <c r="C586" s="19" t="s">
        <v>2876</v>
      </c>
      <c r="D586" s="19" t="s">
        <v>196</v>
      </c>
      <c r="E586" s="20" t="s">
        <v>2877</v>
      </c>
      <c r="F586" s="21" t="s">
        <v>1363</v>
      </c>
      <c r="G586" s="22" t="s">
        <v>42</v>
      </c>
      <c r="H586" s="23" t="s">
        <v>2878</v>
      </c>
      <c r="I586" s="24" t="s">
        <v>20</v>
      </c>
      <c r="J586" s="1" t="str">
        <f t="shared" si="0"/>
        <v>FRIC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6.25" hidden="1" customHeight="1">
      <c r="A587" s="17">
        <f t="shared" si="1"/>
        <v>584</v>
      </c>
      <c r="B587" s="18" t="s">
        <v>27</v>
      </c>
      <c r="C587" s="31" t="s">
        <v>2879</v>
      </c>
      <c r="D587" s="19" t="s">
        <v>808</v>
      </c>
      <c r="E587" s="20" t="s">
        <v>2880</v>
      </c>
      <c r="F587" s="32" t="s">
        <v>209</v>
      </c>
      <c r="G587" s="22" t="s">
        <v>42</v>
      </c>
      <c r="H587" s="23" t="s">
        <v>2881</v>
      </c>
      <c r="I587" s="24" t="s">
        <v>55</v>
      </c>
      <c r="J587" s="1" t="str">
        <f t="shared" si="0"/>
        <v/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6.25" hidden="1" customHeight="1">
      <c r="A588" s="17">
        <f t="shared" si="1"/>
        <v>585</v>
      </c>
      <c r="B588" s="18" t="s">
        <v>27</v>
      </c>
      <c r="C588" s="31" t="s">
        <v>2882</v>
      </c>
      <c r="D588" s="19" t="s">
        <v>2883</v>
      </c>
      <c r="E588" s="20" t="s">
        <v>2884</v>
      </c>
      <c r="F588" s="32" t="s">
        <v>2885</v>
      </c>
      <c r="G588" s="22" t="s">
        <v>42</v>
      </c>
      <c r="H588" s="23" t="s">
        <v>2886</v>
      </c>
      <c r="I588" s="24" t="s">
        <v>55</v>
      </c>
      <c r="J588" s="1" t="str">
        <f t="shared" si="0"/>
        <v/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6.25" hidden="1" customHeight="1">
      <c r="A589" s="17">
        <f t="shared" si="1"/>
        <v>586</v>
      </c>
      <c r="B589" s="18" t="s">
        <v>27</v>
      </c>
      <c r="C589" s="31" t="s">
        <v>2887</v>
      </c>
      <c r="D589" s="19" t="s">
        <v>124</v>
      </c>
      <c r="E589" s="79" t="s">
        <v>2888</v>
      </c>
      <c r="F589" s="32" t="s">
        <v>1033</v>
      </c>
      <c r="G589" s="22" t="s">
        <v>42</v>
      </c>
      <c r="H589" s="23" t="s">
        <v>2889</v>
      </c>
      <c r="I589" s="34" t="s">
        <v>20</v>
      </c>
      <c r="J589" s="1" t="str">
        <f t="shared" si="0"/>
        <v>FRIC</v>
      </c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ht="26.25" hidden="1" customHeight="1">
      <c r="A590" s="17">
        <f t="shared" si="1"/>
        <v>587</v>
      </c>
      <c r="B590" s="18" t="s">
        <v>27</v>
      </c>
      <c r="C590" s="31" t="s">
        <v>1463</v>
      </c>
      <c r="D590" s="19" t="s">
        <v>124</v>
      </c>
      <c r="E590" s="20" t="s">
        <v>1464</v>
      </c>
      <c r="F590" s="21" t="s">
        <v>2890</v>
      </c>
      <c r="G590" s="22" t="s">
        <v>42</v>
      </c>
      <c r="H590" s="23" t="s">
        <v>2891</v>
      </c>
      <c r="I590" s="34" t="s">
        <v>55</v>
      </c>
      <c r="J590" s="1" t="str">
        <f t="shared" si="0"/>
        <v/>
      </c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ht="26.25" hidden="1" customHeight="1">
      <c r="A591" s="17">
        <f t="shared" si="1"/>
        <v>588</v>
      </c>
      <c r="B591" s="18" t="s">
        <v>27</v>
      </c>
      <c r="C591" s="19" t="s">
        <v>2892</v>
      </c>
      <c r="D591" s="19" t="s">
        <v>141</v>
      </c>
      <c r="E591" s="20" t="s">
        <v>2893</v>
      </c>
      <c r="F591" s="21" t="s">
        <v>135</v>
      </c>
      <c r="G591" s="22" t="s">
        <v>42</v>
      </c>
      <c r="H591" s="23" t="s">
        <v>2894</v>
      </c>
      <c r="I591" s="24" t="s">
        <v>20</v>
      </c>
      <c r="J591" s="1" t="str">
        <f t="shared" si="0"/>
        <v>FRIC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6.25" hidden="1" customHeight="1">
      <c r="A592" s="17">
        <f t="shared" si="1"/>
        <v>589</v>
      </c>
      <c r="B592" s="18" t="s">
        <v>132</v>
      </c>
      <c r="C592" s="31" t="s">
        <v>2895</v>
      </c>
      <c r="D592" s="19" t="s">
        <v>647</v>
      </c>
      <c r="E592" s="20" t="s">
        <v>2896</v>
      </c>
      <c r="F592" s="32" t="s">
        <v>2897</v>
      </c>
      <c r="G592" s="22" t="s">
        <v>53</v>
      </c>
      <c r="H592" s="23" t="s">
        <v>2898</v>
      </c>
      <c r="I592" s="24" t="s">
        <v>55</v>
      </c>
      <c r="J592" s="1" t="str">
        <f t="shared" si="0"/>
        <v/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6.25" hidden="1" customHeight="1">
      <c r="A593" s="17">
        <f t="shared" si="1"/>
        <v>590</v>
      </c>
      <c r="B593" s="18" t="s">
        <v>248</v>
      </c>
      <c r="C593" s="31" t="s">
        <v>1210</v>
      </c>
      <c r="D593" s="19" t="s">
        <v>2899</v>
      </c>
      <c r="E593" s="20" t="s">
        <v>1211</v>
      </c>
      <c r="F593" s="32" t="s">
        <v>170</v>
      </c>
      <c r="G593" s="33" t="s">
        <v>42</v>
      </c>
      <c r="H593" s="23" t="s">
        <v>2900</v>
      </c>
      <c r="I593" s="24" t="s">
        <v>55</v>
      </c>
      <c r="J593" s="1" t="str">
        <f t="shared" si="0"/>
        <v/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6.25" hidden="1" customHeight="1">
      <c r="A594" s="17">
        <f t="shared" si="1"/>
        <v>591</v>
      </c>
      <c r="B594" s="18" t="s">
        <v>37</v>
      </c>
      <c r="C594" s="31" t="s">
        <v>1530</v>
      </c>
      <c r="D594" s="19" t="s">
        <v>2901</v>
      </c>
      <c r="E594" s="20" t="s">
        <v>1532</v>
      </c>
      <c r="F594" s="32" t="s">
        <v>2902</v>
      </c>
      <c r="G594" s="22" t="s">
        <v>53</v>
      </c>
      <c r="H594" s="23" t="s">
        <v>2903</v>
      </c>
      <c r="I594" s="34" t="s">
        <v>55</v>
      </c>
      <c r="J594" s="1" t="str">
        <f t="shared" si="0"/>
        <v/>
      </c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ht="26.25" hidden="1" customHeight="1">
      <c r="A595" s="17">
        <f t="shared" si="1"/>
        <v>592</v>
      </c>
      <c r="B595" s="18" t="s">
        <v>13</v>
      </c>
      <c r="C595" s="70" t="s">
        <v>1217</v>
      </c>
      <c r="D595" s="39" t="s">
        <v>939</v>
      </c>
      <c r="E595" s="20" t="s">
        <v>1218</v>
      </c>
      <c r="F595" s="44">
        <v>2019</v>
      </c>
      <c r="G595" s="22" t="s">
        <v>1086</v>
      </c>
      <c r="H595" s="41" t="s">
        <v>2904</v>
      </c>
      <c r="I595" s="24" t="s">
        <v>55</v>
      </c>
      <c r="J595" s="1" t="str">
        <f t="shared" si="0"/>
        <v/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6.25" hidden="1" customHeight="1">
      <c r="A596" s="17">
        <f t="shared" si="1"/>
        <v>593</v>
      </c>
      <c r="B596" s="18" t="s">
        <v>248</v>
      </c>
      <c r="C596" s="31" t="s">
        <v>2905</v>
      </c>
      <c r="D596" s="19" t="s">
        <v>45</v>
      </c>
      <c r="E596" s="20" t="s">
        <v>145</v>
      </c>
      <c r="F596" s="32" t="s">
        <v>142</v>
      </c>
      <c r="G596" s="33" t="s">
        <v>42</v>
      </c>
      <c r="H596" s="23" t="s">
        <v>2906</v>
      </c>
      <c r="I596" s="24" t="s">
        <v>55</v>
      </c>
      <c r="J596" s="1" t="str">
        <f t="shared" si="0"/>
        <v/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6.25" hidden="1" customHeight="1">
      <c r="A597" s="17">
        <f t="shared" si="1"/>
        <v>594</v>
      </c>
      <c r="B597" s="18" t="s">
        <v>13</v>
      </c>
      <c r="C597" s="31" t="s">
        <v>609</v>
      </c>
      <c r="D597" s="19" t="s">
        <v>199</v>
      </c>
      <c r="E597" s="20" t="s">
        <v>610</v>
      </c>
      <c r="F597" s="32" t="s">
        <v>496</v>
      </c>
      <c r="G597" s="22" t="s">
        <v>42</v>
      </c>
      <c r="H597" s="23" t="s">
        <v>2907</v>
      </c>
      <c r="I597" s="24" t="s">
        <v>55</v>
      </c>
      <c r="J597" s="1" t="str">
        <f t="shared" si="0"/>
        <v/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6.25" hidden="1" customHeight="1">
      <c r="A598" s="17">
        <f t="shared" si="1"/>
        <v>595</v>
      </c>
      <c r="B598" s="18" t="s">
        <v>13</v>
      </c>
      <c r="C598" s="19" t="s">
        <v>1638</v>
      </c>
      <c r="D598" s="19" t="s">
        <v>199</v>
      </c>
      <c r="E598" s="20" t="s">
        <v>1639</v>
      </c>
      <c r="F598" s="32" t="s">
        <v>52</v>
      </c>
      <c r="G598" s="22" t="s">
        <v>42</v>
      </c>
      <c r="H598" s="23" t="s">
        <v>2908</v>
      </c>
      <c r="I598" s="34" t="s">
        <v>55</v>
      </c>
      <c r="J598" s="1" t="str">
        <f t="shared" si="0"/>
        <v/>
      </c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ht="26.25" hidden="1" customHeight="1">
      <c r="A599" s="17">
        <f t="shared" si="1"/>
        <v>596</v>
      </c>
      <c r="B599" s="18" t="s">
        <v>13</v>
      </c>
      <c r="C599" s="19" t="s">
        <v>1655</v>
      </c>
      <c r="D599" s="19" t="s">
        <v>199</v>
      </c>
      <c r="E599" s="20" t="s">
        <v>1656</v>
      </c>
      <c r="F599" s="32" t="s">
        <v>52</v>
      </c>
      <c r="G599" s="22" t="s">
        <v>42</v>
      </c>
      <c r="H599" s="23" t="s">
        <v>2909</v>
      </c>
      <c r="I599" s="34" t="s">
        <v>55</v>
      </c>
      <c r="J599" s="1" t="str">
        <f t="shared" si="0"/>
        <v/>
      </c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ht="26.25" hidden="1" customHeight="1">
      <c r="A600" s="17">
        <f t="shared" si="1"/>
        <v>597</v>
      </c>
      <c r="B600" s="18" t="s">
        <v>13</v>
      </c>
      <c r="C600" s="19" t="s">
        <v>2910</v>
      </c>
      <c r="D600" s="19" t="s">
        <v>199</v>
      </c>
      <c r="E600" s="20" t="s">
        <v>1634</v>
      </c>
      <c r="F600" s="32" t="s">
        <v>52</v>
      </c>
      <c r="G600" s="22" t="s">
        <v>31</v>
      </c>
      <c r="H600" s="23" t="s">
        <v>2911</v>
      </c>
      <c r="I600" s="34" t="s">
        <v>55</v>
      </c>
      <c r="J600" s="1" t="str">
        <f t="shared" si="0"/>
        <v/>
      </c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ht="26.25" hidden="1" customHeight="1">
      <c r="A601" s="17">
        <f t="shared" si="1"/>
        <v>598</v>
      </c>
      <c r="B601" s="18" t="s">
        <v>13</v>
      </c>
      <c r="C601" s="19" t="s">
        <v>2912</v>
      </c>
      <c r="D601" s="19" t="s">
        <v>199</v>
      </c>
      <c r="E601" s="20" t="s">
        <v>1645</v>
      </c>
      <c r="F601" s="32" t="s">
        <v>52</v>
      </c>
      <c r="G601" s="22" t="s">
        <v>42</v>
      </c>
      <c r="H601" s="23" t="s">
        <v>2913</v>
      </c>
      <c r="I601" s="34" t="s">
        <v>55</v>
      </c>
      <c r="J601" s="1" t="str">
        <f t="shared" si="0"/>
        <v/>
      </c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ht="26.25" hidden="1" customHeight="1">
      <c r="A602" s="17">
        <f t="shared" si="1"/>
        <v>599</v>
      </c>
      <c r="B602" s="18" t="s">
        <v>13</v>
      </c>
      <c r="C602" s="19" t="s">
        <v>2914</v>
      </c>
      <c r="D602" s="19" t="s">
        <v>199</v>
      </c>
      <c r="E602" s="20" t="s">
        <v>1651</v>
      </c>
      <c r="F602" s="32" t="s">
        <v>52</v>
      </c>
      <c r="G602" s="22" t="s">
        <v>42</v>
      </c>
      <c r="H602" s="23" t="s">
        <v>2915</v>
      </c>
      <c r="I602" s="34" t="s">
        <v>55</v>
      </c>
      <c r="J602" s="1" t="str">
        <f t="shared" si="0"/>
        <v/>
      </c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ht="26.25" hidden="1" customHeight="1">
      <c r="A603" s="17">
        <f t="shared" si="1"/>
        <v>600</v>
      </c>
      <c r="B603" s="18" t="s">
        <v>132</v>
      </c>
      <c r="C603" s="31" t="s">
        <v>2916</v>
      </c>
      <c r="D603" s="19" t="s">
        <v>141</v>
      </c>
      <c r="E603" s="20" t="s">
        <v>2917</v>
      </c>
      <c r="F603" s="32" t="s">
        <v>2918</v>
      </c>
      <c r="G603" s="22" t="s">
        <v>42</v>
      </c>
      <c r="H603" s="23" t="s">
        <v>2919</v>
      </c>
      <c r="I603" s="24" t="s">
        <v>55</v>
      </c>
      <c r="J603" s="1" t="str">
        <f t="shared" si="0"/>
        <v/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6.25" hidden="1" customHeight="1">
      <c r="A604" s="17">
        <f t="shared" si="1"/>
        <v>601</v>
      </c>
      <c r="B604" s="18" t="s">
        <v>132</v>
      </c>
      <c r="C604" s="19" t="s">
        <v>2920</v>
      </c>
      <c r="D604" s="19" t="s">
        <v>141</v>
      </c>
      <c r="E604" s="20" t="s">
        <v>2921</v>
      </c>
      <c r="F604" s="21" t="s">
        <v>2922</v>
      </c>
      <c r="G604" s="22" t="s">
        <v>42</v>
      </c>
      <c r="H604" s="23" t="s">
        <v>2923</v>
      </c>
      <c r="I604" s="24" t="s">
        <v>20</v>
      </c>
      <c r="J604" s="1" t="str">
        <f t="shared" si="0"/>
        <v>FRIC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6.25" hidden="1" customHeight="1">
      <c r="A605" s="17">
        <f t="shared" si="1"/>
        <v>602</v>
      </c>
      <c r="B605" s="18" t="s">
        <v>132</v>
      </c>
      <c r="C605" s="19" t="s">
        <v>2924</v>
      </c>
      <c r="D605" s="19" t="s">
        <v>141</v>
      </c>
      <c r="E605" s="20" t="s">
        <v>2925</v>
      </c>
      <c r="F605" s="21" t="s">
        <v>2926</v>
      </c>
      <c r="G605" s="22" t="s">
        <v>42</v>
      </c>
      <c r="H605" s="23" t="s">
        <v>2927</v>
      </c>
      <c r="I605" s="24" t="s">
        <v>20</v>
      </c>
      <c r="J605" s="1" t="str">
        <f t="shared" si="0"/>
        <v>FRIC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6.25" hidden="1" customHeight="1">
      <c r="A606" s="17">
        <f t="shared" si="1"/>
        <v>603</v>
      </c>
      <c r="B606" s="18" t="s">
        <v>132</v>
      </c>
      <c r="C606" s="19" t="s">
        <v>2928</v>
      </c>
      <c r="D606" s="19" t="s">
        <v>141</v>
      </c>
      <c r="E606" s="20" t="s">
        <v>2929</v>
      </c>
      <c r="F606" s="21" t="s">
        <v>2930</v>
      </c>
      <c r="G606" s="22" t="s">
        <v>42</v>
      </c>
      <c r="H606" s="23" t="s">
        <v>2931</v>
      </c>
      <c r="I606" s="24" t="s">
        <v>20</v>
      </c>
      <c r="J606" s="1" t="str">
        <f t="shared" si="0"/>
        <v>FRIC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6.25" hidden="1" customHeight="1">
      <c r="A607" s="17">
        <f t="shared" si="1"/>
        <v>604</v>
      </c>
      <c r="B607" s="18" t="s">
        <v>132</v>
      </c>
      <c r="C607" s="31" t="s">
        <v>2932</v>
      </c>
      <c r="D607" s="19" t="s">
        <v>141</v>
      </c>
      <c r="E607" s="20" t="s">
        <v>2933</v>
      </c>
      <c r="F607" s="32" t="s">
        <v>2934</v>
      </c>
      <c r="G607" s="22" t="s">
        <v>42</v>
      </c>
      <c r="H607" s="23" t="s">
        <v>2935</v>
      </c>
      <c r="I607" s="24" t="s">
        <v>55</v>
      </c>
      <c r="J607" s="1" t="str">
        <f t="shared" si="0"/>
        <v/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6.25" hidden="1" customHeight="1">
      <c r="A608" s="17">
        <f t="shared" si="1"/>
        <v>605</v>
      </c>
      <c r="B608" s="18" t="s">
        <v>132</v>
      </c>
      <c r="C608" s="19" t="s">
        <v>2936</v>
      </c>
      <c r="D608" s="19" t="s">
        <v>141</v>
      </c>
      <c r="E608" s="20" t="s">
        <v>2937</v>
      </c>
      <c r="F608" s="21" t="s">
        <v>2938</v>
      </c>
      <c r="G608" s="22" t="s">
        <v>42</v>
      </c>
      <c r="H608" s="23" t="s">
        <v>2939</v>
      </c>
      <c r="I608" s="24" t="s">
        <v>20</v>
      </c>
      <c r="J608" s="1" t="str">
        <f t="shared" si="0"/>
        <v>FRIC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6.25" hidden="1" customHeight="1">
      <c r="A609" s="17">
        <f t="shared" si="1"/>
        <v>606</v>
      </c>
      <c r="B609" s="18" t="s">
        <v>233</v>
      </c>
      <c r="C609" s="19" t="s">
        <v>2940</v>
      </c>
      <c r="D609" s="19" t="s">
        <v>141</v>
      </c>
      <c r="E609" s="20" t="s">
        <v>2941</v>
      </c>
      <c r="F609" s="21" t="s">
        <v>2922</v>
      </c>
      <c r="G609" s="22" t="s">
        <v>42</v>
      </c>
      <c r="H609" s="23" t="s">
        <v>2942</v>
      </c>
      <c r="I609" s="24" t="s">
        <v>20</v>
      </c>
      <c r="J609" s="1" t="str">
        <f t="shared" si="0"/>
        <v>FRIC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6.25" hidden="1" customHeight="1">
      <c r="A610" s="17">
        <f t="shared" si="1"/>
        <v>607</v>
      </c>
      <c r="B610" s="18" t="s">
        <v>132</v>
      </c>
      <c r="C610" s="19" t="s">
        <v>2943</v>
      </c>
      <c r="D610" s="19" t="s">
        <v>141</v>
      </c>
      <c r="E610" s="20" t="s">
        <v>2944</v>
      </c>
      <c r="F610" s="21" t="s">
        <v>2922</v>
      </c>
      <c r="G610" s="22" t="s">
        <v>42</v>
      </c>
      <c r="H610" s="23" t="s">
        <v>2945</v>
      </c>
      <c r="I610" s="24" t="s">
        <v>20</v>
      </c>
      <c r="J610" s="1" t="str">
        <f t="shared" si="0"/>
        <v>FRIC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6.25" hidden="1" customHeight="1">
      <c r="A611" s="17">
        <f t="shared" si="1"/>
        <v>608</v>
      </c>
      <c r="B611" s="18" t="s">
        <v>132</v>
      </c>
      <c r="C611" s="19" t="s">
        <v>2946</v>
      </c>
      <c r="D611" s="19" t="s">
        <v>141</v>
      </c>
      <c r="E611" s="20" t="s">
        <v>2947</v>
      </c>
      <c r="F611" s="21" t="s">
        <v>2922</v>
      </c>
      <c r="G611" s="22" t="s">
        <v>42</v>
      </c>
      <c r="H611" s="23" t="s">
        <v>2948</v>
      </c>
      <c r="I611" s="24" t="s">
        <v>20</v>
      </c>
      <c r="J611" s="1" t="str">
        <f t="shared" si="0"/>
        <v>FRIC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6.25" hidden="1" customHeight="1">
      <c r="A612" s="17">
        <f t="shared" si="1"/>
        <v>609</v>
      </c>
      <c r="B612" s="18" t="s">
        <v>132</v>
      </c>
      <c r="C612" s="31" t="s">
        <v>2949</v>
      </c>
      <c r="D612" s="19" t="s">
        <v>141</v>
      </c>
      <c r="E612" s="20" t="s">
        <v>2950</v>
      </c>
      <c r="F612" s="32" t="s">
        <v>2951</v>
      </c>
      <c r="G612" s="22" t="s">
        <v>42</v>
      </c>
      <c r="H612" s="23" t="s">
        <v>2952</v>
      </c>
      <c r="I612" s="24" t="s">
        <v>55</v>
      </c>
      <c r="J612" s="1" t="str">
        <f t="shared" si="0"/>
        <v/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6.25" hidden="1" customHeight="1">
      <c r="A613" s="17">
        <f t="shared" si="1"/>
        <v>610</v>
      </c>
      <c r="B613" s="18" t="s">
        <v>132</v>
      </c>
      <c r="C613" s="19" t="s">
        <v>2953</v>
      </c>
      <c r="D613" s="19" t="s">
        <v>141</v>
      </c>
      <c r="E613" s="20" t="s">
        <v>2954</v>
      </c>
      <c r="F613" s="21" t="s">
        <v>2955</v>
      </c>
      <c r="G613" s="22" t="s">
        <v>42</v>
      </c>
      <c r="H613" s="23" t="s">
        <v>2956</v>
      </c>
      <c r="I613" s="24" t="s">
        <v>20</v>
      </c>
      <c r="J613" s="1" t="str">
        <f t="shared" si="0"/>
        <v>FRIC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6.25" hidden="1" customHeight="1">
      <c r="A614" s="17">
        <f t="shared" si="1"/>
        <v>611</v>
      </c>
      <c r="B614" s="18" t="s">
        <v>132</v>
      </c>
      <c r="C614" s="31" t="s">
        <v>2957</v>
      </c>
      <c r="D614" s="19" t="s">
        <v>141</v>
      </c>
      <c r="E614" s="20" t="s">
        <v>2958</v>
      </c>
      <c r="F614" s="32" t="s">
        <v>2959</v>
      </c>
      <c r="G614" s="22" t="s">
        <v>42</v>
      </c>
      <c r="H614" s="23" t="s">
        <v>2960</v>
      </c>
      <c r="I614" s="24" t="s">
        <v>55</v>
      </c>
      <c r="J614" s="1" t="str">
        <f t="shared" si="0"/>
        <v/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6.25" hidden="1" customHeight="1">
      <c r="A615" s="17">
        <f t="shared" si="1"/>
        <v>612</v>
      </c>
      <c r="B615" s="18" t="s">
        <v>1375</v>
      </c>
      <c r="C615" s="19" t="s">
        <v>2961</v>
      </c>
      <c r="D615" s="19" t="s">
        <v>141</v>
      </c>
      <c r="E615" s="20" t="s">
        <v>2962</v>
      </c>
      <c r="F615" s="21" t="s">
        <v>2963</v>
      </c>
      <c r="G615" s="22" t="s">
        <v>42</v>
      </c>
      <c r="H615" s="23" t="s">
        <v>2964</v>
      </c>
      <c r="I615" s="24" t="s">
        <v>20</v>
      </c>
      <c r="J615" s="1" t="str">
        <f t="shared" si="0"/>
        <v>FRIC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6.25" hidden="1" customHeight="1">
      <c r="A616" s="17">
        <f t="shared" si="1"/>
        <v>613</v>
      </c>
      <c r="B616" s="18" t="s">
        <v>248</v>
      </c>
      <c r="C616" s="19" t="s">
        <v>2965</v>
      </c>
      <c r="D616" s="19" t="s">
        <v>141</v>
      </c>
      <c r="E616" s="20" t="s">
        <v>2966</v>
      </c>
      <c r="F616" s="21" t="s">
        <v>293</v>
      </c>
      <c r="G616" s="33" t="s">
        <v>42</v>
      </c>
      <c r="H616" s="23" t="s">
        <v>2967</v>
      </c>
      <c r="I616" s="24" t="s">
        <v>20</v>
      </c>
      <c r="J616" s="1" t="str">
        <f t="shared" si="0"/>
        <v>FRIC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6.25" hidden="1" customHeight="1">
      <c r="A617" s="17">
        <f t="shared" si="1"/>
        <v>614</v>
      </c>
      <c r="B617" s="18" t="s">
        <v>1375</v>
      </c>
      <c r="C617" s="31" t="s">
        <v>2968</v>
      </c>
      <c r="D617" s="19" t="s">
        <v>2969</v>
      </c>
      <c r="E617" s="20" t="s">
        <v>2970</v>
      </c>
      <c r="F617" s="32" t="s">
        <v>1913</v>
      </c>
      <c r="G617" s="22" t="s">
        <v>53</v>
      </c>
      <c r="H617" s="23" t="s">
        <v>2971</v>
      </c>
      <c r="I617" s="24" t="s">
        <v>55</v>
      </c>
      <c r="J617" s="1" t="str">
        <f t="shared" si="0"/>
        <v/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6.25" hidden="1" customHeight="1">
      <c r="A618" s="17">
        <f t="shared" si="1"/>
        <v>615</v>
      </c>
      <c r="B618" s="18" t="s">
        <v>1375</v>
      </c>
      <c r="C618" s="31" t="s">
        <v>2972</v>
      </c>
      <c r="D618" s="19" t="s">
        <v>2969</v>
      </c>
      <c r="E618" s="20" t="s">
        <v>2973</v>
      </c>
      <c r="F618" s="32" t="s">
        <v>2974</v>
      </c>
      <c r="G618" s="22" t="s">
        <v>53</v>
      </c>
      <c r="H618" s="23" t="s">
        <v>2975</v>
      </c>
      <c r="I618" s="24" t="s">
        <v>55</v>
      </c>
      <c r="J618" s="1" t="str">
        <f t="shared" si="0"/>
        <v/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6.25" hidden="1" customHeight="1">
      <c r="A619" s="17">
        <f t="shared" si="1"/>
        <v>616</v>
      </c>
      <c r="B619" s="18" t="s">
        <v>105</v>
      </c>
      <c r="C619" s="31" t="s">
        <v>2976</v>
      </c>
      <c r="D619" s="19" t="s">
        <v>2977</v>
      </c>
      <c r="E619" s="20" t="s">
        <v>2978</v>
      </c>
      <c r="F619" s="32" t="s">
        <v>2979</v>
      </c>
      <c r="G619" s="33" t="s">
        <v>42</v>
      </c>
      <c r="H619" s="23" t="s">
        <v>2980</v>
      </c>
      <c r="I619" s="24" t="s">
        <v>55</v>
      </c>
      <c r="J619" s="1" t="str">
        <f t="shared" si="0"/>
        <v/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6.25" hidden="1" customHeight="1">
      <c r="A620" s="17">
        <f t="shared" si="1"/>
        <v>617</v>
      </c>
      <c r="B620" s="18" t="s">
        <v>81</v>
      </c>
      <c r="C620" s="19" t="s">
        <v>2981</v>
      </c>
      <c r="D620" s="19" t="s">
        <v>124</v>
      </c>
      <c r="E620" s="20" t="s">
        <v>2982</v>
      </c>
      <c r="F620" s="21" t="s">
        <v>135</v>
      </c>
      <c r="G620" s="33" t="s">
        <v>42</v>
      </c>
      <c r="H620" s="23" t="s">
        <v>2983</v>
      </c>
      <c r="I620" s="24" t="s">
        <v>20</v>
      </c>
      <c r="J620" s="1" t="str">
        <f t="shared" si="0"/>
        <v>FRIC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6.25" hidden="1" customHeight="1">
      <c r="A621" s="17">
        <f t="shared" si="1"/>
        <v>618</v>
      </c>
      <c r="B621" s="18" t="s">
        <v>27</v>
      </c>
      <c r="C621" s="31" t="s">
        <v>2984</v>
      </c>
      <c r="D621" s="19" t="s">
        <v>196</v>
      </c>
      <c r="E621" s="20" t="s">
        <v>151</v>
      </c>
      <c r="F621" s="32" t="s">
        <v>2985</v>
      </c>
      <c r="G621" s="22" t="s">
        <v>53</v>
      </c>
      <c r="H621" s="23" t="s">
        <v>2986</v>
      </c>
      <c r="I621" s="24" t="s">
        <v>55</v>
      </c>
      <c r="J621" s="1" t="str">
        <f t="shared" si="0"/>
        <v/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6.25" hidden="1" customHeight="1">
      <c r="A622" s="17">
        <f t="shared" si="1"/>
        <v>619</v>
      </c>
      <c r="B622" s="18" t="s">
        <v>81</v>
      </c>
      <c r="C622" s="19" t="s">
        <v>2987</v>
      </c>
      <c r="D622" s="19" t="s">
        <v>1789</v>
      </c>
      <c r="E622" s="20" t="s">
        <v>2988</v>
      </c>
      <c r="F622" s="21" t="s">
        <v>135</v>
      </c>
      <c r="G622" s="33" t="s">
        <v>31</v>
      </c>
      <c r="H622" s="23" t="s">
        <v>2989</v>
      </c>
      <c r="I622" s="24" t="s">
        <v>20</v>
      </c>
      <c r="J622" s="1" t="str">
        <f t="shared" si="0"/>
        <v>FRIC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6.25" hidden="1" customHeight="1">
      <c r="A623" s="17">
        <f t="shared" si="1"/>
        <v>620</v>
      </c>
      <c r="B623" s="18" t="s">
        <v>37</v>
      </c>
      <c r="C623" s="19" t="s">
        <v>1704</v>
      </c>
      <c r="D623" s="19" t="s">
        <v>141</v>
      </c>
      <c r="E623" s="20" t="s">
        <v>1706</v>
      </c>
      <c r="F623" s="32" t="s">
        <v>186</v>
      </c>
      <c r="G623" s="22" t="s">
        <v>42</v>
      </c>
      <c r="H623" s="23" t="s">
        <v>2990</v>
      </c>
      <c r="I623" s="34" t="s">
        <v>55</v>
      </c>
      <c r="J623" s="1" t="str">
        <f t="shared" si="0"/>
        <v/>
      </c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ht="26.25" hidden="1" customHeight="1">
      <c r="A624" s="17">
        <f t="shared" si="1"/>
        <v>621</v>
      </c>
      <c r="B624" s="18" t="s">
        <v>105</v>
      </c>
      <c r="C624" s="31" t="s">
        <v>2991</v>
      </c>
      <c r="D624" s="19" t="s">
        <v>460</v>
      </c>
      <c r="E624" s="20" t="s">
        <v>2992</v>
      </c>
      <c r="F624" s="32" t="s">
        <v>2993</v>
      </c>
      <c r="G624" s="33" t="s">
        <v>53</v>
      </c>
      <c r="H624" s="23" t="s">
        <v>2994</v>
      </c>
      <c r="I624" s="24" t="s">
        <v>55</v>
      </c>
      <c r="J624" s="1" t="str">
        <f t="shared" si="0"/>
        <v/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6.25" hidden="1" customHeight="1">
      <c r="A625" s="17">
        <f t="shared" si="1"/>
        <v>622</v>
      </c>
      <c r="B625" s="18" t="s">
        <v>13</v>
      </c>
      <c r="C625" s="31" t="s">
        <v>2995</v>
      </c>
      <c r="D625" s="19" t="s">
        <v>2996</v>
      </c>
      <c r="E625" s="20" t="s">
        <v>2997</v>
      </c>
      <c r="F625" s="32" t="s">
        <v>2998</v>
      </c>
      <c r="G625" s="22" t="s">
        <v>53</v>
      </c>
      <c r="H625" s="23" t="s">
        <v>2999</v>
      </c>
      <c r="I625" s="24" t="s">
        <v>55</v>
      </c>
      <c r="J625" s="1" t="str">
        <f t="shared" si="0"/>
        <v/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6.25" hidden="1" customHeight="1">
      <c r="A626" s="17">
        <f t="shared" si="1"/>
        <v>623</v>
      </c>
      <c r="B626" s="18" t="s">
        <v>105</v>
      </c>
      <c r="C626" s="31" t="s">
        <v>3000</v>
      </c>
      <c r="D626" s="19" t="s">
        <v>3001</v>
      </c>
      <c r="E626" s="20" t="s">
        <v>3002</v>
      </c>
      <c r="F626" s="32" t="s">
        <v>404</v>
      </c>
      <c r="G626" s="33" t="s">
        <v>42</v>
      </c>
      <c r="H626" s="23" t="s">
        <v>3003</v>
      </c>
      <c r="I626" s="24" t="s">
        <v>55</v>
      </c>
      <c r="J626" s="1" t="str">
        <f t="shared" si="0"/>
        <v/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6.25" hidden="1" customHeight="1">
      <c r="A627" s="17">
        <f t="shared" si="1"/>
        <v>624</v>
      </c>
      <c r="B627" s="18" t="s">
        <v>27</v>
      </c>
      <c r="C627" s="31" t="s">
        <v>3004</v>
      </c>
      <c r="D627" s="19" t="s">
        <v>3005</v>
      </c>
      <c r="E627" s="20" t="s">
        <v>3006</v>
      </c>
      <c r="F627" s="32" t="s">
        <v>3007</v>
      </c>
      <c r="G627" s="22" t="s">
        <v>42</v>
      </c>
      <c r="H627" s="23" t="s">
        <v>3008</v>
      </c>
      <c r="I627" s="24" t="s">
        <v>55</v>
      </c>
      <c r="J627" s="1" t="str">
        <f t="shared" si="0"/>
        <v/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6.25" hidden="1" customHeight="1">
      <c r="A628" s="17">
        <f t="shared" si="1"/>
        <v>625</v>
      </c>
      <c r="B628" s="18" t="s">
        <v>105</v>
      </c>
      <c r="C628" s="31" t="s">
        <v>1222</v>
      </c>
      <c r="D628" s="19" t="s">
        <v>3009</v>
      </c>
      <c r="E628" s="20" t="s">
        <v>1223</v>
      </c>
      <c r="F628" s="32" t="s">
        <v>3010</v>
      </c>
      <c r="G628" s="33" t="s">
        <v>42</v>
      </c>
      <c r="H628" s="23" t="s">
        <v>3011</v>
      </c>
      <c r="I628" s="24" t="s">
        <v>55</v>
      </c>
      <c r="J628" s="1" t="str">
        <f t="shared" si="0"/>
        <v/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6.25" hidden="1" customHeight="1">
      <c r="A629" s="17">
        <f t="shared" si="1"/>
        <v>626</v>
      </c>
      <c r="B629" s="18" t="s">
        <v>13</v>
      </c>
      <c r="C629" s="19" t="s">
        <v>3012</v>
      </c>
      <c r="D629" s="19" t="s">
        <v>2445</v>
      </c>
      <c r="E629" s="20" t="s">
        <v>3013</v>
      </c>
      <c r="F629" s="21" t="s">
        <v>135</v>
      </c>
      <c r="G629" s="22" t="s">
        <v>42</v>
      </c>
      <c r="H629" s="23" t="s">
        <v>3014</v>
      </c>
      <c r="I629" s="24" t="s">
        <v>20</v>
      </c>
      <c r="J629" s="1" t="str">
        <f t="shared" si="0"/>
        <v>FRIC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6.25" hidden="1" customHeight="1">
      <c r="A630" s="17">
        <f t="shared" si="1"/>
        <v>627</v>
      </c>
      <c r="B630" s="18" t="s">
        <v>132</v>
      </c>
      <c r="C630" s="31" t="s">
        <v>1534</v>
      </c>
      <c r="D630" s="19" t="s">
        <v>3015</v>
      </c>
      <c r="E630" s="20" t="s">
        <v>1536</v>
      </c>
      <c r="F630" s="32" t="s">
        <v>52</v>
      </c>
      <c r="G630" s="22" t="s">
        <v>53</v>
      </c>
      <c r="H630" s="23" t="s">
        <v>3016</v>
      </c>
      <c r="I630" s="34" t="s">
        <v>55</v>
      </c>
      <c r="J630" s="1" t="str">
        <f t="shared" si="0"/>
        <v/>
      </c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ht="26.25" hidden="1" customHeight="1">
      <c r="A631" s="17">
        <f t="shared" si="1"/>
        <v>628</v>
      </c>
      <c r="B631" s="18" t="s">
        <v>27</v>
      </c>
      <c r="C631" s="31" t="s">
        <v>3017</v>
      </c>
      <c r="D631" s="19" t="s">
        <v>268</v>
      </c>
      <c r="E631" s="20" t="s">
        <v>269</v>
      </c>
      <c r="F631" s="32" t="s">
        <v>142</v>
      </c>
      <c r="G631" s="22" t="s">
        <v>53</v>
      </c>
      <c r="H631" s="23" t="s">
        <v>3018</v>
      </c>
      <c r="I631" s="24" t="s">
        <v>55</v>
      </c>
      <c r="J631" s="1" t="str">
        <f t="shared" si="0"/>
        <v/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6.25" hidden="1" customHeight="1">
      <c r="A632" s="17">
        <f t="shared" si="1"/>
        <v>629</v>
      </c>
      <c r="B632" s="18" t="s">
        <v>132</v>
      </c>
      <c r="C632" s="31" t="s">
        <v>3019</v>
      </c>
      <c r="D632" s="19" t="s">
        <v>271</v>
      </c>
      <c r="E632" s="20" t="s">
        <v>3020</v>
      </c>
      <c r="F632" s="32" t="s">
        <v>222</v>
      </c>
      <c r="G632" s="22" t="s">
        <v>42</v>
      </c>
      <c r="H632" s="23" t="s">
        <v>3021</v>
      </c>
      <c r="I632" s="24" t="s">
        <v>55</v>
      </c>
      <c r="J632" s="1" t="str">
        <f t="shared" si="0"/>
        <v/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6.25" hidden="1" customHeight="1">
      <c r="A633" s="17">
        <f t="shared" si="1"/>
        <v>630</v>
      </c>
      <c r="B633" s="18" t="s">
        <v>48</v>
      </c>
      <c r="C633" s="19" t="s">
        <v>3022</v>
      </c>
      <c r="D633" s="19" t="s">
        <v>3023</v>
      </c>
      <c r="E633" s="20" t="s">
        <v>3024</v>
      </c>
      <c r="F633" s="21" t="s">
        <v>293</v>
      </c>
      <c r="G633" s="33" t="s">
        <v>42</v>
      </c>
      <c r="H633" s="23" t="s">
        <v>3025</v>
      </c>
      <c r="I633" s="24" t="s">
        <v>20</v>
      </c>
      <c r="J633" s="1" t="str">
        <f t="shared" si="0"/>
        <v>FRIC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6.25" hidden="1" customHeight="1">
      <c r="A634" s="17">
        <f t="shared" si="1"/>
        <v>631</v>
      </c>
      <c r="B634" s="18" t="s">
        <v>1368</v>
      </c>
      <c r="C634" s="19" t="s">
        <v>3026</v>
      </c>
      <c r="D634" s="19" t="s">
        <v>3027</v>
      </c>
      <c r="E634" s="20" t="s">
        <v>3028</v>
      </c>
      <c r="F634" s="21" t="s">
        <v>135</v>
      </c>
      <c r="G634" s="33" t="s">
        <v>53</v>
      </c>
      <c r="H634" s="23" t="s">
        <v>3029</v>
      </c>
      <c r="I634" s="24" t="s">
        <v>20</v>
      </c>
      <c r="J634" s="1" t="str">
        <f t="shared" si="0"/>
        <v>FRIC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6.25" hidden="1" customHeight="1">
      <c r="A635" s="17">
        <f t="shared" si="1"/>
        <v>632</v>
      </c>
      <c r="B635" s="18" t="s">
        <v>132</v>
      </c>
      <c r="C635" s="19" t="s">
        <v>3030</v>
      </c>
      <c r="D635" s="19" t="s">
        <v>124</v>
      </c>
      <c r="E635" s="20" t="s">
        <v>3031</v>
      </c>
      <c r="F635" s="21" t="s">
        <v>135</v>
      </c>
      <c r="G635" s="22" t="s">
        <v>42</v>
      </c>
      <c r="H635" s="23" t="s">
        <v>3032</v>
      </c>
      <c r="I635" s="24" t="s">
        <v>20</v>
      </c>
      <c r="J635" s="1" t="str">
        <f t="shared" si="0"/>
        <v>FRIC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6.25" hidden="1" customHeight="1">
      <c r="A636" s="17">
        <f t="shared" si="1"/>
        <v>633</v>
      </c>
      <c r="B636" s="18" t="s">
        <v>105</v>
      </c>
      <c r="C636" s="31" t="s">
        <v>3033</v>
      </c>
      <c r="D636" s="19" t="s">
        <v>3034</v>
      </c>
      <c r="E636" s="20" t="s">
        <v>1613</v>
      </c>
      <c r="F636" s="21" t="s">
        <v>3035</v>
      </c>
      <c r="G636" s="33" t="s">
        <v>53</v>
      </c>
      <c r="H636" s="23" t="s">
        <v>3036</v>
      </c>
      <c r="I636" s="34" t="s">
        <v>55</v>
      </c>
      <c r="J636" s="1" t="str">
        <f t="shared" si="0"/>
        <v/>
      </c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ht="26.25" hidden="1" customHeight="1">
      <c r="A637" s="17">
        <f t="shared" si="1"/>
        <v>634</v>
      </c>
      <c r="B637" s="18" t="s">
        <v>105</v>
      </c>
      <c r="C637" s="31" t="s">
        <v>3037</v>
      </c>
      <c r="D637" s="19" t="s">
        <v>3034</v>
      </c>
      <c r="E637" s="20" t="s">
        <v>3038</v>
      </c>
      <c r="F637" s="32" t="s">
        <v>3039</v>
      </c>
      <c r="G637" s="33" t="s">
        <v>42</v>
      </c>
      <c r="H637" s="23" t="s">
        <v>3040</v>
      </c>
      <c r="I637" s="24" t="s">
        <v>55</v>
      </c>
      <c r="J637" s="1" t="str">
        <f t="shared" si="0"/>
        <v/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6.25" hidden="1" customHeight="1">
      <c r="A638" s="17">
        <f t="shared" si="1"/>
        <v>635</v>
      </c>
      <c r="B638" s="18" t="s">
        <v>248</v>
      </c>
      <c r="C638" s="31" t="s">
        <v>3041</v>
      </c>
      <c r="D638" s="19" t="s">
        <v>3042</v>
      </c>
      <c r="E638" s="20" t="s">
        <v>3043</v>
      </c>
      <c r="F638" s="32">
        <v>2010</v>
      </c>
      <c r="G638" s="33" t="s">
        <v>53</v>
      </c>
      <c r="H638" s="23" t="s">
        <v>3044</v>
      </c>
      <c r="I638" s="24" t="s">
        <v>55</v>
      </c>
      <c r="J638" s="1" t="str">
        <f t="shared" si="0"/>
        <v/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6.25" customHeight="1">
      <c r="A639" s="17">
        <f t="shared" si="1"/>
        <v>636</v>
      </c>
      <c r="B639" s="18" t="s">
        <v>105</v>
      </c>
      <c r="C639" s="31" t="s">
        <v>3045</v>
      </c>
      <c r="D639" s="19" t="s">
        <v>3046</v>
      </c>
      <c r="E639" s="20" t="s">
        <v>3047</v>
      </c>
      <c r="F639" s="21" t="s">
        <v>3048</v>
      </c>
      <c r="G639" s="33" t="s">
        <v>31</v>
      </c>
      <c r="H639" s="23" t="s">
        <v>3049</v>
      </c>
      <c r="I639" s="34" t="s">
        <v>20</v>
      </c>
      <c r="J639" s="1" t="str">
        <f t="shared" si="0"/>
        <v>과기</v>
      </c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ht="26.25" hidden="1" customHeight="1">
      <c r="A640" s="17">
        <f t="shared" si="1"/>
        <v>637</v>
      </c>
      <c r="B640" s="18" t="s">
        <v>105</v>
      </c>
      <c r="C640" s="19" t="s">
        <v>3050</v>
      </c>
      <c r="D640" s="19" t="s">
        <v>196</v>
      </c>
      <c r="E640" s="20" t="s">
        <v>3051</v>
      </c>
      <c r="F640" s="21" t="s">
        <v>1011</v>
      </c>
      <c r="G640" s="33" t="s">
        <v>42</v>
      </c>
      <c r="H640" s="23" t="s">
        <v>3052</v>
      </c>
      <c r="I640" s="24" t="s">
        <v>20</v>
      </c>
      <c r="J640" s="1" t="str">
        <f t="shared" si="0"/>
        <v>FRIC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6.25" hidden="1" customHeight="1">
      <c r="A641" s="17">
        <f t="shared" si="1"/>
        <v>638</v>
      </c>
      <c r="B641" s="18" t="s">
        <v>13</v>
      </c>
      <c r="C641" s="19" t="s">
        <v>3053</v>
      </c>
      <c r="D641" s="19" t="s">
        <v>124</v>
      </c>
      <c r="E641" s="20" t="s">
        <v>3054</v>
      </c>
      <c r="F641" s="21" t="s">
        <v>135</v>
      </c>
      <c r="G641" s="22" t="s">
        <v>42</v>
      </c>
      <c r="H641" s="23" t="s">
        <v>3055</v>
      </c>
      <c r="I641" s="24" t="s">
        <v>20</v>
      </c>
      <c r="J641" s="1" t="str">
        <f t="shared" si="0"/>
        <v>FRIC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6.25" hidden="1" customHeight="1">
      <c r="A642" s="17">
        <f t="shared" si="1"/>
        <v>639</v>
      </c>
      <c r="B642" s="18" t="s">
        <v>81</v>
      </c>
      <c r="C642" s="31" t="s">
        <v>158</v>
      </c>
      <c r="D642" s="19" t="s">
        <v>3056</v>
      </c>
      <c r="E642" s="20" t="s">
        <v>159</v>
      </c>
      <c r="F642" s="32" t="s">
        <v>142</v>
      </c>
      <c r="G642" s="33" t="s">
        <v>42</v>
      </c>
      <c r="H642" s="23" t="s">
        <v>3057</v>
      </c>
      <c r="I642" s="24" t="s">
        <v>55</v>
      </c>
      <c r="J642" s="1" t="str">
        <f t="shared" si="0"/>
        <v/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6.25" hidden="1" customHeight="1">
      <c r="A643" s="17">
        <f t="shared" si="1"/>
        <v>640</v>
      </c>
      <c r="B643" s="18" t="s">
        <v>233</v>
      </c>
      <c r="C643" s="19" t="s">
        <v>1667</v>
      </c>
      <c r="D643" s="19" t="s">
        <v>3058</v>
      </c>
      <c r="E643" s="20" t="s">
        <v>1669</v>
      </c>
      <c r="F643" s="32" t="s">
        <v>52</v>
      </c>
      <c r="G643" s="22" t="s">
        <v>53</v>
      </c>
      <c r="H643" s="23" t="s">
        <v>3059</v>
      </c>
      <c r="I643" s="34" t="s">
        <v>55</v>
      </c>
      <c r="J643" s="1" t="str">
        <f t="shared" si="0"/>
        <v/>
      </c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ht="26.25" hidden="1" customHeight="1">
      <c r="A644" s="17">
        <f t="shared" si="1"/>
        <v>641</v>
      </c>
      <c r="B644" s="18" t="s">
        <v>37</v>
      </c>
      <c r="C644" s="31" t="s">
        <v>3060</v>
      </c>
      <c r="D644" s="19" t="s">
        <v>3061</v>
      </c>
      <c r="E644" s="20" t="s">
        <v>3062</v>
      </c>
      <c r="F644" s="32" t="s">
        <v>3063</v>
      </c>
      <c r="G644" s="22" t="s">
        <v>42</v>
      </c>
      <c r="H644" s="23" t="s">
        <v>3064</v>
      </c>
      <c r="I644" s="24" t="s">
        <v>55</v>
      </c>
      <c r="J644" s="1" t="str">
        <f t="shared" si="0"/>
        <v/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6.25" hidden="1" customHeight="1">
      <c r="A645" s="17">
        <f t="shared" si="1"/>
        <v>642</v>
      </c>
      <c r="B645" s="18" t="s">
        <v>105</v>
      </c>
      <c r="C645" s="31" t="s">
        <v>3065</v>
      </c>
      <c r="D645" s="19" t="s">
        <v>2742</v>
      </c>
      <c r="E645" s="20" t="s">
        <v>3066</v>
      </c>
      <c r="F645" s="32" t="s">
        <v>2564</v>
      </c>
      <c r="G645" s="33" t="s">
        <v>42</v>
      </c>
      <c r="H645" s="23" t="s">
        <v>3067</v>
      </c>
      <c r="I645" s="24" t="s">
        <v>55</v>
      </c>
      <c r="J645" s="1" t="str">
        <f t="shared" si="0"/>
        <v/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6.25" hidden="1" customHeight="1">
      <c r="A646" s="17">
        <f t="shared" si="1"/>
        <v>643</v>
      </c>
      <c r="B646" s="18" t="s">
        <v>48</v>
      </c>
      <c r="C646" s="31" t="s">
        <v>3068</v>
      </c>
      <c r="D646" s="19" t="s">
        <v>3069</v>
      </c>
      <c r="E646" s="20" t="s">
        <v>3070</v>
      </c>
      <c r="F646" s="32" t="s">
        <v>3071</v>
      </c>
      <c r="G646" s="33" t="s">
        <v>63</v>
      </c>
      <c r="H646" s="23" t="s">
        <v>3072</v>
      </c>
      <c r="I646" s="24" t="s">
        <v>55</v>
      </c>
      <c r="J646" s="1" t="str">
        <f t="shared" si="0"/>
        <v/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6.25" hidden="1" customHeight="1">
      <c r="A647" s="17">
        <f t="shared" si="1"/>
        <v>644</v>
      </c>
      <c r="B647" s="18" t="s">
        <v>105</v>
      </c>
      <c r="C647" s="31" t="s">
        <v>165</v>
      </c>
      <c r="D647" s="19" t="s">
        <v>112</v>
      </c>
      <c r="E647" s="20" t="s">
        <v>166</v>
      </c>
      <c r="F647" s="32" t="s">
        <v>962</v>
      </c>
      <c r="G647" s="33" t="s">
        <v>42</v>
      </c>
      <c r="H647" s="23" t="s">
        <v>3073</v>
      </c>
      <c r="I647" s="24" t="s">
        <v>55</v>
      </c>
      <c r="J647" s="1" t="str">
        <f t="shared" si="0"/>
        <v/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6.25" hidden="1" customHeight="1">
      <c r="A648" s="17">
        <f t="shared" si="1"/>
        <v>645</v>
      </c>
      <c r="B648" s="18" t="s">
        <v>233</v>
      </c>
      <c r="C648" s="31" t="s">
        <v>3074</v>
      </c>
      <c r="D648" s="19" t="s">
        <v>3075</v>
      </c>
      <c r="E648" s="20" t="s">
        <v>3076</v>
      </c>
      <c r="F648" s="32">
        <v>1962</v>
      </c>
      <c r="G648" s="22" t="s">
        <v>53</v>
      </c>
      <c r="H648" s="23" t="s">
        <v>3077</v>
      </c>
      <c r="I648" s="24" t="s">
        <v>55</v>
      </c>
      <c r="J648" s="1" t="str">
        <f t="shared" si="0"/>
        <v/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6.25" hidden="1" customHeight="1">
      <c r="A649" s="17">
        <f t="shared" si="1"/>
        <v>646</v>
      </c>
      <c r="B649" s="18" t="s">
        <v>37</v>
      </c>
      <c r="C649" s="31" t="s">
        <v>3078</v>
      </c>
      <c r="D649" s="19" t="s">
        <v>1980</v>
      </c>
      <c r="E649" s="20" t="s">
        <v>3079</v>
      </c>
      <c r="F649" s="32" t="s">
        <v>3080</v>
      </c>
      <c r="G649" s="22" t="s">
        <v>31</v>
      </c>
      <c r="H649" s="23" t="s">
        <v>3081</v>
      </c>
      <c r="I649" s="24" t="s">
        <v>55</v>
      </c>
      <c r="J649" s="1" t="str">
        <f t="shared" si="0"/>
        <v/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6.25" hidden="1" customHeight="1">
      <c r="A650" s="17">
        <f t="shared" si="1"/>
        <v>647</v>
      </c>
      <c r="B650" s="18" t="s">
        <v>105</v>
      </c>
      <c r="C650" s="31" t="s">
        <v>3082</v>
      </c>
      <c r="D650" s="19" t="s">
        <v>3083</v>
      </c>
      <c r="E650" s="20" t="s">
        <v>3084</v>
      </c>
      <c r="F650" s="32" t="s">
        <v>3085</v>
      </c>
      <c r="G650" s="33" t="s">
        <v>53</v>
      </c>
      <c r="H650" s="23" t="s">
        <v>3086</v>
      </c>
      <c r="I650" s="24" t="s">
        <v>55</v>
      </c>
      <c r="J650" s="1" t="str">
        <f t="shared" si="0"/>
        <v/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6.25" hidden="1" customHeight="1">
      <c r="A651" s="17">
        <f t="shared" si="1"/>
        <v>648</v>
      </c>
      <c r="B651" s="18" t="s">
        <v>132</v>
      </c>
      <c r="C651" s="31" t="s">
        <v>3087</v>
      </c>
      <c r="D651" s="19" t="s">
        <v>3088</v>
      </c>
      <c r="E651" s="20" t="s">
        <v>3089</v>
      </c>
      <c r="F651" s="32" t="s">
        <v>2820</v>
      </c>
      <c r="G651" s="22" t="s">
        <v>53</v>
      </c>
      <c r="H651" s="23" t="s">
        <v>3090</v>
      </c>
      <c r="I651" s="24" t="s">
        <v>55</v>
      </c>
      <c r="J651" s="1" t="str">
        <f t="shared" si="0"/>
        <v/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6.25" hidden="1" customHeight="1">
      <c r="A652" s="17">
        <f t="shared" si="1"/>
        <v>649</v>
      </c>
      <c r="B652" s="18" t="s">
        <v>105</v>
      </c>
      <c r="C652" s="31" t="s">
        <v>3091</v>
      </c>
      <c r="D652" s="19" t="s">
        <v>3092</v>
      </c>
      <c r="E652" s="20" t="s">
        <v>3093</v>
      </c>
      <c r="F652" s="32" t="s">
        <v>3094</v>
      </c>
      <c r="G652" s="33" t="s">
        <v>42</v>
      </c>
      <c r="H652" s="23" t="s">
        <v>3095</v>
      </c>
      <c r="I652" s="24" t="s">
        <v>55</v>
      </c>
      <c r="J652" s="1" t="str">
        <f t="shared" si="0"/>
        <v/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6.25" hidden="1" customHeight="1">
      <c r="A653" s="17">
        <f t="shared" si="1"/>
        <v>650</v>
      </c>
      <c r="B653" s="18" t="s">
        <v>27</v>
      </c>
      <c r="C653" s="31" t="s">
        <v>3096</v>
      </c>
      <c r="D653" s="19" t="s">
        <v>112</v>
      </c>
      <c r="E653" s="20" t="s">
        <v>3097</v>
      </c>
      <c r="F653" s="32" t="s">
        <v>416</v>
      </c>
      <c r="G653" s="22" t="s">
        <v>31</v>
      </c>
      <c r="H653" s="23" t="s">
        <v>3098</v>
      </c>
      <c r="I653" s="24" t="s">
        <v>55</v>
      </c>
      <c r="J653" s="1" t="str">
        <f t="shared" si="0"/>
        <v/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6.25" hidden="1" customHeight="1">
      <c r="A654" s="17">
        <f t="shared" si="1"/>
        <v>651</v>
      </c>
      <c r="B654" s="18" t="s">
        <v>27</v>
      </c>
      <c r="C654" s="39" t="s">
        <v>1867</v>
      </c>
      <c r="D654" s="39" t="s">
        <v>1868</v>
      </c>
      <c r="E654" s="20" t="s">
        <v>1869</v>
      </c>
      <c r="F654" s="44" t="s">
        <v>4937</v>
      </c>
      <c r="G654" s="22" t="s">
        <v>31</v>
      </c>
      <c r="H654" s="41" t="s">
        <v>3100</v>
      </c>
      <c r="I654" s="34" t="s">
        <v>55</v>
      </c>
      <c r="J654" s="1" t="str">
        <f t="shared" si="0"/>
        <v/>
      </c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ht="26.25" hidden="1" customHeight="1">
      <c r="A655" s="17">
        <f t="shared" si="1"/>
        <v>652</v>
      </c>
      <c r="B655" s="18" t="s">
        <v>248</v>
      </c>
      <c r="C655" s="31" t="s">
        <v>3101</v>
      </c>
      <c r="D655" s="19" t="s">
        <v>3102</v>
      </c>
      <c r="E655" s="20" t="s">
        <v>3103</v>
      </c>
      <c r="F655" s="32" t="s">
        <v>209</v>
      </c>
      <c r="G655" s="33" t="s">
        <v>42</v>
      </c>
      <c r="H655" s="23" t="s">
        <v>3104</v>
      </c>
      <c r="I655" s="24" t="s">
        <v>55</v>
      </c>
      <c r="J655" s="1" t="str">
        <f t="shared" si="0"/>
        <v/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6.25" hidden="1" customHeight="1">
      <c r="A656" s="17">
        <f t="shared" si="1"/>
        <v>653</v>
      </c>
      <c r="B656" s="18" t="s">
        <v>37</v>
      </c>
      <c r="C656" s="19" t="s">
        <v>3105</v>
      </c>
      <c r="D656" s="19" t="s">
        <v>168</v>
      </c>
      <c r="E656" s="20" t="s">
        <v>3106</v>
      </c>
      <c r="F656" s="21" t="s">
        <v>3107</v>
      </c>
      <c r="G656" s="22" t="s">
        <v>31</v>
      </c>
      <c r="H656" s="23" t="s">
        <v>3108</v>
      </c>
      <c r="I656" s="24" t="s">
        <v>20</v>
      </c>
      <c r="J656" s="1" t="str">
        <f t="shared" si="0"/>
        <v>FRIC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6.25" customHeight="1">
      <c r="A657" s="17">
        <f t="shared" si="1"/>
        <v>654</v>
      </c>
      <c r="B657" s="18" t="s">
        <v>105</v>
      </c>
      <c r="C657" s="31" t="s">
        <v>3109</v>
      </c>
      <c r="D657" s="19" t="s">
        <v>2164</v>
      </c>
      <c r="E657" s="20" t="s">
        <v>3110</v>
      </c>
      <c r="F657" s="21" t="s">
        <v>3111</v>
      </c>
      <c r="G657" s="33" t="s">
        <v>31</v>
      </c>
      <c r="H657" s="23" t="s">
        <v>3112</v>
      </c>
      <c r="I657" s="34" t="s">
        <v>20</v>
      </c>
      <c r="J657" s="1" t="str">
        <f t="shared" si="0"/>
        <v>과기</v>
      </c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ht="26.25" hidden="1" customHeight="1">
      <c r="A658" s="17">
        <f t="shared" si="1"/>
        <v>655</v>
      </c>
      <c r="B658" s="18" t="s">
        <v>105</v>
      </c>
      <c r="C658" s="19" t="s">
        <v>1660</v>
      </c>
      <c r="D658" s="19" t="s">
        <v>3113</v>
      </c>
      <c r="E658" s="20" t="s">
        <v>1662</v>
      </c>
      <c r="F658" s="32" t="s">
        <v>52</v>
      </c>
      <c r="G658" s="33" t="s">
        <v>31</v>
      </c>
      <c r="H658" s="23" t="s">
        <v>3114</v>
      </c>
      <c r="I658" s="34" t="s">
        <v>55</v>
      </c>
      <c r="J658" s="1" t="str">
        <f t="shared" si="0"/>
        <v/>
      </c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ht="26.25" hidden="1" customHeight="1">
      <c r="A659" s="17">
        <f t="shared" si="1"/>
        <v>656</v>
      </c>
      <c r="B659" s="18" t="s">
        <v>1375</v>
      </c>
      <c r="C659" s="31" t="s">
        <v>1538</v>
      </c>
      <c r="D659" s="19" t="s">
        <v>3115</v>
      </c>
      <c r="E659" s="20" t="s">
        <v>1540</v>
      </c>
      <c r="F659" s="32" t="s">
        <v>178</v>
      </c>
      <c r="G659" s="22" t="s">
        <v>53</v>
      </c>
      <c r="H659" s="23" t="s">
        <v>3116</v>
      </c>
      <c r="I659" s="34" t="s">
        <v>55</v>
      </c>
      <c r="J659" s="1" t="str">
        <f t="shared" si="0"/>
        <v/>
      </c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ht="26.25" hidden="1" customHeight="1">
      <c r="A660" s="17">
        <f t="shared" si="1"/>
        <v>657</v>
      </c>
      <c r="B660" s="18" t="s">
        <v>48</v>
      </c>
      <c r="C660" s="19" t="s">
        <v>3117</v>
      </c>
      <c r="D660" s="19" t="s">
        <v>168</v>
      </c>
      <c r="E660" s="20" t="s">
        <v>3118</v>
      </c>
      <c r="F660" s="21" t="s">
        <v>135</v>
      </c>
      <c r="G660" s="33" t="s">
        <v>53</v>
      </c>
      <c r="H660" s="23" t="s">
        <v>3119</v>
      </c>
      <c r="I660" s="24" t="s">
        <v>20</v>
      </c>
      <c r="J660" s="1" t="str">
        <f t="shared" si="0"/>
        <v>FRIC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6.25" hidden="1" customHeight="1">
      <c r="A661" s="17">
        <f t="shared" si="1"/>
        <v>658</v>
      </c>
      <c r="B661" s="18" t="s">
        <v>105</v>
      </c>
      <c r="C661" s="19" t="s">
        <v>3120</v>
      </c>
      <c r="D661" s="19" t="s">
        <v>3121</v>
      </c>
      <c r="E661" s="20" t="s">
        <v>3122</v>
      </c>
      <c r="F661" s="21" t="s">
        <v>135</v>
      </c>
      <c r="G661" s="33" t="s">
        <v>42</v>
      </c>
      <c r="H661" s="23" t="s">
        <v>3123</v>
      </c>
      <c r="I661" s="24" t="s">
        <v>20</v>
      </c>
      <c r="J661" s="1" t="str">
        <f t="shared" si="0"/>
        <v>FRIC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6.25" hidden="1" customHeight="1">
      <c r="A662" s="17">
        <f t="shared" si="1"/>
        <v>659</v>
      </c>
      <c r="B662" s="18" t="s">
        <v>27</v>
      </c>
      <c r="C662" s="19" t="s">
        <v>3124</v>
      </c>
      <c r="D662" s="19" t="s">
        <v>124</v>
      </c>
      <c r="E662" s="20" t="s">
        <v>3125</v>
      </c>
      <c r="F662" s="21" t="s">
        <v>2431</v>
      </c>
      <c r="G662" s="22" t="s">
        <v>42</v>
      </c>
      <c r="H662" s="23" t="s">
        <v>3126</v>
      </c>
      <c r="I662" s="24" t="s">
        <v>20</v>
      </c>
      <c r="J662" s="1" t="str">
        <f t="shared" si="0"/>
        <v>FRIC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6.25" hidden="1" customHeight="1">
      <c r="A663" s="17">
        <f t="shared" si="1"/>
        <v>660</v>
      </c>
      <c r="B663" s="18" t="s">
        <v>1375</v>
      </c>
      <c r="C663" s="31" t="s">
        <v>3127</v>
      </c>
      <c r="D663" s="19" t="s">
        <v>124</v>
      </c>
      <c r="E663" s="20" t="s">
        <v>3128</v>
      </c>
      <c r="F663" s="32" t="s">
        <v>1913</v>
      </c>
      <c r="G663" s="22" t="s">
        <v>1086</v>
      </c>
      <c r="H663" s="23" t="s">
        <v>3129</v>
      </c>
      <c r="I663" s="24" t="s">
        <v>55</v>
      </c>
      <c r="J663" s="1" t="str">
        <f t="shared" si="0"/>
        <v/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6.25" hidden="1" customHeight="1">
      <c r="A664" s="17">
        <f t="shared" si="1"/>
        <v>661</v>
      </c>
      <c r="B664" s="18" t="s">
        <v>1375</v>
      </c>
      <c r="C664" s="31" t="s">
        <v>3130</v>
      </c>
      <c r="D664" s="19" t="s">
        <v>3131</v>
      </c>
      <c r="E664" s="20" t="s">
        <v>1152</v>
      </c>
      <c r="F664" s="32" t="s">
        <v>170</v>
      </c>
      <c r="G664" s="22" t="s">
        <v>63</v>
      </c>
      <c r="H664" s="23" t="s">
        <v>3132</v>
      </c>
      <c r="I664" s="24" t="s">
        <v>55</v>
      </c>
      <c r="J664" s="1" t="str">
        <f t="shared" si="0"/>
        <v/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6.25" hidden="1" customHeight="1">
      <c r="A665" s="17">
        <f t="shared" si="1"/>
        <v>662</v>
      </c>
      <c r="B665" s="18" t="s">
        <v>1375</v>
      </c>
      <c r="C665" s="19" t="s">
        <v>3133</v>
      </c>
      <c r="D665" s="19" t="s">
        <v>124</v>
      </c>
      <c r="E665" s="20" t="s">
        <v>3134</v>
      </c>
      <c r="F665" s="21" t="s">
        <v>2284</v>
      </c>
      <c r="G665" s="22" t="s">
        <v>42</v>
      </c>
      <c r="H665" s="23" t="s">
        <v>3135</v>
      </c>
      <c r="I665" s="24" t="s">
        <v>20</v>
      </c>
      <c r="J665" s="1" t="str">
        <f t="shared" si="0"/>
        <v>FRIC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6.25" hidden="1" customHeight="1">
      <c r="A666" s="17">
        <f t="shared" si="1"/>
        <v>663</v>
      </c>
      <c r="B666" s="18" t="s">
        <v>248</v>
      </c>
      <c r="C666" s="31" t="s">
        <v>3136</v>
      </c>
      <c r="D666" s="19" t="s">
        <v>207</v>
      </c>
      <c r="E666" s="20" t="s">
        <v>3137</v>
      </c>
      <c r="F666" s="32" t="s">
        <v>222</v>
      </c>
      <c r="G666" s="33" t="s">
        <v>42</v>
      </c>
      <c r="H666" s="23" t="s">
        <v>3138</v>
      </c>
      <c r="I666" s="24" t="s">
        <v>55</v>
      </c>
      <c r="J666" s="1" t="str">
        <f t="shared" si="0"/>
        <v/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6.25" hidden="1" customHeight="1">
      <c r="A667" s="17">
        <f t="shared" si="1"/>
        <v>664</v>
      </c>
      <c r="B667" s="18" t="s">
        <v>81</v>
      </c>
      <c r="C667" s="31" t="s">
        <v>3139</v>
      </c>
      <c r="D667" s="19" t="s">
        <v>567</v>
      </c>
      <c r="E667" s="20" t="s">
        <v>3140</v>
      </c>
      <c r="F667" s="32" t="s">
        <v>3141</v>
      </c>
      <c r="G667" s="33" t="s">
        <v>42</v>
      </c>
      <c r="H667" s="23" t="s">
        <v>3142</v>
      </c>
      <c r="I667" s="24" t="s">
        <v>55</v>
      </c>
      <c r="J667" s="1" t="str">
        <f t="shared" si="0"/>
        <v/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6.25" hidden="1" customHeight="1">
      <c r="A668" s="17">
        <f t="shared" si="1"/>
        <v>665</v>
      </c>
      <c r="B668" s="18" t="s">
        <v>105</v>
      </c>
      <c r="C668" s="31" t="s">
        <v>3143</v>
      </c>
      <c r="D668" s="19" t="s">
        <v>567</v>
      </c>
      <c r="E668" s="20" t="s">
        <v>568</v>
      </c>
      <c r="F668" s="32" t="s">
        <v>3144</v>
      </c>
      <c r="G668" s="33" t="s">
        <v>42</v>
      </c>
      <c r="H668" s="23" t="s">
        <v>3145</v>
      </c>
      <c r="I668" s="24" t="s">
        <v>55</v>
      </c>
      <c r="J668" s="1" t="str">
        <f t="shared" si="0"/>
        <v/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6.25" hidden="1" customHeight="1">
      <c r="A669" s="17">
        <f t="shared" si="1"/>
        <v>666</v>
      </c>
      <c r="B669" s="18" t="s">
        <v>105</v>
      </c>
      <c r="C669" s="31" t="s">
        <v>3146</v>
      </c>
      <c r="D669" s="19" t="s">
        <v>567</v>
      </c>
      <c r="E669" s="20" t="s">
        <v>3147</v>
      </c>
      <c r="F669" s="32" t="s">
        <v>3148</v>
      </c>
      <c r="G669" s="33" t="s">
        <v>42</v>
      </c>
      <c r="H669" s="23" t="s">
        <v>3149</v>
      </c>
      <c r="I669" s="24" t="s">
        <v>55</v>
      </c>
      <c r="J669" s="1" t="str">
        <f t="shared" si="0"/>
        <v/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6.25" hidden="1" customHeight="1">
      <c r="A670" s="17">
        <f t="shared" si="1"/>
        <v>667</v>
      </c>
      <c r="B670" s="18" t="s">
        <v>81</v>
      </c>
      <c r="C670" s="19" t="s">
        <v>3150</v>
      </c>
      <c r="D670" s="19" t="s">
        <v>1700</v>
      </c>
      <c r="E670" s="20" t="s">
        <v>3151</v>
      </c>
      <c r="F670" s="21" t="s">
        <v>905</v>
      </c>
      <c r="G670" s="33" t="s">
        <v>53</v>
      </c>
      <c r="H670" s="23" t="s">
        <v>3152</v>
      </c>
      <c r="I670" s="24" t="s">
        <v>20</v>
      </c>
      <c r="J670" s="1" t="str">
        <f t="shared" si="0"/>
        <v>FRIC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6.25" hidden="1" customHeight="1">
      <c r="A671" s="17">
        <f t="shared" si="1"/>
        <v>668</v>
      </c>
      <c r="B671" s="18" t="s">
        <v>105</v>
      </c>
      <c r="C671" s="31" t="s">
        <v>3153</v>
      </c>
      <c r="D671" s="19" t="s">
        <v>1700</v>
      </c>
      <c r="E671" s="20" t="s">
        <v>3154</v>
      </c>
      <c r="F671" s="32" t="s">
        <v>3155</v>
      </c>
      <c r="G671" s="33" t="s">
        <v>63</v>
      </c>
      <c r="H671" s="23" t="s">
        <v>3156</v>
      </c>
      <c r="I671" s="24" t="s">
        <v>55</v>
      </c>
      <c r="J671" s="1" t="str">
        <f t="shared" si="0"/>
        <v/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6.25" hidden="1" customHeight="1">
      <c r="A672" s="17">
        <f t="shared" si="1"/>
        <v>669</v>
      </c>
      <c r="B672" s="18" t="s">
        <v>13</v>
      </c>
      <c r="C672" s="19" t="s">
        <v>3157</v>
      </c>
      <c r="D672" s="19" t="s">
        <v>1058</v>
      </c>
      <c r="E672" s="20" t="s">
        <v>3158</v>
      </c>
      <c r="F672" s="21" t="s">
        <v>135</v>
      </c>
      <c r="G672" s="22" t="s">
        <v>42</v>
      </c>
      <c r="H672" s="23" t="s">
        <v>3159</v>
      </c>
      <c r="I672" s="24" t="s">
        <v>20</v>
      </c>
      <c r="J672" s="1" t="str">
        <f t="shared" si="0"/>
        <v>FRIC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6.25" hidden="1" customHeight="1">
      <c r="A673" s="17">
        <f t="shared" si="1"/>
        <v>670</v>
      </c>
      <c r="B673" s="18" t="s">
        <v>105</v>
      </c>
      <c r="C673" s="19" t="s">
        <v>3160</v>
      </c>
      <c r="D673" s="19" t="s">
        <v>124</v>
      </c>
      <c r="E673" s="20" t="s">
        <v>3161</v>
      </c>
      <c r="F673" s="21" t="s">
        <v>135</v>
      </c>
      <c r="G673" s="33" t="s">
        <v>42</v>
      </c>
      <c r="H673" s="23" t="s">
        <v>3162</v>
      </c>
      <c r="I673" s="24" t="s">
        <v>20</v>
      </c>
      <c r="J673" s="1" t="str">
        <f t="shared" si="0"/>
        <v>FRIC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6.25" hidden="1" customHeight="1">
      <c r="A674" s="17">
        <f t="shared" si="1"/>
        <v>671</v>
      </c>
      <c r="B674" s="18" t="s">
        <v>1197</v>
      </c>
      <c r="C674" s="19" t="s">
        <v>3163</v>
      </c>
      <c r="D674" s="19" t="s">
        <v>124</v>
      </c>
      <c r="E674" s="20" t="s">
        <v>3164</v>
      </c>
      <c r="F674" s="21" t="s">
        <v>135</v>
      </c>
      <c r="G674" s="33" t="s">
        <v>42</v>
      </c>
      <c r="H674" s="23" t="s">
        <v>3165</v>
      </c>
      <c r="I674" s="24" t="s">
        <v>20</v>
      </c>
      <c r="J674" s="1" t="str">
        <f t="shared" si="0"/>
        <v>FRIC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6.25" hidden="1" customHeight="1">
      <c r="A675" s="17">
        <f t="shared" si="1"/>
        <v>672</v>
      </c>
      <c r="B675" s="18" t="s">
        <v>13</v>
      </c>
      <c r="C675" s="19" t="s">
        <v>1763</v>
      </c>
      <c r="D675" s="19" t="s">
        <v>3166</v>
      </c>
      <c r="E675" s="20" t="s">
        <v>1764</v>
      </c>
      <c r="F675" s="32" t="s">
        <v>3167</v>
      </c>
      <c r="G675" s="22" t="s">
        <v>42</v>
      </c>
      <c r="H675" s="23" t="s">
        <v>3168</v>
      </c>
      <c r="I675" s="34" t="s">
        <v>55</v>
      </c>
      <c r="J675" s="1" t="str">
        <f t="shared" si="0"/>
        <v/>
      </c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ht="26.25" hidden="1" customHeight="1">
      <c r="A676" s="17">
        <f t="shared" si="1"/>
        <v>673</v>
      </c>
      <c r="B676" s="18" t="s">
        <v>37</v>
      </c>
      <c r="C676" s="19" t="s">
        <v>3169</v>
      </c>
      <c r="D676" s="19" t="s">
        <v>3170</v>
      </c>
      <c r="E676" s="20" t="s">
        <v>3171</v>
      </c>
      <c r="F676" s="21" t="s">
        <v>135</v>
      </c>
      <c r="G676" s="22" t="s">
        <v>53</v>
      </c>
      <c r="H676" s="23" t="s">
        <v>3172</v>
      </c>
      <c r="I676" s="24" t="s">
        <v>20</v>
      </c>
      <c r="J676" s="1" t="str">
        <f t="shared" si="0"/>
        <v>FRIC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6.25" hidden="1" customHeight="1">
      <c r="A677" s="17">
        <f t="shared" si="1"/>
        <v>674</v>
      </c>
      <c r="B677" s="18" t="s">
        <v>132</v>
      </c>
      <c r="C677" s="31" t="s">
        <v>3173</v>
      </c>
      <c r="D677" s="19" t="s">
        <v>271</v>
      </c>
      <c r="E677" s="20" t="s">
        <v>3174</v>
      </c>
      <c r="F677" s="32" t="s">
        <v>222</v>
      </c>
      <c r="G677" s="22" t="s">
        <v>42</v>
      </c>
      <c r="H677" s="23" t="s">
        <v>3175</v>
      </c>
      <c r="I677" s="24" t="s">
        <v>55</v>
      </c>
      <c r="J677" s="1" t="str">
        <f t="shared" si="0"/>
        <v/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6.25" hidden="1" customHeight="1">
      <c r="A678" s="17">
        <f t="shared" si="1"/>
        <v>675</v>
      </c>
      <c r="B678" s="18" t="s">
        <v>132</v>
      </c>
      <c r="C678" s="31" t="s">
        <v>344</v>
      </c>
      <c r="D678" s="19" t="s">
        <v>181</v>
      </c>
      <c r="E678" s="20" t="s">
        <v>346</v>
      </c>
      <c r="F678" s="32" t="s">
        <v>163</v>
      </c>
      <c r="G678" s="22" t="s">
        <v>1846</v>
      </c>
      <c r="H678" s="23" t="s">
        <v>3176</v>
      </c>
      <c r="I678" s="24" t="s">
        <v>55</v>
      </c>
      <c r="J678" s="1" t="str">
        <f t="shared" si="0"/>
        <v/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6.25" hidden="1" customHeight="1">
      <c r="A679" s="17">
        <f t="shared" si="1"/>
        <v>676</v>
      </c>
      <c r="B679" s="18" t="s">
        <v>233</v>
      </c>
      <c r="C679" s="31" t="s">
        <v>3177</v>
      </c>
      <c r="D679" s="19" t="s">
        <v>1068</v>
      </c>
      <c r="E679" s="20" t="s">
        <v>3178</v>
      </c>
      <c r="F679" s="32" t="s">
        <v>3179</v>
      </c>
      <c r="G679" s="22" t="s">
        <v>53</v>
      </c>
      <c r="H679" s="23" t="s">
        <v>3180</v>
      </c>
      <c r="I679" s="24" t="s">
        <v>55</v>
      </c>
      <c r="J679" s="1" t="str">
        <f t="shared" si="0"/>
        <v/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6.25" hidden="1" customHeight="1">
      <c r="A680" s="17">
        <f t="shared" si="1"/>
        <v>677</v>
      </c>
      <c r="B680" s="18" t="s">
        <v>146</v>
      </c>
      <c r="C680" s="31" t="s">
        <v>3181</v>
      </c>
      <c r="D680" s="19" t="s">
        <v>3182</v>
      </c>
      <c r="E680" s="20" t="s">
        <v>3183</v>
      </c>
      <c r="F680" s="32" t="s">
        <v>222</v>
      </c>
      <c r="G680" s="33" t="s">
        <v>42</v>
      </c>
      <c r="H680" s="23" t="s">
        <v>3184</v>
      </c>
      <c r="I680" s="24" t="s">
        <v>55</v>
      </c>
      <c r="J680" s="1" t="str">
        <f t="shared" si="0"/>
        <v/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6.25" hidden="1" customHeight="1">
      <c r="A681" s="17">
        <f t="shared" si="1"/>
        <v>678</v>
      </c>
      <c r="B681" s="18" t="s">
        <v>146</v>
      </c>
      <c r="C681" s="31" t="s">
        <v>3185</v>
      </c>
      <c r="D681" s="19" t="s">
        <v>3182</v>
      </c>
      <c r="E681" s="20" t="s">
        <v>3186</v>
      </c>
      <c r="F681" s="32" t="s">
        <v>222</v>
      </c>
      <c r="G681" s="33" t="s">
        <v>42</v>
      </c>
      <c r="H681" s="23" t="s">
        <v>3187</v>
      </c>
      <c r="I681" s="24" t="s">
        <v>55</v>
      </c>
      <c r="J681" s="1" t="str">
        <f t="shared" si="0"/>
        <v/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6.25" hidden="1" customHeight="1">
      <c r="A682" s="17">
        <f t="shared" si="1"/>
        <v>679</v>
      </c>
      <c r="B682" s="18" t="s">
        <v>146</v>
      </c>
      <c r="C682" s="31" t="s">
        <v>3188</v>
      </c>
      <c r="D682" s="19" t="s">
        <v>3182</v>
      </c>
      <c r="E682" s="20" t="s">
        <v>3189</v>
      </c>
      <c r="F682" s="32" t="s">
        <v>222</v>
      </c>
      <c r="G682" s="33" t="s">
        <v>42</v>
      </c>
      <c r="H682" s="23" t="s">
        <v>3190</v>
      </c>
      <c r="I682" s="24" t="s">
        <v>55</v>
      </c>
      <c r="J682" s="1" t="str">
        <f t="shared" si="0"/>
        <v/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6.25" hidden="1" customHeight="1">
      <c r="A683" s="17">
        <f t="shared" si="1"/>
        <v>680</v>
      </c>
      <c r="B683" s="18" t="s">
        <v>146</v>
      </c>
      <c r="C683" s="31" t="s">
        <v>3191</v>
      </c>
      <c r="D683" s="19" t="s">
        <v>3182</v>
      </c>
      <c r="E683" s="20" t="s">
        <v>3192</v>
      </c>
      <c r="F683" s="32" t="s">
        <v>222</v>
      </c>
      <c r="G683" s="33" t="s">
        <v>42</v>
      </c>
      <c r="H683" s="23" t="s">
        <v>3193</v>
      </c>
      <c r="I683" s="24" t="s">
        <v>55</v>
      </c>
      <c r="J683" s="1" t="str">
        <f t="shared" si="0"/>
        <v/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6.25" hidden="1" customHeight="1">
      <c r="A684" s="17">
        <f t="shared" si="1"/>
        <v>681</v>
      </c>
      <c r="B684" s="18" t="s">
        <v>3194</v>
      </c>
      <c r="C684" s="31" t="s">
        <v>3195</v>
      </c>
      <c r="D684" s="19" t="s">
        <v>3196</v>
      </c>
      <c r="E684" s="20" t="s">
        <v>3197</v>
      </c>
      <c r="F684" s="32" t="s">
        <v>3198</v>
      </c>
      <c r="G684" s="33" t="s">
        <v>18</v>
      </c>
      <c r="H684" s="23" t="s">
        <v>3199</v>
      </c>
      <c r="I684" s="24" t="s">
        <v>55</v>
      </c>
      <c r="J684" s="1" t="str">
        <f t="shared" si="0"/>
        <v/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6.25" hidden="1" customHeight="1">
      <c r="A685" s="17">
        <f t="shared" si="1"/>
        <v>682</v>
      </c>
      <c r="B685" s="18" t="s">
        <v>37</v>
      </c>
      <c r="C685" s="31" t="s">
        <v>1228</v>
      </c>
      <c r="D685" s="19" t="s">
        <v>1229</v>
      </c>
      <c r="E685" s="20" t="s">
        <v>1230</v>
      </c>
      <c r="F685" s="32" t="s">
        <v>170</v>
      </c>
      <c r="G685" s="22" t="s">
        <v>53</v>
      </c>
      <c r="H685" s="23" t="s">
        <v>3200</v>
      </c>
      <c r="I685" s="24" t="s">
        <v>55</v>
      </c>
      <c r="J685" s="1" t="str">
        <f t="shared" si="0"/>
        <v/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6.25" customHeight="1">
      <c r="A686" s="17">
        <f t="shared" si="1"/>
        <v>683</v>
      </c>
      <c r="B686" s="18" t="s">
        <v>105</v>
      </c>
      <c r="C686" s="31" t="s">
        <v>3201</v>
      </c>
      <c r="D686" s="19" t="s">
        <v>3202</v>
      </c>
      <c r="E686" s="20" t="s">
        <v>3203</v>
      </c>
      <c r="F686" s="21" t="s">
        <v>126</v>
      </c>
      <c r="G686" s="33" t="s">
        <v>42</v>
      </c>
      <c r="H686" s="23" t="s">
        <v>3204</v>
      </c>
      <c r="I686" s="34" t="s">
        <v>20</v>
      </c>
      <c r="J686" s="1" t="str">
        <f t="shared" si="0"/>
        <v>과기</v>
      </c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ht="26.25" hidden="1" customHeight="1">
      <c r="A687" s="17">
        <f t="shared" si="1"/>
        <v>684</v>
      </c>
      <c r="B687" s="18" t="s">
        <v>105</v>
      </c>
      <c r="C687" s="31" t="s">
        <v>3205</v>
      </c>
      <c r="D687" s="19" t="s">
        <v>3206</v>
      </c>
      <c r="E687" s="20" t="s">
        <v>3207</v>
      </c>
      <c r="F687" s="32" t="s">
        <v>3208</v>
      </c>
      <c r="G687" s="33" t="s">
        <v>31</v>
      </c>
      <c r="H687" s="23" t="s">
        <v>3209</v>
      </c>
      <c r="I687" s="24" t="s">
        <v>55</v>
      </c>
      <c r="J687" s="1" t="str">
        <f t="shared" si="0"/>
        <v/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6.25" hidden="1" customHeight="1">
      <c r="A688" s="17">
        <f t="shared" si="1"/>
        <v>685</v>
      </c>
      <c r="B688" s="18" t="s">
        <v>37</v>
      </c>
      <c r="C688" s="19" t="s">
        <v>3210</v>
      </c>
      <c r="D688" s="19" t="s">
        <v>1058</v>
      </c>
      <c r="E688" s="20" t="s">
        <v>3211</v>
      </c>
      <c r="F688" s="21" t="s">
        <v>135</v>
      </c>
      <c r="G688" s="22" t="s">
        <v>42</v>
      </c>
      <c r="H688" s="23" t="s">
        <v>3212</v>
      </c>
      <c r="I688" s="24" t="s">
        <v>20</v>
      </c>
      <c r="J688" s="1" t="str">
        <f t="shared" si="0"/>
        <v>FRIC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6.25" hidden="1" customHeight="1">
      <c r="A689" s="17">
        <f t="shared" si="1"/>
        <v>686</v>
      </c>
      <c r="B689" s="18" t="s">
        <v>248</v>
      </c>
      <c r="C689" s="83" t="s">
        <v>1470</v>
      </c>
      <c r="D689" s="83" t="s">
        <v>196</v>
      </c>
      <c r="E689" s="43" t="s">
        <v>1471</v>
      </c>
      <c r="F689" s="44" t="s">
        <v>4938</v>
      </c>
      <c r="G689" s="22" t="s">
        <v>42</v>
      </c>
      <c r="H689" s="59" t="s">
        <v>3214</v>
      </c>
      <c r="I689" s="34" t="s">
        <v>55</v>
      </c>
      <c r="J689" s="1" t="str">
        <f t="shared" si="0"/>
        <v/>
      </c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ht="26.25" hidden="1" customHeight="1">
      <c r="A690" s="17">
        <f t="shared" si="1"/>
        <v>687</v>
      </c>
      <c r="B690" s="18" t="s">
        <v>132</v>
      </c>
      <c r="C690" s="19" t="s">
        <v>3215</v>
      </c>
      <c r="D690" s="19" t="s">
        <v>1058</v>
      </c>
      <c r="E690" s="20" t="s">
        <v>3216</v>
      </c>
      <c r="F690" s="21" t="s">
        <v>135</v>
      </c>
      <c r="G690" s="22" t="s">
        <v>42</v>
      </c>
      <c r="H690" s="23" t="s">
        <v>3217</v>
      </c>
      <c r="I690" s="24" t="s">
        <v>20</v>
      </c>
      <c r="J690" s="1" t="str">
        <f t="shared" si="0"/>
        <v>FRIC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6.25" hidden="1" customHeight="1">
      <c r="A691" s="17">
        <f t="shared" si="1"/>
        <v>688</v>
      </c>
      <c r="B691" s="18" t="s">
        <v>13</v>
      </c>
      <c r="C691" s="19" t="s">
        <v>3218</v>
      </c>
      <c r="D691" s="19" t="s">
        <v>124</v>
      </c>
      <c r="E691" s="20" t="s">
        <v>3219</v>
      </c>
      <c r="F691" s="21" t="s">
        <v>135</v>
      </c>
      <c r="G691" s="22" t="s">
        <v>42</v>
      </c>
      <c r="H691" s="23" t="s">
        <v>3220</v>
      </c>
      <c r="I691" s="24" t="s">
        <v>20</v>
      </c>
      <c r="J691" s="1" t="str">
        <f t="shared" si="0"/>
        <v>FRIC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6.25" hidden="1" customHeight="1">
      <c r="A692" s="17">
        <f t="shared" si="1"/>
        <v>689</v>
      </c>
      <c r="B692" s="18" t="s">
        <v>175</v>
      </c>
      <c r="C692" s="19" t="s">
        <v>3221</v>
      </c>
      <c r="D692" s="19" t="s">
        <v>141</v>
      </c>
      <c r="E692" s="20" t="s">
        <v>3222</v>
      </c>
      <c r="F692" s="21" t="s">
        <v>905</v>
      </c>
      <c r="G692" s="33" t="s">
        <v>42</v>
      </c>
      <c r="H692" s="23" t="s">
        <v>3223</v>
      </c>
      <c r="I692" s="24" t="s">
        <v>20</v>
      </c>
      <c r="J692" s="1" t="str">
        <f t="shared" si="0"/>
        <v>FRIC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6.25" hidden="1" customHeight="1">
      <c r="A693" s="17">
        <f t="shared" si="1"/>
        <v>690</v>
      </c>
      <c r="B693" s="18" t="s">
        <v>13</v>
      </c>
      <c r="C693" s="31" t="s">
        <v>180</v>
      </c>
      <c r="D693" s="19" t="s">
        <v>1045</v>
      </c>
      <c r="E693" s="20" t="s">
        <v>182</v>
      </c>
      <c r="F693" s="32" t="s">
        <v>222</v>
      </c>
      <c r="G693" s="22" t="s">
        <v>53</v>
      </c>
      <c r="H693" s="23" t="s">
        <v>3224</v>
      </c>
      <c r="I693" s="24" t="s">
        <v>55</v>
      </c>
      <c r="J693" s="1" t="str">
        <f t="shared" si="0"/>
        <v/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6.25" hidden="1" customHeight="1">
      <c r="A694" s="17">
        <f t="shared" si="1"/>
        <v>691</v>
      </c>
      <c r="B694" s="18" t="s">
        <v>248</v>
      </c>
      <c r="C694" s="19" t="s">
        <v>3225</v>
      </c>
      <c r="D694" s="19" t="s">
        <v>124</v>
      </c>
      <c r="E694" s="20" t="s">
        <v>3226</v>
      </c>
      <c r="F694" s="21" t="s">
        <v>135</v>
      </c>
      <c r="G694" s="33" t="s">
        <v>42</v>
      </c>
      <c r="H694" s="23" t="s">
        <v>3227</v>
      </c>
      <c r="I694" s="24" t="s">
        <v>20</v>
      </c>
      <c r="J694" s="1" t="str">
        <f t="shared" si="0"/>
        <v>FRIC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6.25" hidden="1" customHeight="1">
      <c r="A695" s="17">
        <f t="shared" si="1"/>
        <v>692</v>
      </c>
      <c r="B695" s="18" t="s">
        <v>3194</v>
      </c>
      <c r="C695" s="19" t="s">
        <v>3228</v>
      </c>
      <c r="D695" s="19" t="s">
        <v>3229</v>
      </c>
      <c r="E695" s="20" t="s">
        <v>3230</v>
      </c>
      <c r="F695" s="21" t="s">
        <v>135</v>
      </c>
      <c r="G695" s="33" t="s">
        <v>2018</v>
      </c>
      <c r="H695" s="23" t="s">
        <v>3231</v>
      </c>
      <c r="I695" s="24" t="s">
        <v>20</v>
      </c>
      <c r="J695" s="1" t="str">
        <f t="shared" si="0"/>
        <v>FRIC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6.25" hidden="1" customHeight="1">
      <c r="A696" s="17">
        <f t="shared" si="1"/>
        <v>693</v>
      </c>
      <c r="B696" s="18" t="s">
        <v>13</v>
      </c>
      <c r="C696" s="31" t="s">
        <v>3232</v>
      </c>
      <c r="D696" s="19" t="s">
        <v>124</v>
      </c>
      <c r="E696" s="20" t="s">
        <v>3233</v>
      </c>
      <c r="F696" s="32" t="s">
        <v>3234</v>
      </c>
      <c r="G696" s="22" t="s">
        <v>18</v>
      </c>
      <c r="H696" s="23" t="s">
        <v>3235</v>
      </c>
      <c r="I696" s="24" t="s">
        <v>55</v>
      </c>
      <c r="J696" s="1" t="str">
        <f t="shared" si="0"/>
        <v/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6.25" hidden="1" customHeight="1">
      <c r="A697" s="17">
        <f t="shared" si="1"/>
        <v>694</v>
      </c>
      <c r="B697" s="18" t="s">
        <v>27</v>
      </c>
      <c r="C697" s="19" t="s">
        <v>3236</v>
      </c>
      <c r="D697" s="19" t="s">
        <v>3237</v>
      </c>
      <c r="E697" s="20" t="s">
        <v>3238</v>
      </c>
      <c r="F697" s="21" t="s">
        <v>135</v>
      </c>
      <c r="G697" s="22" t="s">
        <v>42</v>
      </c>
      <c r="H697" s="23" t="s">
        <v>3239</v>
      </c>
      <c r="I697" s="24" t="s">
        <v>20</v>
      </c>
      <c r="J697" s="1" t="str">
        <f t="shared" si="0"/>
        <v>FRIC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6.25" customHeight="1">
      <c r="A698" s="17">
        <f t="shared" si="1"/>
        <v>695</v>
      </c>
      <c r="B698" s="18" t="s">
        <v>37</v>
      </c>
      <c r="C698" s="19" t="s">
        <v>3240</v>
      </c>
      <c r="D698" s="19" t="s">
        <v>1776</v>
      </c>
      <c r="E698" s="20" t="s">
        <v>3241</v>
      </c>
      <c r="F698" s="21" t="s">
        <v>135</v>
      </c>
      <c r="G698" s="22" t="s">
        <v>42</v>
      </c>
      <c r="H698" s="23" t="s">
        <v>3242</v>
      </c>
      <c r="I698" s="24" t="s">
        <v>20</v>
      </c>
      <c r="J698" s="1" t="str">
        <f t="shared" si="0"/>
        <v>과기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6.25" hidden="1" customHeight="1">
      <c r="A699" s="17">
        <f t="shared" si="1"/>
        <v>696</v>
      </c>
      <c r="B699" s="18" t="s">
        <v>13</v>
      </c>
      <c r="C699" s="31" t="s">
        <v>3243</v>
      </c>
      <c r="D699" s="19" t="s">
        <v>124</v>
      </c>
      <c r="E699" s="20" t="s">
        <v>3244</v>
      </c>
      <c r="F699" s="32" t="s">
        <v>222</v>
      </c>
      <c r="G699" s="22" t="s">
        <v>42</v>
      </c>
      <c r="H699" s="23" t="s">
        <v>3245</v>
      </c>
      <c r="I699" s="24" t="s">
        <v>55</v>
      </c>
      <c r="J699" s="1" t="str">
        <f t="shared" si="0"/>
        <v/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6.25" hidden="1" customHeight="1">
      <c r="A700" s="17">
        <f t="shared" si="1"/>
        <v>697</v>
      </c>
      <c r="B700" s="18" t="s">
        <v>105</v>
      </c>
      <c r="C700" s="31" t="s">
        <v>3246</v>
      </c>
      <c r="D700" s="19" t="s">
        <v>3247</v>
      </c>
      <c r="E700" s="20" t="s">
        <v>3248</v>
      </c>
      <c r="F700" s="32" t="s">
        <v>3249</v>
      </c>
      <c r="G700" s="33" t="s">
        <v>53</v>
      </c>
      <c r="H700" s="23" t="s">
        <v>3250</v>
      </c>
      <c r="I700" s="24" t="s">
        <v>55</v>
      </c>
      <c r="J700" s="1" t="str">
        <f t="shared" si="0"/>
        <v/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6.25" hidden="1" customHeight="1">
      <c r="A701" s="17">
        <f t="shared" si="1"/>
        <v>698</v>
      </c>
      <c r="B701" s="18" t="s">
        <v>27</v>
      </c>
      <c r="C701" s="31" t="s">
        <v>3251</v>
      </c>
      <c r="D701" s="19" t="s">
        <v>3252</v>
      </c>
      <c r="E701" s="20" t="s">
        <v>3253</v>
      </c>
      <c r="F701" s="32" t="s">
        <v>1101</v>
      </c>
      <c r="G701" s="22" t="s">
        <v>42</v>
      </c>
      <c r="H701" s="23" t="s">
        <v>3254</v>
      </c>
      <c r="I701" s="24" t="s">
        <v>55</v>
      </c>
      <c r="J701" s="1" t="str">
        <f t="shared" si="0"/>
        <v/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6.25" hidden="1" customHeight="1">
      <c r="A702" s="17">
        <f t="shared" si="1"/>
        <v>699</v>
      </c>
      <c r="B702" s="18" t="s">
        <v>175</v>
      </c>
      <c r="C702" s="31" t="s">
        <v>3255</v>
      </c>
      <c r="D702" s="19" t="s">
        <v>3256</v>
      </c>
      <c r="E702" s="20" t="s">
        <v>3257</v>
      </c>
      <c r="F702" s="32" t="s">
        <v>3258</v>
      </c>
      <c r="G702" s="33" t="s">
        <v>42</v>
      </c>
      <c r="H702" s="23" t="s">
        <v>3259</v>
      </c>
      <c r="I702" s="24" t="s">
        <v>55</v>
      </c>
      <c r="J702" s="1" t="str">
        <f t="shared" si="0"/>
        <v/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6.25" hidden="1" customHeight="1">
      <c r="A703" s="17">
        <f t="shared" si="1"/>
        <v>700</v>
      </c>
      <c r="B703" s="18" t="s">
        <v>48</v>
      </c>
      <c r="C703" s="31" t="s">
        <v>3260</v>
      </c>
      <c r="D703" s="19" t="s">
        <v>3261</v>
      </c>
      <c r="E703" s="20" t="s">
        <v>671</v>
      </c>
      <c r="F703" s="32" t="s">
        <v>496</v>
      </c>
      <c r="G703" s="33" t="s">
        <v>53</v>
      </c>
      <c r="H703" s="23" t="s">
        <v>3262</v>
      </c>
      <c r="I703" s="24" t="s">
        <v>55</v>
      </c>
      <c r="J703" s="1" t="str">
        <f t="shared" si="0"/>
        <v/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6.25" hidden="1" customHeight="1">
      <c r="A704" s="17">
        <f t="shared" si="1"/>
        <v>701</v>
      </c>
      <c r="B704" s="18" t="s">
        <v>27</v>
      </c>
      <c r="C704" s="19" t="s">
        <v>3263</v>
      </c>
      <c r="D704" s="19" t="s">
        <v>3264</v>
      </c>
      <c r="E704" s="20" t="s">
        <v>3265</v>
      </c>
      <c r="F704" s="21" t="s">
        <v>3266</v>
      </c>
      <c r="G704" s="22" t="s">
        <v>53</v>
      </c>
      <c r="H704" s="23" t="s">
        <v>3267</v>
      </c>
      <c r="I704" s="24" t="s">
        <v>20</v>
      </c>
      <c r="J704" s="1" t="str">
        <f t="shared" si="0"/>
        <v>FRIC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6.25" hidden="1" customHeight="1">
      <c r="A705" s="17">
        <f t="shared" si="1"/>
        <v>702</v>
      </c>
      <c r="B705" s="18" t="s">
        <v>37</v>
      </c>
      <c r="C705" s="19" t="s">
        <v>3268</v>
      </c>
      <c r="D705" s="19" t="s">
        <v>2664</v>
      </c>
      <c r="E705" s="20" t="s">
        <v>3269</v>
      </c>
      <c r="F705" s="21" t="s">
        <v>135</v>
      </c>
      <c r="G705" s="22" t="s">
        <v>53</v>
      </c>
      <c r="H705" s="23" t="s">
        <v>3270</v>
      </c>
      <c r="I705" s="24" t="s">
        <v>20</v>
      </c>
      <c r="J705" s="1" t="str">
        <f t="shared" si="0"/>
        <v>FRIC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6.25" hidden="1" customHeight="1">
      <c r="A706" s="17">
        <f t="shared" si="1"/>
        <v>703</v>
      </c>
      <c r="B706" s="18" t="s">
        <v>132</v>
      </c>
      <c r="C706" s="19" t="s">
        <v>3271</v>
      </c>
      <c r="D706" s="19" t="s">
        <v>3272</v>
      </c>
      <c r="E706" s="20" t="s">
        <v>3273</v>
      </c>
      <c r="F706" s="21" t="s">
        <v>135</v>
      </c>
      <c r="G706" s="22" t="s">
        <v>42</v>
      </c>
      <c r="H706" s="23" t="s">
        <v>3274</v>
      </c>
      <c r="I706" s="24" t="s">
        <v>20</v>
      </c>
      <c r="J706" s="1" t="str">
        <f t="shared" si="0"/>
        <v>FRIC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6.25" hidden="1" customHeight="1">
      <c r="A707" s="17">
        <f t="shared" si="1"/>
        <v>704</v>
      </c>
      <c r="B707" s="18" t="s">
        <v>1375</v>
      </c>
      <c r="C707" s="31" t="s">
        <v>3275</v>
      </c>
      <c r="D707" s="19" t="s">
        <v>3276</v>
      </c>
      <c r="E707" s="20" t="s">
        <v>3277</v>
      </c>
      <c r="F707" s="32" t="s">
        <v>3278</v>
      </c>
      <c r="G707" s="22" t="s">
        <v>53</v>
      </c>
      <c r="H707" s="23" t="s">
        <v>3279</v>
      </c>
      <c r="I707" s="24" t="s">
        <v>55</v>
      </c>
      <c r="J707" s="1" t="str">
        <f t="shared" si="0"/>
        <v/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6.25" hidden="1" customHeight="1">
      <c r="A708" s="17">
        <f t="shared" si="1"/>
        <v>705</v>
      </c>
      <c r="B708" s="18" t="s">
        <v>1368</v>
      </c>
      <c r="C708" s="19" t="s">
        <v>3280</v>
      </c>
      <c r="D708" s="19" t="s">
        <v>332</v>
      </c>
      <c r="E708" s="20" t="s">
        <v>3281</v>
      </c>
      <c r="F708" s="21" t="s">
        <v>135</v>
      </c>
      <c r="G708" s="33" t="s">
        <v>3282</v>
      </c>
      <c r="H708" s="23" t="s">
        <v>3283</v>
      </c>
      <c r="I708" s="24" t="s">
        <v>20</v>
      </c>
      <c r="J708" s="1" t="str">
        <f t="shared" si="0"/>
        <v>FRIC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6.25" hidden="1" customHeight="1">
      <c r="A709" s="17">
        <f t="shared" si="1"/>
        <v>706</v>
      </c>
      <c r="B709" s="18" t="s">
        <v>248</v>
      </c>
      <c r="C709" s="19" t="s">
        <v>3284</v>
      </c>
      <c r="D709" s="19" t="s">
        <v>3285</v>
      </c>
      <c r="E709" s="20" t="s">
        <v>3286</v>
      </c>
      <c r="F709" s="21" t="s">
        <v>1005</v>
      </c>
      <c r="G709" s="33" t="s">
        <v>42</v>
      </c>
      <c r="H709" s="23" t="s">
        <v>3287</v>
      </c>
      <c r="I709" s="24" t="s">
        <v>20</v>
      </c>
      <c r="J709" s="1" t="str">
        <f t="shared" si="0"/>
        <v>FRIC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6.25" hidden="1" customHeight="1">
      <c r="A710" s="17">
        <f t="shared" si="1"/>
        <v>707</v>
      </c>
      <c r="B710" s="18" t="s">
        <v>27</v>
      </c>
      <c r="C710" s="31" t="s">
        <v>3288</v>
      </c>
      <c r="D710" s="19" t="s">
        <v>2603</v>
      </c>
      <c r="E710" s="20" t="s">
        <v>3289</v>
      </c>
      <c r="F710" s="32">
        <v>2013</v>
      </c>
      <c r="G710" s="22" t="s">
        <v>42</v>
      </c>
      <c r="H710" s="23" t="s">
        <v>3290</v>
      </c>
      <c r="I710" s="24" t="s">
        <v>55</v>
      </c>
      <c r="J710" s="1" t="str">
        <f t="shared" si="0"/>
        <v/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6.25" hidden="1" customHeight="1">
      <c r="A711" s="17">
        <f t="shared" si="1"/>
        <v>708</v>
      </c>
      <c r="B711" s="18" t="s">
        <v>37</v>
      </c>
      <c r="C711" s="19" t="s">
        <v>3291</v>
      </c>
      <c r="D711" s="19" t="s">
        <v>141</v>
      </c>
      <c r="E711" s="20" t="s">
        <v>3292</v>
      </c>
      <c r="F711" s="21" t="s">
        <v>2523</v>
      </c>
      <c r="G711" s="22" t="s">
        <v>42</v>
      </c>
      <c r="H711" s="23" t="s">
        <v>3293</v>
      </c>
      <c r="I711" s="24" t="s">
        <v>20</v>
      </c>
      <c r="J711" s="1" t="str">
        <f t="shared" si="0"/>
        <v>FRIC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6.25" hidden="1" customHeight="1">
      <c r="A712" s="17">
        <f t="shared" si="1"/>
        <v>709</v>
      </c>
      <c r="B712" s="18" t="s">
        <v>233</v>
      </c>
      <c r="C712" s="31" t="s">
        <v>3294</v>
      </c>
      <c r="D712" s="19" t="s">
        <v>45</v>
      </c>
      <c r="E712" s="20" t="s">
        <v>3295</v>
      </c>
      <c r="F712" s="32" t="s">
        <v>222</v>
      </c>
      <c r="G712" s="22" t="s">
        <v>42</v>
      </c>
      <c r="H712" s="23" t="s">
        <v>3296</v>
      </c>
      <c r="I712" s="24" t="s">
        <v>55</v>
      </c>
      <c r="J712" s="1" t="str">
        <f t="shared" si="0"/>
        <v/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6.25" hidden="1" customHeight="1">
      <c r="A713" s="17">
        <f t="shared" si="1"/>
        <v>710</v>
      </c>
      <c r="B713" s="18" t="s">
        <v>175</v>
      </c>
      <c r="C713" s="31" t="s">
        <v>3297</v>
      </c>
      <c r="D713" s="19" t="s">
        <v>3298</v>
      </c>
      <c r="E713" s="20" t="s">
        <v>3299</v>
      </c>
      <c r="F713" s="32" t="s">
        <v>3300</v>
      </c>
      <c r="G713" s="33" t="s">
        <v>42</v>
      </c>
      <c r="H713" s="23" t="s">
        <v>3301</v>
      </c>
      <c r="I713" s="24" t="s">
        <v>55</v>
      </c>
      <c r="J713" s="1" t="str">
        <f t="shared" si="0"/>
        <v/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6.25" hidden="1" customHeight="1">
      <c r="A714" s="17">
        <f t="shared" si="1"/>
        <v>711</v>
      </c>
      <c r="B714" s="18" t="s">
        <v>105</v>
      </c>
      <c r="C714" s="31" t="s">
        <v>3302</v>
      </c>
      <c r="D714" s="19" t="s">
        <v>3303</v>
      </c>
      <c r="E714" s="20" t="s">
        <v>3304</v>
      </c>
      <c r="F714" s="32" t="s">
        <v>252</v>
      </c>
      <c r="G714" s="33" t="s">
        <v>42</v>
      </c>
      <c r="H714" s="23" t="s">
        <v>3305</v>
      </c>
      <c r="I714" s="24" t="s">
        <v>55</v>
      </c>
      <c r="J714" s="1" t="str">
        <f t="shared" si="0"/>
        <v/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6.25" customHeight="1">
      <c r="A715" s="17">
        <f t="shared" si="1"/>
        <v>712</v>
      </c>
      <c r="B715" s="18" t="s">
        <v>105</v>
      </c>
      <c r="C715" s="31" t="s">
        <v>3306</v>
      </c>
      <c r="D715" s="19" t="s">
        <v>2636</v>
      </c>
      <c r="E715" s="20" t="s">
        <v>3307</v>
      </c>
      <c r="F715" s="21" t="s">
        <v>3308</v>
      </c>
      <c r="G715" s="33" t="s">
        <v>42</v>
      </c>
      <c r="H715" s="23" t="s">
        <v>3309</v>
      </c>
      <c r="I715" s="34" t="s">
        <v>20</v>
      </c>
      <c r="J715" s="1" t="str">
        <f t="shared" si="0"/>
        <v>과기</v>
      </c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ht="26.25" customHeight="1">
      <c r="A716" s="17">
        <f t="shared" si="1"/>
        <v>713</v>
      </c>
      <c r="B716" s="18" t="s">
        <v>105</v>
      </c>
      <c r="C716" s="31" t="s">
        <v>3310</v>
      </c>
      <c r="D716" s="19" t="s">
        <v>3046</v>
      </c>
      <c r="E716" s="20" t="s">
        <v>3311</v>
      </c>
      <c r="F716" s="21" t="s">
        <v>3312</v>
      </c>
      <c r="G716" s="33" t="s">
        <v>42</v>
      </c>
      <c r="H716" s="23" t="s">
        <v>3313</v>
      </c>
      <c r="I716" s="34" t="s">
        <v>20</v>
      </c>
      <c r="J716" s="1" t="str">
        <f t="shared" si="0"/>
        <v>과기</v>
      </c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ht="26.25" customHeight="1">
      <c r="A717" s="17">
        <f t="shared" si="1"/>
        <v>714</v>
      </c>
      <c r="B717" s="18" t="s">
        <v>105</v>
      </c>
      <c r="C717" s="31" t="s">
        <v>3314</v>
      </c>
      <c r="D717" s="19" t="s">
        <v>3206</v>
      </c>
      <c r="E717" s="20" t="s">
        <v>3315</v>
      </c>
      <c r="F717" s="21" t="s">
        <v>3316</v>
      </c>
      <c r="G717" s="33" t="s">
        <v>42</v>
      </c>
      <c r="H717" s="23" t="s">
        <v>3317</v>
      </c>
      <c r="I717" s="34" t="s">
        <v>20</v>
      </c>
      <c r="J717" s="1" t="str">
        <f t="shared" si="0"/>
        <v>과기</v>
      </c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ht="26.25" customHeight="1">
      <c r="A718" s="17">
        <f t="shared" si="1"/>
        <v>715</v>
      </c>
      <c r="B718" s="18" t="s">
        <v>13</v>
      </c>
      <c r="C718" s="19" t="s">
        <v>3318</v>
      </c>
      <c r="D718" s="19" t="s">
        <v>3319</v>
      </c>
      <c r="E718" s="20" t="s">
        <v>3320</v>
      </c>
      <c r="F718" s="21" t="s">
        <v>2523</v>
      </c>
      <c r="G718" s="33" t="s">
        <v>53</v>
      </c>
      <c r="H718" s="23" t="s">
        <v>3321</v>
      </c>
      <c r="I718" s="24" t="s">
        <v>20</v>
      </c>
      <c r="J718" s="1" t="str">
        <f t="shared" si="0"/>
        <v>과기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6.25" hidden="1" customHeight="1">
      <c r="A719" s="17">
        <f t="shared" si="1"/>
        <v>716</v>
      </c>
      <c r="B719" s="18" t="s">
        <v>13</v>
      </c>
      <c r="C719" s="19" t="s">
        <v>3322</v>
      </c>
      <c r="D719" s="19" t="s">
        <v>3323</v>
      </c>
      <c r="E719" s="20" t="s">
        <v>3324</v>
      </c>
      <c r="F719" s="21" t="s">
        <v>1075</v>
      </c>
      <c r="G719" s="22" t="s">
        <v>2552</v>
      </c>
      <c r="H719" s="23" t="s">
        <v>3325</v>
      </c>
      <c r="I719" s="24" t="s">
        <v>20</v>
      </c>
      <c r="J719" s="1" t="str">
        <f t="shared" si="0"/>
        <v>FRIC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6.25" hidden="1" customHeight="1">
      <c r="A720" s="17">
        <f t="shared" si="1"/>
        <v>717</v>
      </c>
      <c r="B720" s="18" t="s">
        <v>105</v>
      </c>
      <c r="C720" s="31" t="s">
        <v>3326</v>
      </c>
      <c r="D720" s="19" t="s">
        <v>2501</v>
      </c>
      <c r="E720" s="20" t="s">
        <v>58</v>
      </c>
      <c r="F720" s="32" t="s">
        <v>3327</v>
      </c>
      <c r="G720" s="33" t="s">
        <v>42</v>
      </c>
      <c r="H720" s="23" t="s">
        <v>3328</v>
      </c>
      <c r="I720" s="24" t="s">
        <v>55</v>
      </c>
      <c r="J720" s="1" t="str">
        <f t="shared" si="0"/>
        <v/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6.25" hidden="1" customHeight="1">
      <c r="A721" s="17">
        <f t="shared" si="1"/>
        <v>718</v>
      </c>
      <c r="B721" s="18" t="s">
        <v>105</v>
      </c>
      <c r="C721" s="31" t="s">
        <v>3329</v>
      </c>
      <c r="D721" s="19" t="s">
        <v>1338</v>
      </c>
      <c r="E721" s="20" t="s">
        <v>3330</v>
      </c>
      <c r="F721" s="32" t="s">
        <v>3331</v>
      </c>
      <c r="G721" s="33" t="s">
        <v>42</v>
      </c>
      <c r="H721" s="23" t="s">
        <v>3332</v>
      </c>
      <c r="I721" s="24" t="s">
        <v>55</v>
      </c>
      <c r="J721" s="1" t="str">
        <f t="shared" si="0"/>
        <v/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6.25" hidden="1" customHeight="1">
      <c r="A722" s="17">
        <f t="shared" si="1"/>
        <v>719</v>
      </c>
      <c r="B722" s="18" t="s">
        <v>13</v>
      </c>
      <c r="C722" s="31" t="s">
        <v>3333</v>
      </c>
      <c r="D722" s="19" t="s">
        <v>3334</v>
      </c>
      <c r="E722" s="20" t="s">
        <v>937</v>
      </c>
      <c r="F722" s="32" t="s">
        <v>170</v>
      </c>
      <c r="G722" s="33" t="s">
        <v>42</v>
      </c>
      <c r="H722" s="23" t="s">
        <v>3335</v>
      </c>
      <c r="I722" s="24" t="s">
        <v>55</v>
      </c>
      <c r="J722" s="1" t="str">
        <f t="shared" si="0"/>
        <v/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6.25" hidden="1" customHeight="1">
      <c r="A723" s="17">
        <f t="shared" si="1"/>
        <v>720</v>
      </c>
      <c r="B723" s="18" t="s">
        <v>105</v>
      </c>
      <c r="C723" s="31" t="s">
        <v>3336</v>
      </c>
      <c r="D723" s="19" t="s">
        <v>2455</v>
      </c>
      <c r="E723" s="20" t="s">
        <v>3337</v>
      </c>
      <c r="F723" s="32" t="s">
        <v>3338</v>
      </c>
      <c r="G723" s="33" t="s">
        <v>42</v>
      </c>
      <c r="H723" s="23" t="s">
        <v>3339</v>
      </c>
      <c r="I723" s="24" t="s">
        <v>55</v>
      </c>
      <c r="J723" s="1" t="str">
        <f t="shared" si="0"/>
        <v/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6.25" customHeight="1">
      <c r="A724" s="17">
        <f t="shared" si="1"/>
        <v>721</v>
      </c>
      <c r="B724" s="18" t="s">
        <v>105</v>
      </c>
      <c r="C724" s="31" t="s">
        <v>3340</v>
      </c>
      <c r="D724" s="19" t="s">
        <v>124</v>
      </c>
      <c r="E724" s="20" t="s">
        <v>3341</v>
      </c>
      <c r="F724" s="21" t="s">
        <v>2062</v>
      </c>
      <c r="G724" s="33" t="s">
        <v>63</v>
      </c>
      <c r="H724" s="23" t="s">
        <v>3342</v>
      </c>
      <c r="I724" s="34" t="s">
        <v>20</v>
      </c>
      <c r="J724" s="1" t="str">
        <f t="shared" si="0"/>
        <v>과기</v>
      </c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ht="26.25" hidden="1" customHeight="1">
      <c r="A725" s="17">
        <f t="shared" si="1"/>
        <v>722</v>
      </c>
      <c r="B725" s="18" t="s">
        <v>27</v>
      </c>
      <c r="C725" s="31" t="s">
        <v>3343</v>
      </c>
      <c r="D725" s="19" t="s">
        <v>3344</v>
      </c>
      <c r="E725" s="20" t="s">
        <v>991</v>
      </c>
      <c r="F725" s="32" t="s">
        <v>170</v>
      </c>
      <c r="G725" s="22" t="s">
        <v>53</v>
      </c>
      <c r="H725" s="23" t="s">
        <v>3345</v>
      </c>
      <c r="I725" s="24" t="s">
        <v>55</v>
      </c>
      <c r="J725" s="1" t="str">
        <f t="shared" si="0"/>
        <v/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6.25" hidden="1" customHeight="1">
      <c r="A726" s="17">
        <f t="shared" si="1"/>
        <v>723</v>
      </c>
      <c r="B726" s="18" t="s">
        <v>27</v>
      </c>
      <c r="C726" s="31" t="s">
        <v>3346</v>
      </c>
      <c r="D726" s="19" t="s">
        <v>246</v>
      </c>
      <c r="E726" s="20" t="s">
        <v>247</v>
      </c>
      <c r="F726" s="32" t="s">
        <v>3347</v>
      </c>
      <c r="G726" s="22" t="s">
        <v>1086</v>
      </c>
      <c r="H726" s="23" t="s">
        <v>3348</v>
      </c>
      <c r="I726" s="24" t="s">
        <v>55</v>
      </c>
      <c r="J726" s="1" t="str">
        <f t="shared" si="0"/>
        <v/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6.25" customHeight="1">
      <c r="A727" s="17">
        <f t="shared" si="1"/>
        <v>724</v>
      </c>
      <c r="B727" s="18" t="s">
        <v>105</v>
      </c>
      <c r="C727" s="31" t="s">
        <v>3349</v>
      </c>
      <c r="D727" s="19" t="s">
        <v>3350</v>
      </c>
      <c r="E727" s="20" t="s">
        <v>3351</v>
      </c>
      <c r="F727" s="21" t="s">
        <v>3352</v>
      </c>
      <c r="G727" s="33" t="s">
        <v>1086</v>
      </c>
      <c r="H727" s="23" t="s">
        <v>3353</v>
      </c>
      <c r="I727" s="34" t="s">
        <v>20</v>
      </c>
      <c r="J727" s="1" t="str">
        <f t="shared" si="0"/>
        <v>과기</v>
      </c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ht="26.25" hidden="1" customHeight="1">
      <c r="A728" s="17">
        <f t="shared" si="1"/>
        <v>725</v>
      </c>
      <c r="B728" s="18" t="s">
        <v>13</v>
      </c>
      <c r="C728" s="31" t="s">
        <v>800</v>
      </c>
      <c r="D728" s="19" t="s">
        <v>3354</v>
      </c>
      <c r="E728" s="20" t="s">
        <v>802</v>
      </c>
      <c r="F728" s="32" t="s">
        <v>170</v>
      </c>
      <c r="G728" s="22" t="s">
        <v>63</v>
      </c>
      <c r="H728" s="23" t="s">
        <v>3355</v>
      </c>
      <c r="I728" s="24" t="s">
        <v>55</v>
      </c>
      <c r="J728" s="1" t="str">
        <f t="shared" si="0"/>
        <v/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6.25" hidden="1" customHeight="1">
      <c r="A729" s="17">
        <f t="shared" si="1"/>
        <v>726</v>
      </c>
      <c r="B729" s="18" t="s">
        <v>81</v>
      </c>
      <c r="C729" s="31" t="s">
        <v>3356</v>
      </c>
      <c r="D729" s="19" t="s">
        <v>271</v>
      </c>
      <c r="E729" s="20" t="s">
        <v>3357</v>
      </c>
      <c r="F729" s="32" t="s">
        <v>3358</v>
      </c>
      <c r="G729" s="33" t="s">
        <v>42</v>
      </c>
      <c r="H729" s="23" t="s">
        <v>3359</v>
      </c>
      <c r="I729" s="24" t="s">
        <v>55</v>
      </c>
      <c r="J729" s="1" t="str">
        <f t="shared" si="0"/>
        <v/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6.25" customHeight="1">
      <c r="A730" s="17">
        <f t="shared" si="1"/>
        <v>727</v>
      </c>
      <c r="B730" s="18" t="s">
        <v>233</v>
      </c>
      <c r="C730" s="19" t="s">
        <v>3360</v>
      </c>
      <c r="D730" s="19" t="s">
        <v>141</v>
      </c>
      <c r="E730" s="20" t="s">
        <v>3361</v>
      </c>
      <c r="F730" s="21" t="s">
        <v>293</v>
      </c>
      <c r="G730" s="22" t="s">
        <v>42</v>
      </c>
      <c r="H730" s="23" t="s">
        <v>3362</v>
      </c>
      <c r="I730" s="24" t="s">
        <v>20</v>
      </c>
      <c r="J730" s="1" t="str">
        <f t="shared" si="0"/>
        <v>과기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6.25" hidden="1" customHeight="1">
      <c r="A731" s="17">
        <f t="shared" si="1"/>
        <v>728</v>
      </c>
      <c r="B731" s="18" t="s">
        <v>132</v>
      </c>
      <c r="C731" s="31" t="s">
        <v>3363</v>
      </c>
      <c r="D731" s="19" t="s">
        <v>1068</v>
      </c>
      <c r="E731" s="20" t="s">
        <v>3364</v>
      </c>
      <c r="F731" s="32" t="s">
        <v>222</v>
      </c>
      <c r="G731" s="22" t="s">
        <v>42</v>
      </c>
      <c r="H731" s="23" t="s">
        <v>3365</v>
      </c>
      <c r="I731" s="24" t="s">
        <v>55</v>
      </c>
      <c r="J731" s="1" t="str">
        <f t="shared" si="0"/>
        <v/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6.25" hidden="1" customHeight="1">
      <c r="A732" s="17">
        <f t="shared" si="1"/>
        <v>729</v>
      </c>
      <c r="B732" s="18" t="s">
        <v>37</v>
      </c>
      <c r="C732" s="19" t="s">
        <v>3366</v>
      </c>
      <c r="D732" s="19" t="s">
        <v>124</v>
      </c>
      <c r="E732" s="20" t="s">
        <v>3367</v>
      </c>
      <c r="F732" s="21" t="s">
        <v>135</v>
      </c>
      <c r="G732" s="22" t="s">
        <v>42</v>
      </c>
      <c r="H732" s="23" t="s">
        <v>3368</v>
      </c>
      <c r="I732" s="24" t="s">
        <v>20</v>
      </c>
      <c r="J732" s="1" t="str">
        <f t="shared" si="0"/>
        <v>FRIC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6.25" hidden="1" customHeight="1">
      <c r="A733" s="17">
        <f t="shared" si="1"/>
        <v>730</v>
      </c>
      <c r="B733" s="18" t="s">
        <v>13</v>
      </c>
      <c r="C733" s="19" t="s">
        <v>3369</v>
      </c>
      <c r="D733" s="19" t="s">
        <v>124</v>
      </c>
      <c r="E733" s="20" t="s">
        <v>3370</v>
      </c>
      <c r="F733" s="21" t="s">
        <v>135</v>
      </c>
      <c r="G733" s="22" t="s">
        <v>42</v>
      </c>
      <c r="H733" s="23" t="s">
        <v>3371</v>
      </c>
      <c r="I733" s="24" t="s">
        <v>20</v>
      </c>
      <c r="J733" s="1" t="str">
        <f t="shared" si="0"/>
        <v>FRIC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6.25" hidden="1" customHeight="1">
      <c r="A734" s="17">
        <f t="shared" si="1"/>
        <v>731</v>
      </c>
      <c r="B734" s="18" t="s">
        <v>27</v>
      </c>
      <c r="C734" s="19" t="s">
        <v>3372</v>
      </c>
      <c r="D734" s="19" t="s">
        <v>124</v>
      </c>
      <c r="E734" s="20" t="s">
        <v>3373</v>
      </c>
      <c r="F734" s="21" t="s">
        <v>135</v>
      </c>
      <c r="G734" s="22" t="s">
        <v>42</v>
      </c>
      <c r="H734" s="23" t="s">
        <v>3374</v>
      </c>
      <c r="I734" s="24" t="s">
        <v>20</v>
      </c>
      <c r="J734" s="1" t="str">
        <f t="shared" si="0"/>
        <v>FRIC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6.25" hidden="1" customHeight="1">
      <c r="A735" s="17">
        <f t="shared" si="1"/>
        <v>732</v>
      </c>
      <c r="B735" s="18" t="s">
        <v>105</v>
      </c>
      <c r="C735" s="31" t="s">
        <v>3375</v>
      </c>
      <c r="D735" s="19" t="s">
        <v>374</v>
      </c>
      <c r="E735" s="20" t="s">
        <v>3376</v>
      </c>
      <c r="F735" s="32" t="s">
        <v>3377</v>
      </c>
      <c r="G735" s="33" t="s">
        <v>42</v>
      </c>
      <c r="H735" s="23" t="s">
        <v>3378</v>
      </c>
      <c r="I735" s="24" t="s">
        <v>55</v>
      </c>
      <c r="J735" s="1" t="str">
        <f t="shared" si="0"/>
        <v/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6.25" hidden="1" customHeight="1">
      <c r="A736" s="17">
        <f t="shared" si="1"/>
        <v>733</v>
      </c>
      <c r="B736" s="18" t="s">
        <v>37</v>
      </c>
      <c r="C736" s="19" t="s">
        <v>3379</v>
      </c>
      <c r="D736" s="19" t="s">
        <v>141</v>
      </c>
      <c r="E736" s="20" t="s">
        <v>3380</v>
      </c>
      <c r="F736" s="21" t="s">
        <v>3381</v>
      </c>
      <c r="G736" s="22" t="s">
        <v>42</v>
      </c>
      <c r="H736" s="23" t="s">
        <v>3382</v>
      </c>
      <c r="I736" s="24" t="s">
        <v>20</v>
      </c>
      <c r="J736" s="1" t="str">
        <f t="shared" si="0"/>
        <v>FRIC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6.25" hidden="1" customHeight="1">
      <c r="A737" s="17">
        <f t="shared" si="1"/>
        <v>734</v>
      </c>
      <c r="B737" s="18" t="s">
        <v>27</v>
      </c>
      <c r="C737" s="31" t="s">
        <v>1083</v>
      </c>
      <c r="D737" s="19" t="s">
        <v>3383</v>
      </c>
      <c r="E737" s="20" t="s">
        <v>1085</v>
      </c>
      <c r="F737" s="32" t="s">
        <v>170</v>
      </c>
      <c r="G737" s="22" t="s">
        <v>53</v>
      </c>
      <c r="H737" s="23" t="s">
        <v>3384</v>
      </c>
      <c r="I737" s="24" t="s">
        <v>55</v>
      </c>
      <c r="J737" s="1" t="str">
        <f t="shared" si="0"/>
        <v/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6.25" customHeight="1">
      <c r="A738" s="17">
        <f t="shared" si="1"/>
        <v>735</v>
      </c>
      <c r="B738" s="18" t="s">
        <v>175</v>
      </c>
      <c r="C738" s="31" t="s">
        <v>3385</v>
      </c>
      <c r="D738" s="19" t="s">
        <v>3386</v>
      </c>
      <c r="E738" s="20" t="s">
        <v>3387</v>
      </c>
      <c r="F738" s="21" t="s">
        <v>2200</v>
      </c>
      <c r="G738" s="33" t="s">
        <v>42</v>
      </c>
      <c r="H738" s="23" t="s">
        <v>3388</v>
      </c>
      <c r="I738" s="34" t="s">
        <v>20</v>
      </c>
      <c r="J738" s="1" t="str">
        <f t="shared" si="0"/>
        <v>과기</v>
      </c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ht="26.25" hidden="1" customHeight="1">
      <c r="A739" s="17">
        <f t="shared" si="1"/>
        <v>736</v>
      </c>
      <c r="B739" s="18" t="s">
        <v>175</v>
      </c>
      <c r="C739" s="31" t="s">
        <v>3389</v>
      </c>
      <c r="D739" s="19" t="s">
        <v>3390</v>
      </c>
      <c r="E739" s="20" t="s">
        <v>3391</v>
      </c>
      <c r="F739" s="32" t="s">
        <v>3392</v>
      </c>
      <c r="G739" s="33" t="s">
        <v>42</v>
      </c>
      <c r="H739" s="23" t="s">
        <v>3393</v>
      </c>
      <c r="I739" s="24" t="s">
        <v>55</v>
      </c>
      <c r="J739" s="1" t="str">
        <f t="shared" si="0"/>
        <v/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6.25" hidden="1" customHeight="1">
      <c r="A740" s="17">
        <f t="shared" si="1"/>
        <v>737</v>
      </c>
      <c r="B740" s="18" t="s">
        <v>2181</v>
      </c>
      <c r="C740" s="31" t="s">
        <v>3394</v>
      </c>
      <c r="D740" s="19" t="s">
        <v>141</v>
      </c>
      <c r="E740" s="20" t="s">
        <v>3395</v>
      </c>
      <c r="F740" s="32" t="s">
        <v>3396</v>
      </c>
      <c r="G740" s="33" t="s">
        <v>350</v>
      </c>
      <c r="H740" s="23" t="s">
        <v>3397</v>
      </c>
      <c r="I740" s="24" t="s">
        <v>55</v>
      </c>
      <c r="J740" s="1" t="str">
        <f t="shared" si="0"/>
        <v/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6.25" customHeight="1">
      <c r="A741" s="17">
        <f t="shared" si="1"/>
        <v>738</v>
      </c>
      <c r="B741" s="18" t="s">
        <v>1375</v>
      </c>
      <c r="C741" s="19" t="s">
        <v>3398</v>
      </c>
      <c r="D741" s="19" t="s">
        <v>45</v>
      </c>
      <c r="E741" s="20" t="s">
        <v>3399</v>
      </c>
      <c r="F741" s="21" t="s">
        <v>135</v>
      </c>
      <c r="G741" s="22" t="s">
        <v>42</v>
      </c>
      <c r="H741" s="23" t="s">
        <v>3400</v>
      </c>
      <c r="I741" s="24" t="s">
        <v>20</v>
      </c>
      <c r="J741" s="1" t="str">
        <f t="shared" si="0"/>
        <v>과기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6.25" hidden="1" customHeight="1">
      <c r="A742" s="17">
        <f t="shared" si="1"/>
        <v>739</v>
      </c>
      <c r="B742" s="18" t="s">
        <v>175</v>
      </c>
      <c r="C742" s="31" t="s">
        <v>3401</v>
      </c>
      <c r="D742" s="19" t="s">
        <v>3298</v>
      </c>
      <c r="E742" s="20" t="s">
        <v>3402</v>
      </c>
      <c r="F742" s="32" t="s">
        <v>3403</v>
      </c>
      <c r="G742" s="33" t="s">
        <v>42</v>
      </c>
      <c r="H742" s="23" t="s">
        <v>3404</v>
      </c>
      <c r="I742" s="24" t="s">
        <v>55</v>
      </c>
      <c r="J742" s="1" t="str">
        <f t="shared" si="0"/>
        <v/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6.25" hidden="1" customHeight="1">
      <c r="A743" s="17">
        <f t="shared" si="1"/>
        <v>740</v>
      </c>
      <c r="B743" s="18" t="s">
        <v>132</v>
      </c>
      <c r="C743" s="19" t="s">
        <v>3405</v>
      </c>
      <c r="D743" s="19" t="s">
        <v>141</v>
      </c>
      <c r="E743" s="20" t="s">
        <v>1517</v>
      </c>
      <c r="F743" s="32" t="s">
        <v>52</v>
      </c>
      <c r="G743" s="22" t="s">
        <v>42</v>
      </c>
      <c r="H743" s="23" t="s">
        <v>3406</v>
      </c>
      <c r="I743" s="34" t="s">
        <v>55</v>
      </c>
      <c r="J743" s="1" t="str">
        <f t="shared" si="0"/>
        <v/>
      </c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ht="26.25" hidden="1" customHeight="1">
      <c r="A744" s="17">
        <f t="shared" si="1"/>
        <v>741</v>
      </c>
      <c r="B744" s="18" t="s">
        <v>233</v>
      </c>
      <c r="C744" s="31" t="s">
        <v>3407</v>
      </c>
      <c r="D744" s="19" t="s">
        <v>3408</v>
      </c>
      <c r="E744" s="20" t="s">
        <v>122</v>
      </c>
      <c r="F744" s="32" t="s">
        <v>3409</v>
      </c>
      <c r="G744" s="22" t="s">
        <v>42</v>
      </c>
      <c r="H744" s="23" t="s">
        <v>3410</v>
      </c>
      <c r="I744" s="24" t="s">
        <v>55</v>
      </c>
      <c r="J744" s="1" t="str">
        <f t="shared" si="0"/>
        <v/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6.25" hidden="1" customHeight="1">
      <c r="A745" s="17">
        <f t="shared" si="1"/>
        <v>742</v>
      </c>
      <c r="B745" s="18" t="s">
        <v>37</v>
      </c>
      <c r="C745" s="19" t="s">
        <v>3411</v>
      </c>
      <c r="D745" s="19" t="s">
        <v>499</v>
      </c>
      <c r="E745" s="20" t="s">
        <v>3412</v>
      </c>
      <c r="F745" s="21" t="s">
        <v>3266</v>
      </c>
      <c r="G745" s="22" t="s">
        <v>42</v>
      </c>
      <c r="H745" s="23" t="s">
        <v>3413</v>
      </c>
      <c r="I745" s="24" t="s">
        <v>20</v>
      </c>
      <c r="J745" s="1" t="str">
        <f t="shared" si="0"/>
        <v>FRIC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6.25" hidden="1" customHeight="1">
      <c r="A746" s="17">
        <f t="shared" si="1"/>
        <v>743</v>
      </c>
      <c r="B746" s="18" t="s">
        <v>105</v>
      </c>
      <c r="C746" s="31" t="s">
        <v>3414</v>
      </c>
      <c r="D746" s="19" t="s">
        <v>3415</v>
      </c>
      <c r="E746" s="20" t="s">
        <v>3416</v>
      </c>
      <c r="F746" s="32" t="s">
        <v>738</v>
      </c>
      <c r="G746" s="33" t="s">
        <v>42</v>
      </c>
      <c r="H746" s="23" t="s">
        <v>3417</v>
      </c>
      <c r="I746" s="24" t="s">
        <v>55</v>
      </c>
      <c r="J746" s="1" t="str">
        <f t="shared" si="0"/>
        <v/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6.25" hidden="1" customHeight="1">
      <c r="A747" s="17">
        <f t="shared" si="1"/>
        <v>744</v>
      </c>
      <c r="B747" s="18" t="s">
        <v>1375</v>
      </c>
      <c r="C747" s="31" t="s">
        <v>3418</v>
      </c>
      <c r="D747" s="19" t="s">
        <v>1162</v>
      </c>
      <c r="E747" s="20" t="s">
        <v>1163</v>
      </c>
      <c r="F747" s="32" t="s">
        <v>3419</v>
      </c>
      <c r="G747" s="22" t="s">
        <v>53</v>
      </c>
      <c r="H747" s="23" t="s">
        <v>3420</v>
      </c>
      <c r="I747" s="24" t="s">
        <v>55</v>
      </c>
      <c r="J747" s="1" t="str">
        <f t="shared" si="0"/>
        <v/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6.25" hidden="1" customHeight="1">
      <c r="A748" s="17">
        <f t="shared" si="1"/>
        <v>745</v>
      </c>
      <c r="B748" s="18" t="s">
        <v>146</v>
      </c>
      <c r="C748" s="31" t="s">
        <v>3421</v>
      </c>
      <c r="D748" s="19" t="s">
        <v>1181</v>
      </c>
      <c r="E748" s="20" t="s">
        <v>1182</v>
      </c>
      <c r="F748" s="32" t="s">
        <v>170</v>
      </c>
      <c r="G748" s="33" t="s">
        <v>31</v>
      </c>
      <c r="H748" s="23" t="s">
        <v>3422</v>
      </c>
      <c r="I748" s="24" t="s">
        <v>55</v>
      </c>
      <c r="J748" s="1" t="str">
        <f t="shared" si="0"/>
        <v/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6.25" hidden="1" customHeight="1">
      <c r="A749" s="17">
        <f t="shared" si="1"/>
        <v>746</v>
      </c>
      <c r="B749" s="18" t="s">
        <v>175</v>
      </c>
      <c r="C749" s="31" t="s">
        <v>3423</v>
      </c>
      <c r="D749" s="19" t="s">
        <v>2858</v>
      </c>
      <c r="E749" s="20" t="s">
        <v>3424</v>
      </c>
      <c r="F749" s="32" t="s">
        <v>3425</v>
      </c>
      <c r="G749" s="33" t="s">
        <v>42</v>
      </c>
      <c r="H749" s="23" t="s">
        <v>3426</v>
      </c>
      <c r="I749" s="24" t="s">
        <v>55</v>
      </c>
      <c r="J749" s="1" t="str">
        <f t="shared" si="0"/>
        <v/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6.25" hidden="1" customHeight="1">
      <c r="A750" s="17">
        <f t="shared" si="1"/>
        <v>747</v>
      </c>
      <c r="B750" s="18" t="s">
        <v>132</v>
      </c>
      <c r="C750" s="31" t="s">
        <v>3427</v>
      </c>
      <c r="D750" s="19" t="s">
        <v>374</v>
      </c>
      <c r="E750" s="20" t="s">
        <v>3428</v>
      </c>
      <c r="F750" s="32" t="s">
        <v>416</v>
      </c>
      <c r="G750" s="33" t="s">
        <v>42</v>
      </c>
      <c r="H750" s="23" t="s">
        <v>3429</v>
      </c>
      <c r="I750" s="24" t="s">
        <v>55</v>
      </c>
      <c r="J750" s="1" t="str">
        <f t="shared" si="0"/>
        <v/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6.25" hidden="1" customHeight="1">
      <c r="A751" s="17">
        <f t="shared" si="1"/>
        <v>748</v>
      </c>
      <c r="B751" s="18" t="s">
        <v>13</v>
      </c>
      <c r="C751" s="31" t="s">
        <v>3430</v>
      </c>
      <c r="D751" s="19" t="s">
        <v>3431</v>
      </c>
      <c r="E751" s="20" t="s">
        <v>3432</v>
      </c>
      <c r="F751" s="32" t="s">
        <v>3433</v>
      </c>
      <c r="G751" s="33" t="s">
        <v>63</v>
      </c>
      <c r="H751" s="23" t="s">
        <v>3434</v>
      </c>
      <c r="I751" s="24" t="s">
        <v>55</v>
      </c>
      <c r="J751" s="1" t="str">
        <f t="shared" si="0"/>
        <v/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6.25" hidden="1" customHeight="1">
      <c r="A752" s="17">
        <f t="shared" si="1"/>
        <v>749</v>
      </c>
      <c r="B752" s="18" t="s">
        <v>175</v>
      </c>
      <c r="C752" s="31" t="s">
        <v>3435</v>
      </c>
      <c r="D752" s="19" t="s">
        <v>2072</v>
      </c>
      <c r="E752" s="20" t="s">
        <v>3436</v>
      </c>
      <c r="F752" s="32" t="s">
        <v>3437</v>
      </c>
      <c r="G752" s="33" t="s">
        <v>42</v>
      </c>
      <c r="H752" s="23" t="s">
        <v>3438</v>
      </c>
      <c r="I752" s="24" t="s">
        <v>55</v>
      </c>
      <c r="J752" s="1" t="str">
        <f t="shared" si="0"/>
        <v/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6.25" hidden="1" customHeight="1">
      <c r="A753" s="17">
        <f t="shared" si="1"/>
        <v>750</v>
      </c>
      <c r="B753" s="18" t="s">
        <v>105</v>
      </c>
      <c r="C753" s="31" t="s">
        <v>3439</v>
      </c>
      <c r="D753" s="19" t="s">
        <v>1546</v>
      </c>
      <c r="E753" s="20" t="s">
        <v>1547</v>
      </c>
      <c r="F753" s="32" t="s">
        <v>2902</v>
      </c>
      <c r="G753" s="33" t="s">
        <v>53</v>
      </c>
      <c r="H753" s="23" t="s">
        <v>3440</v>
      </c>
      <c r="I753" s="34" t="s">
        <v>55</v>
      </c>
      <c r="J753" s="1" t="str">
        <f t="shared" si="0"/>
        <v/>
      </c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ht="26.25" hidden="1" customHeight="1">
      <c r="A754" s="17">
        <f t="shared" si="1"/>
        <v>751</v>
      </c>
      <c r="B754" s="18" t="s">
        <v>13</v>
      </c>
      <c r="C754" s="31" t="s">
        <v>3441</v>
      </c>
      <c r="D754" s="19" t="s">
        <v>3442</v>
      </c>
      <c r="E754" s="20" t="s">
        <v>3443</v>
      </c>
      <c r="F754" s="32" t="s">
        <v>3444</v>
      </c>
      <c r="G754" s="22" t="s">
        <v>1086</v>
      </c>
      <c r="H754" s="23" t="s">
        <v>3445</v>
      </c>
      <c r="I754" s="24" t="s">
        <v>55</v>
      </c>
      <c r="J754" s="1" t="str">
        <f t="shared" si="0"/>
        <v/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6.25" hidden="1" customHeight="1">
      <c r="A755" s="17">
        <f t="shared" si="1"/>
        <v>752</v>
      </c>
      <c r="B755" s="18" t="s">
        <v>1375</v>
      </c>
      <c r="C755" s="31" t="s">
        <v>3446</v>
      </c>
      <c r="D755" s="19" t="s">
        <v>3447</v>
      </c>
      <c r="E755" s="20" t="s">
        <v>3448</v>
      </c>
      <c r="F755" s="32" t="s">
        <v>3449</v>
      </c>
      <c r="G755" s="22" t="s">
        <v>53</v>
      </c>
      <c r="H755" s="23" t="s">
        <v>3450</v>
      </c>
      <c r="I755" s="24" t="s">
        <v>55</v>
      </c>
      <c r="J755" s="1" t="str">
        <f t="shared" si="0"/>
        <v/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6.25" hidden="1" customHeight="1">
      <c r="A756" s="17">
        <f t="shared" si="1"/>
        <v>753</v>
      </c>
      <c r="B756" s="18" t="s">
        <v>1375</v>
      </c>
      <c r="C756" s="31" t="s">
        <v>3451</v>
      </c>
      <c r="D756" s="19" t="s">
        <v>3452</v>
      </c>
      <c r="E756" s="20" t="s">
        <v>3453</v>
      </c>
      <c r="F756" s="32" t="s">
        <v>3454</v>
      </c>
      <c r="G756" s="22" t="s">
        <v>53</v>
      </c>
      <c r="H756" s="23" t="s">
        <v>3455</v>
      </c>
      <c r="I756" s="24" t="s">
        <v>55</v>
      </c>
      <c r="J756" s="1" t="str">
        <f t="shared" si="0"/>
        <v/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6.25" hidden="1" customHeight="1">
      <c r="A757" s="17">
        <f t="shared" si="1"/>
        <v>754</v>
      </c>
      <c r="B757" s="18" t="s">
        <v>37</v>
      </c>
      <c r="C757" s="31" t="s">
        <v>3456</v>
      </c>
      <c r="D757" s="19" t="s">
        <v>1804</v>
      </c>
      <c r="E757" s="20"/>
      <c r="F757" s="32" t="s">
        <v>170</v>
      </c>
      <c r="G757" s="33" t="s">
        <v>53</v>
      </c>
      <c r="H757" s="23" t="s">
        <v>3457</v>
      </c>
      <c r="I757" s="24" t="s">
        <v>55</v>
      </c>
      <c r="J757" s="1" t="str">
        <f t="shared" si="0"/>
        <v/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6.25" customHeight="1">
      <c r="A758" s="17">
        <f t="shared" si="1"/>
        <v>755</v>
      </c>
      <c r="B758" s="18" t="s">
        <v>867</v>
      </c>
      <c r="C758" s="31" t="s">
        <v>3458</v>
      </c>
      <c r="D758" s="19" t="s">
        <v>3459</v>
      </c>
      <c r="E758" s="20" t="s">
        <v>3460</v>
      </c>
      <c r="F758" s="21" t="s">
        <v>2284</v>
      </c>
      <c r="G758" s="33" t="s">
        <v>42</v>
      </c>
      <c r="H758" s="23" t="s">
        <v>3461</v>
      </c>
      <c r="I758" s="24" t="s">
        <v>20</v>
      </c>
      <c r="J758" s="1" t="str">
        <f t="shared" si="0"/>
        <v>과기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6.25" hidden="1" customHeight="1">
      <c r="A759" s="17">
        <f t="shared" si="1"/>
        <v>756</v>
      </c>
      <c r="B759" s="18" t="s">
        <v>867</v>
      </c>
      <c r="C759" s="31" t="s">
        <v>3462</v>
      </c>
      <c r="D759" s="19" t="s">
        <v>3463</v>
      </c>
      <c r="E759" s="20" t="s">
        <v>3464</v>
      </c>
      <c r="F759" s="32" t="s">
        <v>3465</v>
      </c>
      <c r="G759" s="33" t="s">
        <v>53</v>
      </c>
      <c r="H759" s="23" t="s">
        <v>3466</v>
      </c>
      <c r="I759" s="24" t="s">
        <v>55</v>
      </c>
      <c r="J759" s="1" t="str">
        <f t="shared" si="0"/>
        <v/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6.25" hidden="1" customHeight="1">
      <c r="A760" s="17">
        <f t="shared" si="1"/>
        <v>757</v>
      </c>
      <c r="B760" s="18" t="s">
        <v>132</v>
      </c>
      <c r="C760" s="31" t="s">
        <v>3467</v>
      </c>
      <c r="D760" s="19" t="s">
        <v>3468</v>
      </c>
      <c r="E760" s="20" t="s">
        <v>1235</v>
      </c>
      <c r="F760" s="32" t="s">
        <v>170</v>
      </c>
      <c r="G760" s="22" t="s">
        <v>42</v>
      </c>
      <c r="H760" s="23" t="s">
        <v>3469</v>
      </c>
      <c r="I760" s="24" t="s">
        <v>55</v>
      </c>
      <c r="J760" s="1" t="str">
        <f t="shared" si="0"/>
        <v/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6.25" hidden="1" customHeight="1">
      <c r="A761" s="17">
        <f t="shared" si="1"/>
        <v>758</v>
      </c>
      <c r="B761" s="18" t="s">
        <v>37</v>
      </c>
      <c r="C761" s="19" t="s">
        <v>3470</v>
      </c>
      <c r="D761" s="19" t="s">
        <v>173</v>
      </c>
      <c r="E761" s="20" t="s">
        <v>3471</v>
      </c>
      <c r="F761" s="21" t="s">
        <v>905</v>
      </c>
      <c r="G761" s="22" t="s">
        <v>31</v>
      </c>
      <c r="H761" s="23" t="s">
        <v>3472</v>
      </c>
      <c r="I761" s="24" t="s">
        <v>20</v>
      </c>
      <c r="J761" s="1" t="str">
        <f t="shared" si="0"/>
        <v>FRIC</v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6.25" hidden="1" customHeight="1">
      <c r="A762" s="17">
        <f t="shared" si="1"/>
        <v>759</v>
      </c>
      <c r="B762" s="18" t="s">
        <v>233</v>
      </c>
      <c r="C762" s="31" t="s">
        <v>3473</v>
      </c>
      <c r="D762" s="19" t="s">
        <v>3474</v>
      </c>
      <c r="E762" s="20" t="s">
        <v>3475</v>
      </c>
      <c r="F762" s="32" t="s">
        <v>3476</v>
      </c>
      <c r="G762" s="22" t="s">
        <v>42</v>
      </c>
      <c r="H762" s="23" t="s">
        <v>3477</v>
      </c>
      <c r="I762" s="24" t="s">
        <v>55</v>
      </c>
      <c r="J762" s="1" t="str">
        <f t="shared" si="0"/>
        <v/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6.25" hidden="1" customHeight="1">
      <c r="A763" s="17">
        <f t="shared" si="1"/>
        <v>760</v>
      </c>
      <c r="B763" s="18" t="s">
        <v>1375</v>
      </c>
      <c r="C763" s="19" t="s">
        <v>3478</v>
      </c>
      <c r="D763" s="19" t="s">
        <v>1162</v>
      </c>
      <c r="E763" s="20" t="s">
        <v>3479</v>
      </c>
      <c r="F763" s="21" t="s">
        <v>293</v>
      </c>
      <c r="G763" s="22" t="s">
        <v>31</v>
      </c>
      <c r="H763" s="23" t="s">
        <v>3480</v>
      </c>
      <c r="I763" s="24" t="s">
        <v>20</v>
      </c>
      <c r="J763" s="1" t="str">
        <f t="shared" si="0"/>
        <v>FRIC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6.25" hidden="1" customHeight="1">
      <c r="A764" s="17">
        <f t="shared" si="1"/>
        <v>761</v>
      </c>
      <c r="B764" s="18" t="s">
        <v>132</v>
      </c>
      <c r="C764" s="31" t="s">
        <v>1551</v>
      </c>
      <c r="D764" s="19" t="s">
        <v>3481</v>
      </c>
      <c r="E764" s="20" t="s">
        <v>1553</v>
      </c>
      <c r="F764" s="32" t="s">
        <v>52</v>
      </c>
      <c r="G764" s="22" t="s">
        <v>53</v>
      </c>
      <c r="H764" s="23" t="s">
        <v>3482</v>
      </c>
      <c r="I764" s="34" t="s">
        <v>55</v>
      </c>
      <c r="J764" s="1" t="str">
        <f t="shared" si="0"/>
        <v/>
      </c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ht="26.25" hidden="1" customHeight="1">
      <c r="A765" s="17">
        <f t="shared" si="1"/>
        <v>762</v>
      </c>
      <c r="B765" s="18" t="s">
        <v>132</v>
      </c>
      <c r="C765" s="31" t="s">
        <v>352</v>
      </c>
      <c r="D765" s="19" t="s">
        <v>141</v>
      </c>
      <c r="E765" s="20" t="s">
        <v>354</v>
      </c>
      <c r="F765" s="32" t="s">
        <v>3483</v>
      </c>
      <c r="G765" s="22" t="s">
        <v>42</v>
      </c>
      <c r="H765" s="23" t="s">
        <v>3484</v>
      </c>
      <c r="I765" s="24" t="s">
        <v>55</v>
      </c>
      <c r="J765" s="1" t="str">
        <f t="shared" si="0"/>
        <v/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6.25" hidden="1" customHeight="1">
      <c r="A766" s="17">
        <f t="shared" si="1"/>
        <v>763</v>
      </c>
      <c r="B766" s="18" t="s">
        <v>132</v>
      </c>
      <c r="C766" s="31" t="s">
        <v>3485</v>
      </c>
      <c r="D766" s="19" t="s">
        <v>3486</v>
      </c>
      <c r="E766" s="20" t="s">
        <v>3487</v>
      </c>
      <c r="F766" s="32" t="s">
        <v>3080</v>
      </c>
      <c r="G766" s="22" t="s">
        <v>63</v>
      </c>
      <c r="H766" s="23" t="s">
        <v>3488</v>
      </c>
      <c r="I766" s="24" t="s">
        <v>55</v>
      </c>
      <c r="J766" s="1" t="str">
        <f t="shared" si="0"/>
        <v/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6.25" hidden="1" customHeight="1">
      <c r="A767" s="17">
        <f t="shared" si="1"/>
        <v>764</v>
      </c>
      <c r="B767" s="18" t="s">
        <v>132</v>
      </c>
      <c r="C767" s="19" t="s">
        <v>3489</v>
      </c>
      <c r="D767" s="19" t="s">
        <v>124</v>
      </c>
      <c r="E767" s="20" t="s">
        <v>3490</v>
      </c>
      <c r="F767" s="21" t="s">
        <v>135</v>
      </c>
      <c r="G767" s="22" t="s">
        <v>42</v>
      </c>
      <c r="H767" s="23" t="s">
        <v>3491</v>
      </c>
      <c r="I767" s="24" t="s">
        <v>20</v>
      </c>
      <c r="J767" s="1" t="str">
        <f t="shared" si="0"/>
        <v>FRIC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6.25" hidden="1" customHeight="1">
      <c r="A768" s="17">
        <f t="shared" si="1"/>
        <v>765</v>
      </c>
      <c r="B768" s="18" t="s">
        <v>233</v>
      </c>
      <c r="C768" s="19" t="s">
        <v>3492</v>
      </c>
      <c r="D768" s="19" t="s">
        <v>3493</v>
      </c>
      <c r="E768" s="20" t="s">
        <v>3494</v>
      </c>
      <c r="F768" s="21" t="s">
        <v>135</v>
      </c>
      <c r="G768" s="22" t="s">
        <v>63</v>
      </c>
      <c r="H768" s="23" t="s">
        <v>3495</v>
      </c>
      <c r="I768" s="24" t="s">
        <v>20</v>
      </c>
      <c r="J768" s="1" t="str">
        <f t="shared" si="0"/>
        <v>FRIC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6.25" hidden="1" customHeight="1">
      <c r="A769" s="17">
        <f t="shared" si="1"/>
        <v>766</v>
      </c>
      <c r="B769" s="18" t="s">
        <v>2181</v>
      </c>
      <c r="C769" s="31" t="s">
        <v>3496</v>
      </c>
      <c r="D769" s="19" t="s">
        <v>370</v>
      </c>
      <c r="E769" s="20" t="s">
        <v>3497</v>
      </c>
      <c r="F769" s="32" t="s">
        <v>222</v>
      </c>
      <c r="G769" s="33" t="s">
        <v>53</v>
      </c>
      <c r="H769" s="23" t="s">
        <v>3498</v>
      </c>
      <c r="I769" s="24" t="s">
        <v>55</v>
      </c>
      <c r="J769" s="1" t="str">
        <f t="shared" si="0"/>
        <v/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6.25" hidden="1" customHeight="1">
      <c r="A770" s="17">
        <f t="shared" si="1"/>
        <v>767</v>
      </c>
      <c r="B770" s="18" t="s">
        <v>132</v>
      </c>
      <c r="C770" s="19" t="s">
        <v>3499</v>
      </c>
      <c r="D770" s="19" t="s">
        <v>124</v>
      </c>
      <c r="E770" s="20" t="s">
        <v>3500</v>
      </c>
      <c r="F770" s="21" t="s">
        <v>135</v>
      </c>
      <c r="G770" s="22" t="s">
        <v>42</v>
      </c>
      <c r="H770" s="23" t="s">
        <v>3501</v>
      </c>
      <c r="I770" s="24" t="s">
        <v>20</v>
      </c>
      <c r="J770" s="1" t="str">
        <f t="shared" si="0"/>
        <v>FRIC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6.25" hidden="1" customHeight="1">
      <c r="A771" s="17">
        <f t="shared" si="1"/>
        <v>768</v>
      </c>
      <c r="B771" s="18" t="s">
        <v>642</v>
      </c>
      <c r="C771" s="31" t="s">
        <v>3502</v>
      </c>
      <c r="D771" s="19" t="s">
        <v>488</v>
      </c>
      <c r="E771" s="20" t="s">
        <v>3503</v>
      </c>
      <c r="F771" s="32" t="s">
        <v>3504</v>
      </c>
      <c r="G771" s="33" t="s">
        <v>53</v>
      </c>
      <c r="H771" s="23" t="s">
        <v>3505</v>
      </c>
      <c r="I771" s="24" t="s">
        <v>55</v>
      </c>
      <c r="J771" s="1" t="str">
        <f t="shared" si="0"/>
        <v/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6.25" hidden="1" customHeight="1">
      <c r="A772" s="17">
        <f t="shared" si="1"/>
        <v>769</v>
      </c>
      <c r="B772" s="18" t="s">
        <v>13</v>
      </c>
      <c r="C772" s="31" t="s">
        <v>1475</v>
      </c>
      <c r="D772" s="19" t="s">
        <v>3506</v>
      </c>
      <c r="E772" s="20" t="s">
        <v>1477</v>
      </c>
      <c r="F772" s="32" t="s">
        <v>3507</v>
      </c>
      <c r="G772" s="22" t="s">
        <v>53</v>
      </c>
      <c r="H772" s="23" t="s">
        <v>3508</v>
      </c>
      <c r="I772" s="34" t="s">
        <v>55</v>
      </c>
      <c r="J772" s="1" t="str">
        <f t="shared" si="0"/>
        <v/>
      </c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ht="26.25" hidden="1" customHeight="1">
      <c r="A773" s="17">
        <f t="shared" si="1"/>
        <v>770</v>
      </c>
      <c r="B773" s="18" t="s">
        <v>1375</v>
      </c>
      <c r="C773" s="31" t="s">
        <v>3509</v>
      </c>
      <c r="D773" s="19" t="s">
        <v>1162</v>
      </c>
      <c r="E773" s="20" t="s">
        <v>3510</v>
      </c>
      <c r="F773" s="32" t="s">
        <v>2718</v>
      </c>
      <c r="G773" s="22" t="s">
        <v>53</v>
      </c>
      <c r="H773" s="23" t="s">
        <v>3511</v>
      </c>
      <c r="I773" s="24" t="s">
        <v>55</v>
      </c>
      <c r="J773" s="1" t="str">
        <f t="shared" si="0"/>
        <v/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6.25" hidden="1" customHeight="1">
      <c r="A774" s="17">
        <f t="shared" si="1"/>
        <v>771</v>
      </c>
      <c r="B774" s="18" t="s">
        <v>1197</v>
      </c>
      <c r="C774" s="31" t="s">
        <v>507</v>
      </c>
      <c r="D774" s="19" t="s">
        <v>3512</v>
      </c>
      <c r="E774" s="20" t="s">
        <v>509</v>
      </c>
      <c r="F774" s="32" t="s">
        <v>3513</v>
      </c>
      <c r="G774" s="33" t="s">
        <v>53</v>
      </c>
      <c r="H774" s="59" t="s">
        <v>3514</v>
      </c>
      <c r="I774" s="24" t="s">
        <v>55</v>
      </c>
      <c r="J774" s="1" t="str">
        <f t="shared" si="0"/>
        <v/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6.25" hidden="1" customHeight="1">
      <c r="A775" s="17">
        <f t="shared" si="1"/>
        <v>772</v>
      </c>
      <c r="B775" s="18" t="s">
        <v>1197</v>
      </c>
      <c r="C775" s="31" t="s">
        <v>3515</v>
      </c>
      <c r="D775" s="19" t="s">
        <v>3516</v>
      </c>
      <c r="E775" s="20" t="s">
        <v>3517</v>
      </c>
      <c r="F775" s="32" t="s">
        <v>3518</v>
      </c>
      <c r="G775" s="33" t="s">
        <v>53</v>
      </c>
      <c r="H775" s="23" t="s">
        <v>3519</v>
      </c>
      <c r="I775" s="24" t="s">
        <v>55</v>
      </c>
      <c r="J775" s="1" t="str">
        <f t="shared" si="0"/>
        <v/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6.25" hidden="1" customHeight="1">
      <c r="A776" s="17">
        <f t="shared" si="1"/>
        <v>773</v>
      </c>
      <c r="B776" s="18" t="s">
        <v>1197</v>
      </c>
      <c r="C776" s="31" t="s">
        <v>3520</v>
      </c>
      <c r="D776" s="19" t="s">
        <v>3516</v>
      </c>
      <c r="E776" s="20" t="s">
        <v>3521</v>
      </c>
      <c r="F776" s="32" t="s">
        <v>3522</v>
      </c>
      <c r="G776" s="33" t="s">
        <v>42</v>
      </c>
      <c r="H776" s="23" t="s">
        <v>3523</v>
      </c>
      <c r="I776" s="24" t="s">
        <v>55</v>
      </c>
      <c r="J776" s="1" t="str">
        <f t="shared" si="0"/>
        <v/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6.25" hidden="1" customHeight="1">
      <c r="A777" s="17">
        <f t="shared" si="1"/>
        <v>774</v>
      </c>
      <c r="B777" s="18" t="s">
        <v>1197</v>
      </c>
      <c r="C777" s="19" t="s">
        <v>3524</v>
      </c>
      <c r="D777" s="19" t="s">
        <v>3525</v>
      </c>
      <c r="E777" s="20" t="s">
        <v>3526</v>
      </c>
      <c r="F777" s="21" t="s">
        <v>135</v>
      </c>
      <c r="G777" s="33" t="s">
        <v>42</v>
      </c>
      <c r="H777" s="23" t="s">
        <v>3527</v>
      </c>
      <c r="I777" s="24" t="s">
        <v>20</v>
      </c>
      <c r="J777" s="1" t="str">
        <f t="shared" si="0"/>
        <v>FRIC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6.25" hidden="1" customHeight="1">
      <c r="A778" s="17">
        <f t="shared" si="1"/>
        <v>775</v>
      </c>
      <c r="B778" s="18" t="s">
        <v>1197</v>
      </c>
      <c r="C778" s="31" t="s">
        <v>3528</v>
      </c>
      <c r="D778" s="19" t="s">
        <v>698</v>
      </c>
      <c r="E778" s="20" t="s">
        <v>3529</v>
      </c>
      <c r="F778" s="32" t="s">
        <v>3530</v>
      </c>
      <c r="G778" s="33" t="s">
        <v>42</v>
      </c>
      <c r="H778" s="23" t="s">
        <v>3531</v>
      </c>
      <c r="I778" s="24" t="s">
        <v>55</v>
      </c>
      <c r="J778" s="1" t="str">
        <f t="shared" si="0"/>
        <v/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6.25" hidden="1" customHeight="1">
      <c r="A779" s="17">
        <f t="shared" si="1"/>
        <v>776</v>
      </c>
      <c r="B779" s="18" t="s">
        <v>132</v>
      </c>
      <c r="C779" s="31" t="s">
        <v>3532</v>
      </c>
      <c r="D779" s="19" t="s">
        <v>196</v>
      </c>
      <c r="E779" s="20" t="s">
        <v>3533</v>
      </c>
      <c r="F779" s="32" t="s">
        <v>222</v>
      </c>
      <c r="G779" s="22" t="s">
        <v>42</v>
      </c>
      <c r="H779" s="23" t="s">
        <v>3534</v>
      </c>
      <c r="I779" s="24" t="s">
        <v>55</v>
      </c>
      <c r="J779" s="1" t="str">
        <f t="shared" si="0"/>
        <v/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6.25" hidden="1" customHeight="1">
      <c r="A780" s="17">
        <f t="shared" si="1"/>
        <v>777</v>
      </c>
      <c r="B780" s="18" t="s">
        <v>132</v>
      </c>
      <c r="C780" s="31" t="s">
        <v>884</v>
      </c>
      <c r="D780" s="19" t="s">
        <v>124</v>
      </c>
      <c r="E780" s="20" t="s">
        <v>885</v>
      </c>
      <c r="F780" s="32" t="s">
        <v>170</v>
      </c>
      <c r="G780" s="22" t="s">
        <v>53</v>
      </c>
      <c r="H780" s="23" t="s">
        <v>3535</v>
      </c>
      <c r="I780" s="24" t="s">
        <v>55</v>
      </c>
      <c r="J780" s="1" t="str">
        <f t="shared" si="0"/>
        <v/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6.25" hidden="1" customHeight="1">
      <c r="A781" s="17">
        <f t="shared" si="1"/>
        <v>778</v>
      </c>
      <c r="B781" s="18" t="s">
        <v>132</v>
      </c>
      <c r="C781" s="19" t="s">
        <v>3536</v>
      </c>
      <c r="D781" s="19" t="s">
        <v>3537</v>
      </c>
      <c r="E781" s="20" t="s">
        <v>3538</v>
      </c>
      <c r="F781" s="21" t="s">
        <v>3539</v>
      </c>
      <c r="G781" s="22" t="s">
        <v>42</v>
      </c>
      <c r="H781" s="23" t="s">
        <v>3540</v>
      </c>
      <c r="I781" s="24" t="s">
        <v>20</v>
      </c>
      <c r="J781" s="1" t="str">
        <f t="shared" si="0"/>
        <v>FRIC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6.25" hidden="1" customHeight="1">
      <c r="A782" s="17">
        <f t="shared" si="1"/>
        <v>779</v>
      </c>
      <c r="B782" s="18" t="s">
        <v>132</v>
      </c>
      <c r="C782" s="31" t="s">
        <v>3541</v>
      </c>
      <c r="D782" s="19" t="s">
        <v>607</v>
      </c>
      <c r="E782" s="20" t="s">
        <v>1484</v>
      </c>
      <c r="F782" s="32" t="s">
        <v>52</v>
      </c>
      <c r="G782" s="22" t="s">
        <v>53</v>
      </c>
      <c r="H782" s="23" t="s">
        <v>3542</v>
      </c>
      <c r="I782" s="34" t="s">
        <v>55</v>
      </c>
      <c r="J782" s="1" t="str">
        <f t="shared" si="0"/>
        <v/>
      </c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ht="26.25" hidden="1" customHeight="1">
      <c r="A783" s="17">
        <f t="shared" si="1"/>
        <v>780</v>
      </c>
      <c r="B783" s="18" t="s">
        <v>13</v>
      </c>
      <c r="C783" s="19" t="s">
        <v>3543</v>
      </c>
      <c r="D783" s="19" t="s">
        <v>1058</v>
      </c>
      <c r="E783" s="20" t="s">
        <v>3544</v>
      </c>
      <c r="F783" s="21" t="s">
        <v>135</v>
      </c>
      <c r="G783" s="22" t="s">
        <v>42</v>
      </c>
      <c r="H783" s="23" t="s">
        <v>3545</v>
      </c>
      <c r="I783" s="24" t="s">
        <v>20</v>
      </c>
      <c r="J783" s="1" t="str">
        <f t="shared" si="0"/>
        <v>FRIC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6.25" hidden="1" customHeight="1">
      <c r="A784" s="17">
        <f t="shared" si="1"/>
        <v>781</v>
      </c>
      <c r="B784" s="18" t="s">
        <v>105</v>
      </c>
      <c r="C784" s="31" t="s">
        <v>3546</v>
      </c>
      <c r="D784" s="19" t="s">
        <v>3547</v>
      </c>
      <c r="E784" s="20" t="s">
        <v>523</v>
      </c>
      <c r="F784" s="32" t="s">
        <v>1033</v>
      </c>
      <c r="G784" s="33" t="s">
        <v>42</v>
      </c>
      <c r="H784" s="23" t="s">
        <v>3548</v>
      </c>
      <c r="I784" s="24" t="s">
        <v>55</v>
      </c>
      <c r="J784" s="1" t="str">
        <f t="shared" si="0"/>
        <v/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6.25" hidden="1" customHeight="1">
      <c r="A785" s="17">
        <f t="shared" si="1"/>
        <v>782</v>
      </c>
      <c r="B785" s="18" t="s">
        <v>175</v>
      </c>
      <c r="C785" s="31" t="s">
        <v>3549</v>
      </c>
      <c r="D785" s="19" t="s">
        <v>722</v>
      </c>
      <c r="E785" s="20" t="s">
        <v>197</v>
      </c>
      <c r="F785" s="32">
        <v>2015</v>
      </c>
      <c r="G785" s="33" t="s">
        <v>42</v>
      </c>
      <c r="H785" s="23" t="s">
        <v>3550</v>
      </c>
      <c r="I785" s="24" t="s">
        <v>55</v>
      </c>
      <c r="J785" s="1" t="str">
        <f t="shared" si="0"/>
        <v/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6.25" hidden="1" customHeight="1">
      <c r="A786" s="17">
        <f t="shared" si="1"/>
        <v>783</v>
      </c>
      <c r="B786" s="18" t="s">
        <v>37</v>
      </c>
      <c r="C786" s="31" t="s">
        <v>3551</v>
      </c>
      <c r="D786" s="19" t="s">
        <v>3552</v>
      </c>
      <c r="E786" s="20" t="s">
        <v>3553</v>
      </c>
      <c r="F786" s="32" t="s">
        <v>3554</v>
      </c>
      <c r="G786" s="22" t="s">
        <v>53</v>
      </c>
      <c r="H786" s="23" t="s">
        <v>3555</v>
      </c>
      <c r="I786" s="24" t="s">
        <v>55</v>
      </c>
      <c r="J786" s="1" t="str">
        <f t="shared" si="0"/>
        <v/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6.25" hidden="1" customHeight="1">
      <c r="A787" s="17">
        <f t="shared" si="1"/>
        <v>784</v>
      </c>
      <c r="B787" s="18" t="s">
        <v>13</v>
      </c>
      <c r="C787" s="31" t="s">
        <v>3556</v>
      </c>
      <c r="D787" s="19" t="s">
        <v>650</v>
      </c>
      <c r="E787" s="20" t="s">
        <v>1242</v>
      </c>
      <c r="F787" s="32" t="s">
        <v>170</v>
      </c>
      <c r="G787" s="22" t="s">
        <v>53</v>
      </c>
      <c r="H787" s="23" t="s">
        <v>3557</v>
      </c>
      <c r="I787" s="24" t="s">
        <v>55</v>
      </c>
      <c r="J787" s="1" t="str">
        <f t="shared" si="0"/>
        <v/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6.25" customHeight="1">
      <c r="A788" s="17">
        <f t="shared" si="1"/>
        <v>785</v>
      </c>
      <c r="B788" s="18" t="s">
        <v>867</v>
      </c>
      <c r="C788" s="31" t="s">
        <v>3558</v>
      </c>
      <c r="D788" s="19" t="s">
        <v>3559</v>
      </c>
      <c r="E788" s="20" t="s">
        <v>3560</v>
      </c>
      <c r="F788" s="21" t="s">
        <v>933</v>
      </c>
      <c r="G788" s="33" t="s">
        <v>42</v>
      </c>
      <c r="H788" s="23" t="s">
        <v>3561</v>
      </c>
      <c r="I788" s="34" t="s">
        <v>20</v>
      </c>
      <c r="J788" s="1" t="str">
        <f t="shared" si="0"/>
        <v>과기</v>
      </c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ht="26.25" hidden="1" customHeight="1">
      <c r="A789" s="17">
        <f t="shared" si="1"/>
        <v>786</v>
      </c>
      <c r="B789" s="18" t="s">
        <v>27</v>
      </c>
      <c r="C789" s="19" t="s">
        <v>3562</v>
      </c>
      <c r="D789" s="19" t="s">
        <v>3563</v>
      </c>
      <c r="E789" s="20" t="s">
        <v>3564</v>
      </c>
      <c r="F789" s="21" t="s">
        <v>41</v>
      </c>
      <c r="G789" s="22" t="s">
        <v>53</v>
      </c>
      <c r="H789" s="23" t="s">
        <v>3565</v>
      </c>
      <c r="I789" s="24" t="s">
        <v>20</v>
      </c>
      <c r="J789" s="1" t="str">
        <f t="shared" si="0"/>
        <v>FRIC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6.25" hidden="1" customHeight="1">
      <c r="A790" s="17">
        <f t="shared" si="1"/>
        <v>787</v>
      </c>
      <c r="B790" s="18" t="s">
        <v>13</v>
      </c>
      <c r="C790" s="31" t="s">
        <v>3566</v>
      </c>
      <c r="D790" s="19" t="s">
        <v>3567</v>
      </c>
      <c r="E790" s="20" t="s">
        <v>3568</v>
      </c>
      <c r="F790" s="32" t="s">
        <v>3569</v>
      </c>
      <c r="G790" s="22" t="s">
        <v>53</v>
      </c>
      <c r="H790" s="23" t="s">
        <v>3570</v>
      </c>
      <c r="I790" s="24" t="s">
        <v>55</v>
      </c>
      <c r="J790" s="1" t="str">
        <f t="shared" si="0"/>
        <v/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6.25" hidden="1" customHeight="1">
      <c r="A791" s="17">
        <f t="shared" si="1"/>
        <v>788</v>
      </c>
      <c r="B791" s="18" t="s">
        <v>13</v>
      </c>
      <c r="C791" s="19" t="s">
        <v>3571</v>
      </c>
      <c r="D791" s="19" t="s">
        <v>3567</v>
      </c>
      <c r="E791" s="20" t="s">
        <v>3572</v>
      </c>
      <c r="F791" s="21" t="s">
        <v>3573</v>
      </c>
      <c r="G791" s="22" t="s">
        <v>53</v>
      </c>
      <c r="H791" s="23" t="s">
        <v>3574</v>
      </c>
      <c r="I791" s="24" t="s">
        <v>20</v>
      </c>
      <c r="J791" s="1" t="str">
        <f t="shared" si="0"/>
        <v>FRIC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6.25" customHeight="1">
      <c r="A792" s="17">
        <f t="shared" si="1"/>
        <v>789</v>
      </c>
      <c r="B792" s="18" t="s">
        <v>81</v>
      </c>
      <c r="C792" s="31" t="s">
        <v>3575</v>
      </c>
      <c r="D792" s="19" t="s">
        <v>3576</v>
      </c>
      <c r="E792" s="20" t="s">
        <v>3577</v>
      </c>
      <c r="F792" s="21" t="s">
        <v>2052</v>
      </c>
      <c r="G792" s="33" t="s">
        <v>53</v>
      </c>
      <c r="H792" s="23" t="s">
        <v>3578</v>
      </c>
      <c r="I792" s="34" t="s">
        <v>20</v>
      </c>
      <c r="J792" s="1" t="str">
        <f t="shared" si="0"/>
        <v>과기</v>
      </c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ht="26.25" hidden="1" customHeight="1">
      <c r="A793" s="17">
        <f t="shared" si="1"/>
        <v>790</v>
      </c>
      <c r="B793" s="18" t="s">
        <v>13</v>
      </c>
      <c r="C793" s="19" t="s">
        <v>3579</v>
      </c>
      <c r="D793" s="19" t="s">
        <v>3580</v>
      </c>
      <c r="E793" s="20" t="s">
        <v>1850</v>
      </c>
      <c r="F793" s="32" t="s">
        <v>3581</v>
      </c>
      <c r="G793" s="22" t="s">
        <v>53</v>
      </c>
      <c r="H793" s="23" t="s">
        <v>3582</v>
      </c>
      <c r="I793" s="34" t="s">
        <v>55</v>
      </c>
      <c r="J793" s="1" t="str">
        <f t="shared" si="0"/>
        <v/>
      </c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ht="26.25" hidden="1" customHeight="1">
      <c r="A794" s="17">
        <f t="shared" si="1"/>
        <v>791</v>
      </c>
      <c r="B794" s="18" t="s">
        <v>132</v>
      </c>
      <c r="C794" s="19" t="s">
        <v>3583</v>
      </c>
      <c r="D794" s="19" t="s">
        <v>3584</v>
      </c>
      <c r="E794" s="20" t="s">
        <v>3585</v>
      </c>
      <c r="F794" s="21" t="s">
        <v>905</v>
      </c>
      <c r="G794" s="22" t="s">
        <v>53</v>
      </c>
      <c r="H794" s="23" t="s">
        <v>3586</v>
      </c>
      <c r="I794" s="24" t="s">
        <v>20</v>
      </c>
      <c r="J794" s="1" t="str">
        <f t="shared" si="0"/>
        <v>FRIC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6.25" hidden="1" customHeight="1">
      <c r="A795" s="17">
        <f t="shared" si="1"/>
        <v>792</v>
      </c>
      <c r="B795" s="18" t="s">
        <v>13</v>
      </c>
      <c r="C795" s="31" t="s">
        <v>786</v>
      </c>
      <c r="D795" s="19" t="s">
        <v>3587</v>
      </c>
      <c r="E795" s="20" t="s">
        <v>788</v>
      </c>
      <c r="F795" s="32" t="s">
        <v>1033</v>
      </c>
      <c r="G795" s="22" t="s">
        <v>53</v>
      </c>
      <c r="H795" s="23" t="s">
        <v>3588</v>
      </c>
      <c r="I795" s="24" t="s">
        <v>55</v>
      </c>
      <c r="J795" s="1" t="str">
        <f t="shared" si="0"/>
        <v/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6.25" hidden="1" customHeight="1">
      <c r="A796" s="17">
        <f t="shared" si="1"/>
        <v>793</v>
      </c>
      <c r="B796" s="18" t="s">
        <v>27</v>
      </c>
      <c r="C796" s="31" t="s">
        <v>3589</v>
      </c>
      <c r="D796" s="19" t="s">
        <v>3590</v>
      </c>
      <c r="E796" s="20" t="s">
        <v>795</v>
      </c>
      <c r="F796" s="32" t="s">
        <v>2100</v>
      </c>
      <c r="G796" s="22" t="s">
        <v>53</v>
      </c>
      <c r="H796" s="23" t="s">
        <v>3591</v>
      </c>
      <c r="I796" s="24" t="s">
        <v>55</v>
      </c>
      <c r="J796" s="1" t="str">
        <f t="shared" si="0"/>
        <v/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6.25" hidden="1" customHeight="1">
      <c r="A797" s="17">
        <f t="shared" si="1"/>
        <v>794</v>
      </c>
      <c r="B797" s="18" t="s">
        <v>132</v>
      </c>
      <c r="C797" s="19" t="s">
        <v>3592</v>
      </c>
      <c r="D797" s="19" t="s">
        <v>3593</v>
      </c>
      <c r="E797" s="20" t="s">
        <v>1875</v>
      </c>
      <c r="F797" s="32" t="s">
        <v>2902</v>
      </c>
      <c r="G797" s="22" t="s">
        <v>53</v>
      </c>
      <c r="H797" s="23" t="s">
        <v>3594</v>
      </c>
      <c r="I797" s="34" t="s">
        <v>55</v>
      </c>
      <c r="J797" s="1" t="str">
        <f t="shared" si="0"/>
        <v/>
      </c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ht="26.25" hidden="1" customHeight="1">
      <c r="A798" s="17">
        <f t="shared" si="1"/>
        <v>795</v>
      </c>
      <c r="B798" s="18" t="s">
        <v>13</v>
      </c>
      <c r="C798" s="19" t="s">
        <v>3595</v>
      </c>
      <c r="D798" s="19" t="s">
        <v>3596</v>
      </c>
      <c r="E798" s="20" t="s">
        <v>3597</v>
      </c>
      <c r="F798" s="21" t="s">
        <v>135</v>
      </c>
      <c r="G798" s="22" t="s">
        <v>53</v>
      </c>
      <c r="H798" s="23" t="s">
        <v>3598</v>
      </c>
      <c r="I798" s="24" t="s">
        <v>20</v>
      </c>
      <c r="J798" s="1" t="str">
        <f t="shared" si="0"/>
        <v>FRIC</v>
      </c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6.25" hidden="1" customHeight="1">
      <c r="A799" s="17">
        <f t="shared" si="1"/>
        <v>796</v>
      </c>
      <c r="B799" s="18" t="s">
        <v>13</v>
      </c>
      <c r="C799" s="31" t="s">
        <v>3599</v>
      </c>
      <c r="D799" s="19" t="s">
        <v>3600</v>
      </c>
      <c r="E799" s="20" t="s">
        <v>3601</v>
      </c>
      <c r="F799" s="32" t="s">
        <v>2718</v>
      </c>
      <c r="G799" s="22" t="s">
        <v>53</v>
      </c>
      <c r="H799" s="23" t="s">
        <v>3602</v>
      </c>
      <c r="I799" s="24" t="s">
        <v>55</v>
      </c>
      <c r="J799" s="1" t="str">
        <f t="shared" si="0"/>
        <v/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6.25" hidden="1" customHeight="1">
      <c r="A800" s="17">
        <f t="shared" si="1"/>
        <v>797</v>
      </c>
      <c r="B800" s="18" t="s">
        <v>1375</v>
      </c>
      <c r="C800" s="19" t="s">
        <v>3603</v>
      </c>
      <c r="D800" s="19" t="s">
        <v>3604</v>
      </c>
      <c r="E800" s="20" t="s">
        <v>1881</v>
      </c>
      <c r="F800" s="32" t="s">
        <v>178</v>
      </c>
      <c r="G800" s="22" t="s">
        <v>53</v>
      </c>
      <c r="H800" s="23" t="s">
        <v>3605</v>
      </c>
      <c r="I800" s="34" t="s">
        <v>55</v>
      </c>
      <c r="J800" s="1" t="str">
        <f t="shared" si="0"/>
        <v/>
      </c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ht="26.25" hidden="1" customHeight="1">
      <c r="A801" s="17">
        <f t="shared" si="1"/>
        <v>798</v>
      </c>
      <c r="B801" s="18" t="s">
        <v>1375</v>
      </c>
      <c r="C801" s="31" t="s">
        <v>3606</v>
      </c>
      <c r="D801" s="19" t="s">
        <v>3607</v>
      </c>
      <c r="E801" s="20" t="s">
        <v>3608</v>
      </c>
      <c r="F801" s="32" t="s">
        <v>3609</v>
      </c>
      <c r="G801" s="22" t="s">
        <v>53</v>
      </c>
      <c r="H801" s="23" t="s">
        <v>3610</v>
      </c>
      <c r="I801" s="24" t="s">
        <v>55</v>
      </c>
      <c r="J801" s="1" t="str">
        <f t="shared" si="0"/>
        <v/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6.25" hidden="1" customHeight="1">
      <c r="A802" s="17">
        <f t="shared" si="1"/>
        <v>799</v>
      </c>
      <c r="B802" s="18" t="s">
        <v>37</v>
      </c>
      <c r="C802" s="39" t="s">
        <v>1885</v>
      </c>
      <c r="D802" s="19" t="s">
        <v>3611</v>
      </c>
      <c r="E802" s="20"/>
      <c r="F802" s="32" t="s">
        <v>3612</v>
      </c>
      <c r="G802" s="33" t="s">
        <v>53</v>
      </c>
      <c r="H802" s="23" t="s">
        <v>3613</v>
      </c>
      <c r="I802" s="34" t="s">
        <v>55</v>
      </c>
      <c r="J802" s="1" t="str">
        <f t="shared" si="0"/>
        <v/>
      </c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ht="26.25" hidden="1" customHeight="1">
      <c r="A803" s="17">
        <f t="shared" si="1"/>
        <v>800</v>
      </c>
      <c r="B803" s="18" t="s">
        <v>132</v>
      </c>
      <c r="C803" s="19" t="s">
        <v>3614</v>
      </c>
      <c r="D803" s="19" t="s">
        <v>3615</v>
      </c>
      <c r="E803" s="20" t="s">
        <v>3616</v>
      </c>
      <c r="F803" s="21" t="s">
        <v>1011</v>
      </c>
      <c r="G803" s="22" t="s">
        <v>53</v>
      </c>
      <c r="H803" s="23" t="s">
        <v>3617</v>
      </c>
      <c r="I803" s="24" t="s">
        <v>20</v>
      </c>
      <c r="J803" s="1" t="str">
        <f t="shared" si="0"/>
        <v>FRIC</v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6.25" hidden="1" customHeight="1">
      <c r="A804" s="17">
        <f t="shared" si="1"/>
        <v>801</v>
      </c>
      <c r="B804" s="18" t="s">
        <v>132</v>
      </c>
      <c r="C804" s="19" t="s">
        <v>3618</v>
      </c>
      <c r="D804" s="19" t="s">
        <v>3584</v>
      </c>
      <c r="E804" s="20" t="s">
        <v>3619</v>
      </c>
      <c r="F804" s="21" t="s">
        <v>3266</v>
      </c>
      <c r="G804" s="22" t="s">
        <v>53</v>
      </c>
      <c r="H804" s="23" t="s">
        <v>3620</v>
      </c>
      <c r="I804" s="24" t="s">
        <v>20</v>
      </c>
      <c r="J804" s="1" t="str">
        <f t="shared" si="0"/>
        <v>FRIC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6.25" hidden="1" customHeight="1">
      <c r="A805" s="17">
        <f t="shared" si="1"/>
        <v>802</v>
      </c>
      <c r="B805" s="18" t="s">
        <v>13</v>
      </c>
      <c r="C805" s="19" t="s">
        <v>1768</v>
      </c>
      <c r="D805" s="19" t="s">
        <v>1769</v>
      </c>
      <c r="E805" s="20" t="s">
        <v>1770</v>
      </c>
      <c r="F805" s="32" t="s">
        <v>178</v>
      </c>
      <c r="G805" s="22" t="s">
        <v>53</v>
      </c>
      <c r="H805" s="23" t="s">
        <v>3621</v>
      </c>
      <c r="I805" s="34" t="s">
        <v>55</v>
      </c>
      <c r="J805" s="1" t="str">
        <f t="shared" si="0"/>
        <v/>
      </c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ht="26.25" hidden="1" customHeight="1">
      <c r="A806" s="17">
        <f t="shared" si="1"/>
        <v>803</v>
      </c>
      <c r="B806" s="18" t="s">
        <v>13</v>
      </c>
      <c r="C806" s="19" t="s">
        <v>1772</v>
      </c>
      <c r="D806" s="19" t="s">
        <v>3622</v>
      </c>
      <c r="E806" s="20" t="s">
        <v>1774</v>
      </c>
      <c r="F806" s="32" t="s">
        <v>52</v>
      </c>
      <c r="G806" s="22" t="s">
        <v>53</v>
      </c>
      <c r="H806" s="23" t="s">
        <v>3623</v>
      </c>
      <c r="I806" s="34" t="s">
        <v>55</v>
      </c>
      <c r="J806" s="1" t="str">
        <f t="shared" si="0"/>
        <v/>
      </c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ht="26.25" hidden="1" customHeight="1">
      <c r="A807" s="17">
        <f t="shared" si="1"/>
        <v>804</v>
      </c>
      <c r="B807" s="18" t="s">
        <v>13</v>
      </c>
      <c r="C807" s="19" t="s">
        <v>3624</v>
      </c>
      <c r="D807" s="19" t="s">
        <v>3625</v>
      </c>
      <c r="E807" s="20" t="s">
        <v>3626</v>
      </c>
      <c r="F807" s="21" t="s">
        <v>3627</v>
      </c>
      <c r="G807" s="22" t="s">
        <v>53</v>
      </c>
      <c r="H807" s="23" t="s">
        <v>3628</v>
      </c>
      <c r="I807" s="24" t="s">
        <v>20</v>
      </c>
      <c r="J807" s="1" t="str">
        <f t="shared" si="0"/>
        <v>FRIC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6.25" hidden="1" customHeight="1">
      <c r="A808" s="17">
        <f t="shared" si="1"/>
        <v>805</v>
      </c>
      <c r="B808" s="18" t="s">
        <v>13</v>
      </c>
      <c r="C808" s="31" t="s">
        <v>3629</v>
      </c>
      <c r="D808" s="19" t="s">
        <v>3630</v>
      </c>
      <c r="E808" s="20" t="s">
        <v>3631</v>
      </c>
      <c r="F808" s="32" t="s">
        <v>3632</v>
      </c>
      <c r="G808" s="22" t="s">
        <v>53</v>
      </c>
      <c r="H808" s="23" t="s">
        <v>3633</v>
      </c>
      <c r="I808" s="24" t="s">
        <v>55</v>
      </c>
      <c r="J808" s="1" t="str">
        <f t="shared" si="0"/>
        <v/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6.25" hidden="1" customHeight="1">
      <c r="A809" s="17">
        <f t="shared" si="1"/>
        <v>806</v>
      </c>
      <c r="B809" s="18" t="s">
        <v>13</v>
      </c>
      <c r="C809" s="19" t="s">
        <v>3634</v>
      </c>
      <c r="D809" s="19" t="s">
        <v>3635</v>
      </c>
      <c r="E809" s="79" t="s">
        <v>3636</v>
      </c>
      <c r="F809" s="21" t="s">
        <v>3637</v>
      </c>
      <c r="G809" s="22" t="s">
        <v>53</v>
      </c>
      <c r="H809" s="23" t="s">
        <v>3638</v>
      </c>
      <c r="I809" s="24" t="s">
        <v>20</v>
      </c>
      <c r="J809" s="1" t="str">
        <f t="shared" si="0"/>
        <v>FRIC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6.25" hidden="1" customHeight="1">
      <c r="A810" s="17">
        <f t="shared" si="1"/>
        <v>807</v>
      </c>
      <c r="B810" s="18" t="s">
        <v>13</v>
      </c>
      <c r="C810" s="19" t="s">
        <v>1779</v>
      </c>
      <c r="D810" s="19" t="s">
        <v>3584</v>
      </c>
      <c r="E810" s="20" t="s">
        <v>1781</v>
      </c>
      <c r="F810" s="32" t="s">
        <v>52</v>
      </c>
      <c r="G810" s="22" t="s">
        <v>53</v>
      </c>
      <c r="H810" s="23" t="s">
        <v>3639</v>
      </c>
      <c r="I810" s="34" t="s">
        <v>55</v>
      </c>
      <c r="J810" s="1" t="str">
        <f t="shared" si="0"/>
        <v/>
      </c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ht="26.25" hidden="1" customHeight="1">
      <c r="A811" s="17">
        <f t="shared" si="1"/>
        <v>808</v>
      </c>
      <c r="B811" s="18" t="s">
        <v>13</v>
      </c>
      <c r="C811" s="19" t="s">
        <v>3640</v>
      </c>
      <c r="D811" s="19" t="s">
        <v>2015</v>
      </c>
      <c r="E811" s="20" t="s">
        <v>3641</v>
      </c>
      <c r="F811" s="21" t="s">
        <v>3642</v>
      </c>
      <c r="G811" s="22" t="s">
        <v>53</v>
      </c>
      <c r="H811" s="23" t="s">
        <v>3643</v>
      </c>
      <c r="I811" s="24" t="s">
        <v>20</v>
      </c>
      <c r="J811" s="1" t="str">
        <f t="shared" si="0"/>
        <v>FRIC</v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6.25" hidden="1" customHeight="1">
      <c r="A812" s="17">
        <f t="shared" si="1"/>
        <v>809</v>
      </c>
      <c r="B812" s="18" t="s">
        <v>37</v>
      </c>
      <c r="C812" s="19" t="s">
        <v>3644</v>
      </c>
      <c r="D812" s="19" t="s">
        <v>3645</v>
      </c>
      <c r="E812" s="20" t="s">
        <v>3646</v>
      </c>
      <c r="F812" s="21" t="s">
        <v>3647</v>
      </c>
      <c r="G812" s="22" t="s">
        <v>53</v>
      </c>
      <c r="H812" s="23" t="s">
        <v>3648</v>
      </c>
      <c r="I812" s="24" t="s">
        <v>20</v>
      </c>
      <c r="J812" s="1" t="str">
        <f t="shared" si="0"/>
        <v>FRIC</v>
      </c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6.25" hidden="1" customHeight="1">
      <c r="A813" s="17">
        <f t="shared" si="1"/>
        <v>810</v>
      </c>
      <c r="B813" s="18" t="s">
        <v>105</v>
      </c>
      <c r="C813" s="31" t="s">
        <v>3649</v>
      </c>
      <c r="D813" s="19" t="s">
        <v>3650</v>
      </c>
      <c r="E813" s="20" t="s">
        <v>3651</v>
      </c>
      <c r="F813" s="32" t="s">
        <v>3652</v>
      </c>
      <c r="G813" s="33" t="s">
        <v>53</v>
      </c>
      <c r="H813" s="23" t="s">
        <v>3653</v>
      </c>
      <c r="I813" s="24" t="s">
        <v>55</v>
      </c>
      <c r="J813" s="1" t="str">
        <f t="shared" si="0"/>
        <v/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6.25" hidden="1" customHeight="1">
      <c r="A814" s="17">
        <f t="shared" si="1"/>
        <v>811</v>
      </c>
      <c r="B814" s="18" t="s">
        <v>132</v>
      </c>
      <c r="C814" s="19" t="s">
        <v>3654</v>
      </c>
      <c r="D814" s="19" t="s">
        <v>3655</v>
      </c>
      <c r="E814" s="20" t="s">
        <v>3656</v>
      </c>
      <c r="F814" s="21" t="s">
        <v>3657</v>
      </c>
      <c r="G814" s="22" t="s">
        <v>53</v>
      </c>
      <c r="H814" s="23" t="s">
        <v>3658</v>
      </c>
      <c r="I814" s="24" t="s">
        <v>20</v>
      </c>
      <c r="J814" s="1" t="str">
        <f t="shared" si="0"/>
        <v>FRIC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6.25" hidden="1" customHeight="1">
      <c r="A815" s="17">
        <f t="shared" si="1"/>
        <v>812</v>
      </c>
      <c r="B815" s="18" t="s">
        <v>132</v>
      </c>
      <c r="C815" s="31" t="s">
        <v>3659</v>
      </c>
      <c r="D815" s="19" t="s">
        <v>3660</v>
      </c>
      <c r="E815" s="20" t="s">
        <v>3661</v>
      </c>
      <c r="F815" s="32" t="s">
        <v>3662</v>
      </c>
      <c r="G815" s="22" t="s">
        <v>53</v>
      </c>
      <c r="H815" s="23" t="s">
        <v>3663</v>
      </c>
      <c r="I815" s="24" t="s">
        <v>55</v>
      </c>
      <c r="J815" s="1" t="str">
        <f t="shared" si="0"/>
        <v/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6.25" hidden="1" customHeight="1">
      <c r="A816" s="17">
        <f t="shared" si="1"/>
        <v>813</v>
      </c>
      <c r="B816" s="18" t="s">
        <v>27</v>
      </c>
      <c r="C816" s="19" t="s">
        <v>3664</v>
      </c>
      <c r="D816" s="19" t="s">
        <v>3665</v>
      </c>
      <c r="E816" s="20" t="s">
        <v>3666</v>
      </c>
      <c r="F816" s="21" t="s">
        <v>3667</v>
      </c>
      <c r="G816" s="22" t="s">
        <v>53</v>
      </c>
      <c r="H816" s="23" t="s">
        <v>3668</v>
      </c>
      <c r="I816" s="24" t="s">
        <v>20</v>
      </c>
      <c r="J816" s="1" t="str">
        <f t="shared" si="0"/>
        <v>FRIC</v>
      </c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6.25" hidden="1" customHeight="1">
      <c r="A817" s="17">
        <f t="shared" si="1"/>
        <v>814</v>
      </c>
      <c r="B817" s="18" t="s">
        <v>132</v>
      </c>
      <c r="C817" s="19" t="s">
        <v>3669</v>
      </c>
      <c r="D817" s="19" t="s">
        <v>3670</v>
      </c>
      <c r="E817" s="20" t="s">
        <v>3671</v>
      </c>
      <c r="F817" s="21" t="s">
        <v>135</v>
      </c>
      <c r="G817" s="22" t="s">
        <v>53</v>
      </c>
      <c r="H817" s="23" t="s">
        <v>3672</v>
      </c>
      <c r="I817" s="24" t="s">
        <v>20</v>
      </c>
      <c r="J817" s="1" t="str">
        <f t="shared" si="0"/>
        <v>FRIC</v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6.25" hidden="1" customHeight="1">
      <c r="A818" s="17">
        <f t="shared" si="1"/>
        <v>815</v>
      </c>
      <c r="B818" s="18" t="s">
        <v>132</v>
      </c>
      <c r="C818" s="31" t="s">
        <v>3673</v>
      </c>
      <c r="D818" s="19" t="s">
        <v>3670</v>
      </c>
      <c r="E818" s="20" t="s">
        <v>758</v>
      </c>
      <c r="F818" s="32" t="s">
        <v>170</v>
      </c>
      <c r="G818" s="22" t="s">
        <v>53</v>
      </c>
      <c r="H818" s="23" t="s">
        <v>3674</v>
      </c>
      <c r="I818" s="24" t="s">
        <v>55</v>
      </c>
      <c r="J818" s="1" t="str">
        <f t="shared" si="0"/>
        <v/>
      </c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6.25" hidden="1" customHeight="1">
      <c r="A819" s="17">
        <f t="shared" si="1"/>
        <v>816</v>
      </c>
      <c r="B819" s="18" t="s">
        <v>37</v>
      </c>
      <c r="C819" s="19" t="s">
        <v>3675</v>
      </c>
      <c r="D819" s="19" t="s">
        <v>3676</v>
      </c>
      <c r="E819" s="20" t="s">
        <v>3677</v>
      </c>
      <c r="F819" s="21" t="s">
        <v>3678</v>
      </c>
      <c r="G819" s="22" t="s">
        <v>53</v>
      </c>
      <c r="H819" s="23" t="s">
        <v>3679</v>
      </c>
      <c r="I819" s="24" t="s">
        <v>20</v>
      </c>
      <c r="J819" s="1" t="str">
        <f t="shared" si="0"/>
        <v>FRIC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6.25" hidden="1" customHeight="1">
      <c r="A820" s="17">
        <f t="shared" si="1"/>
        <v>817</v>
      </c>
      <c r="B820" s="18" t="s">
        <v>13</v>
      </c>
      <c r="C820" s="31" t="s">
        <v>3680</v>
      </c>
      <c r="D820" s="19" t="s">
        <v>3681</v>
      </c>
      <c r="E820" s="20" t="s">
        <v>3682</v>
      </c>
      <c r="F820" s="32" t="s">
        <v>3683</v>
      </c>
      <c r="G820" s="22" t="s">
        <v>53</v>
      </c>
      <c r="H820" s="23" t="s">
        <v>3684</v>
      </c>
      <c r="I820" s="24" t="s">
        <v>55</v>
      </c>
      <c r="J820" s="1" t="str">
        <f t="shared" si="0"/>
        <v/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6.25" hidden="1" customHeight="1">
      <c r="A821" s="17">
        <f t="shared" si="1"/>
        <v>818</v>
      </c>
      <c r="B821" s="18" t="s">
        <v>1375</v>
      </c>
      <c r="C821" s="31" t="s">
        <v>3685</v>
      </c>
      <c r="D821" s="19" t="s">
        <v>3686</v>
      </c>
      <c r="E821" s="20" t="s">
        <v>3687</v>
      </c>
      <c r="F821" s="32" t="s">
        <v>3688</v>
      </c>
      <c r="G821" s="22" t="s">
        <v>53</v>
      </c>
      <c r="H821" s="23" t="s">
        <v>3689</v>
      </c>
      <c r="I821" s="24" t="s">
        <v>55</v>
      </c>
      <c r="J821" s="1" t="str">
        <f t="shared" si="0"/>
        <v/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6.25" hidden="1" customHeight="1">
      <c r="A822" s="17">
        <f t="shared" si="1"/>
        <v>819</v>
      </c>
      <c r="B822" s="18" t="s">
        <v>13</v>
      </c>
      <c r="C822" s="31" t="s">
        <v>3690</v>
      </c>
      <c r="D822" s="19" t="s">
        <v>3691</v>
      </c>
      <c r="E822" s="20" t="s">
        <v>3692</v>
      </c>
      <c r="F822" s="32" t="s">
        <v>3693</v>
      </c>
      <c r="G822" s="22" t="s">
        <v>53</v>
      </c>
      <c r="H822" s="23" t="s">
        <v>3694</v>
      </c>
      <c r="I822" s="24" t="s">
        <v>55</v>
      </c>
      <c r="J822" s="1" t="str">
        <f t="shared" si="0"/>
        <v/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6.25" hidden="1" customHeight="1">
      <c r="A823" s="17">
        <f t="shared" si="1"/>
        <v>820</v>
      </c>
      <c r="B823" s="18" t="s">
        <v>13</v>
      </c>
      <c r="C823" s="31" t="s">
        <v>3695</v>
      </c>
      <c r="D823" s="19" t="s">
        <v>3696</v>
      </c>
      <c r="E823" s="20" t="s">
        <v>3697</v>
      </c>
      <c r="F823" s="32" t="s">
        <v>3698</v>
      </c>
      <c r="G823" s="22" t="s">
        <v>53</v>
      </c>
      <c r="H823" s="23" t="s">
        <v>3699</v>
      </c>
      <c r="I823" s="24" t="s">
        <v>55</v>
      </c>
      <c r="J823" s="1" t="str">
        <f t="shared" si="0"/>
        <v/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6.25" hidden="1" customHeight="1">
      <c r="A824" s="17">
        <f t="shared" si="1"/>
        <v>821</v>
      </c>
      <c r="B824" s="18" t="s">
        <v>13</v>
      </c>
      <c r="C824" s="19" t="s">
        <v>3700</v>
      </c>
      <c r="D824" s="19" t="s">
        <v>3701</v>
      </c>
      <c r="E824" s="20" t="s">
        <v>3702</v>
      </c>
      <c r="F824" s="21" t="s">
        <v>17</v>
      </c>
      <c r="G824" s="22" t="s">
        <v>53</v>
      </c>
      <c r="H824" s="23" t="s">
        <v>3703</v>
      </c>
      <c r="I824" s="24" t="s">
        <v>20</v>
      </c>
      <c r="J824" s="1" t="str">
        <f t="shared" si="0"/>
        <v>FRIC</v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6.25" hidden="1" customHeight="1">
      <c r="A825" s="17">
        <f t="shared" si="1"/>
        <v>822</v>
      </c>
      <c r="B825" s="18" t="s">
        <v>13</v>
      </c>
      <c r="C825" s="19" t="s">
        <v>3704</v>
      </c>
      <c r="D825" s="19" t="s">
        <v>3705</v>
      </c>
      <c r="E825" s="20" t="s">
        <v>3706</v>
      </c>
      <c r="F825" s="21" t="s">
        <v>905</v>
      </c>
      <c r="G825" s="22" t="s">
        <v>53</v>
      </c>
      <c r="H825" s="23" t="s">
        <v>3707</v>
      </c>
      <c r="I825" s="24" t="s">
        <v>20</v>
      </c>
      <c r="J825" s="1" t="str">
        <f t="shared" si="0"/>
        <v>FRIC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6.25" hidden="1" customHeight="1">
      <c r="A826" s="17">
        <f t="shared" si="1"/>
        <v>823</v>
      </c>
      <c r="B826" s="18" t="s">
        <v>37</v>
      </c>
      <c r="C826" s="19" t="s">
        <v>3708</v>
      </c>
      <c r="D826" s="19" t="s">
        <v>3709</v>
      </c>
      <c r="E826" s="20" t="s">
        <v>3710</v>
      </c>
      <c r="F826" s="21" t="s">
        <v>3711</v>
      </c>
      <c r="G826" s="22" t="s">
        <v>53</v>
      </c>
      <c r="H826" s="23" t="s">
        <v>3712</v>
      </c>
      <c r="I826" s="24" t="s">
        <v>20</v>
      </c>
      <c r="J826" s="1" t="str">
        <f t="shared" si="0"/>
        <v>FRIC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6.25" hidden="1" customHeight="1">
      <c r="A827" s="17">
        <f t="shared" si="1"/>
        <v>824</v>
      </c>
      <c r="B827" s="18" t="s">
        <v>132</v>
      </c>
      <c r="C827" s="19" t="s">
        <v>3713</v>
      </c>
      <c r="D827" s="19" t="s">
        <v>3714</v>
      </c>
      <c r="E827" s="20" t="s">
        <v>1787</v>
      </c>
      <c r="F827" s="32" t="s">
        <v>3715</v>
      </c>
      <c r="G827" s="22" t="s">
        <v>53</v>
      </c>
      <c r="H827" s="23" t="s">
        <v>3716</v>
      </c>
      <c r="I827" s="34" t="s">
        <v>55</v>
      </c>
      <c r="J827" s="1" t="str">
        <f t="shared" si="0"/>
        <v/>
      </c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</row>
    <row r="828" spans="1:24" ht="26.25" hidden="1" customHeight="1">
      <c r="A828" s="17">
        <f t="shared" si="1"/>
        <v>825</v>
      </c>
      <c r="B828" s="18" t="s">
        <v>132</v>
      </c>
      <c r="C828" s="19" t="s">
        <v>3717</v>
      </c>
      <c r="D828" s="19" t="s">
        <v>3718</v>
      </c>
      <c r="E828" s="20" t="s">
        <v>1794</v>
      </c>
      <c r="F828" s="32" t="s">
        <v>3719</v>
      </c>
      <c r="G828" s="22" t="s">
        <v>53</v>
      </c>
      <c r="H828" s="23" t="s">
        <v>3720</v>
      </c>
      <c r="I828" s="34" t="s">
        <v>55</v>
      </c>
      <c r="J828" s="1" t="str">
        <f t="shared" si="0"/>
        <v/>
      </c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</row>
    <row r="829" spans="1:24" ht="26.25" hidden="1" customHeight="1">
      <c r="A829" s="17">
        <f t="shared" si="1"/>
        <v>826</v>
      </c>
      <c r="B829" s="18" t="s">
        <v>132</v>
      </c>
      <c r="C829" s="19" t="s">
        <v>1796</v>
      </c>
      <c r="D829" s="19" t="s">
        <v>3676</v>
      </c>
      <c r="E829" s="20" t="s">
        <v>1798</v>
      </c>
      <c r="F829" s="32" t="s">
        <v>3721</v>
      </c>
      <c r="G829" s="22" t="s">
        <v>53</v>
      </c>
      <c r="H829" s="23" t="s">
        <v>3722</v>
      </c>
      <c r="I829" s="34" t="s">
        <v>55</v>
      </c>
      <c r="J829" s="1" t="str">
        <f t="shared" si="0"/>
        <v/>
      </c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</row>
    <row r="830" spans="1:24" ht="26.25" hidden="1" customHeight="1">
      <c r="A830" s="17">
        <f t="shared" si="1"/>
        <v>827</v>
      </c>
      <c r="B830" s="18" t="s">
        <v>132</v>
      </c>
      <c r="C830" s="19" t="s">
        <v>3723</v>
      </c>
      <c r="D830" s="19" t="s">
        <v>3676</v>
      </c>
      <c r="E830" s="20" t="s">
        <v>3724</v>
      </c>
      <c r="F830" s="21" t="s">
        <v>2382</v>
      </c>
      <c r="G830" s="22" t="s">
        <v>53</v>
      </c>
      <c r="H830" s="23" t="s">
        <v>3725</v>
      </c>
      <c r="I830" s="24" t="s">
        <v>20</v>
      </c>
      <c r="J830" s="1" t="str">
        <f t="shared" si="0"/>
        <v>FRIC</v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6.25" hidden="1" customHeight="1">
      <c r="A831" s="17">
        <f t="shared" si="1"/>
        <v>828</v>
      </c>
      <c r="B831" s="18" t="s">
        <v>132</v>
      </c>
      <c r="C831" s="19" t="s">
        <v>3726</v>
      </c>
      <c r="D831" s="19" t="s">
        <v>3727</v>
      </c>
      <c r="E831" s="20" t="s">
        <v>3728</v>
      </c>
      <c r="F831" s="21" t="s">
        <v>3729</v>
      </c>
      <c r="G831" s="22" t="s">
        <v>53</v>
      </c>
      <c r="H831" s="23" t="s">
        <v>3730</v>
      </c>
      <c r="I831" s="24" t="s">
        <v>20</v>
      </c>
      <c r="J831" s="1" t="str">
        <f t="shared" si="0"/>
        <v>FRIC</v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6.25" hidden="1" customHeight="1">
      <c r="A832" s="17">
        <f t="shared" si="1"/>
        <v>829</v>
      </c>
      <c r="B832" s="18" t="s">
        <v>105</v>
      </c>
      <c r="C832" s="31" t="s">
        <v>3731</v>
      </c>
      <c r="D832" s="19" t="s">
        <v>2460</v>
      </c>
      <c r="E832" s="20" t="s">
        <v>283</v>
      </c>
      <c r="F832" s="32" t="s">
        <v>3732</v>
      </c>
      <c r="G832" s="33" t="s">
        <v>53</v>
      </c>
      <c r="H832" s="23" t="s">
        <v>3733</v>
      </c>
      <c r="I832" s="24" t="s">
        <v>55</v>
      </c>
      <c r="J832" s="1" t="str">
        <f t="shared" si="0"/>
        <v/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6.25" hidden="1" customHeight="1">
      <c r="A833" s="17">
        <f t="shared" si="1"/>
        <v>830</v>
      </c>
      <c r="B833" s="18" t="s">
        <v>13</v>
      </c>
      <c r="C833" s="19" t="s">
        <v>3734</v>
      </c>
      <c r="D833" s="19" t="s">
        <v>3735</v>
      </c>
      <c r="E833" s="20" t="s">
        <v>1802</v>
      </c>
      <c r="F833" s="32" t="s">
        <v>3736</v>
      </c>
      <c r="G833" s="33" t="s">
        <v>53</v>
      </c>
      <c r="H833" s="23" t="s">
        <v>3737</v>
      </c>
      <c r="I833" s="34" t="s">
        <v>55</v>
      </c>
      <c r="J833" s="1" t="str">
        <f t="shared" si="0"/>
        <v/>
      </c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</row>
    <row r="834" spans="1:24" ht="26.25" hidden="1" customHeight="1">
      <c r="A834" s="17">
        <f t="shared" si="1"/>
        <v>831</v>
      </c>
      <c r="B834" s="18" t="s">
        <v>132</v>
      </c>
      <c r="C834" s="31" t="s">
        <v>3738</v>
      </c>
      <c r="D834" s="19" t="s">
        <v>3739</v>
      </c>
      <c r="E834" s="20" t="s">
        <v>3740</v>
      </c>
      <c r="F834" s="32" t="s">
        <v>3741</v>
      </c>
      <c r="G834" s="33" t="s">
        <v>53</v>
      </c>
      <c r="H834" s="23" t="s">
        <v>3742</v>
      </c>
      <c r="I834" s="24" t="s">
        <v>55</v>
      </c>
      <c r="J834" s="1" t="str">
        <f t="shared" si="0"/>
        <v/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6.25" hidden="1" customHeight="1">
      <c r="A835" s="17">
        <f t="shared" si="1"/>
        <v>832</v>
      </c>
      <c r="B835" s="18" t="s">
        <v>27</v>
      </c>
      <c r="C835" s="19" t="s">
        <v>3743</v>
      </c>
      <c r="D835" s="19" t="s">
        <v>3744</v>
      </c>
      <c r="E835" s="20" t="s">
        <v>3745</v>
      </c>
      <c r="F835" s="21" t="s">
        <v>135</v>
      </c>
      <c r="G835" s="33" t="s">
        <v>53</v>
      </c>
      <c r="H835" s="23" t="s">
        <v>3746</v>
      </c>
      <c r="I835" s="24" t="s">
        <v>20</v>
      </c>
      <c r="J835" s="1" t="str">
        <f t="shared" si="0"/>
        <v>FRIC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6.25" hidden="1" customHeight="1">
      <c r="A836" s="17">
        <f t="shared" si="1"/>
        <v>833</v>
      </c>
      <c r="B836" s="18" t="s">
        <v>867</v>
      </c>
      <c r="C836" s="31" t="s">
        <v>3747</v>
      </c>
      <c r="D836" s="19" t="s">
        <v>3718</v>
      </c>
      <c r="E836" s="20" t="s">
        <v>3748</v>
      </c>
      <c r="F836" s="32" t="s">
        <v>3749</v>
      </c>
      <c r="G836" s="33" t="s">
        <v>53</v>
      </c>
      <c r="H836" s="23" t="s">
        <v>3750</v>
      </c>
      <c r="I836" s="24" t="s">
        <v>55</v>
      </c>
      <c r="J836" s="1" t="str">
        <f t="shared" si="0"/>
        <v/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6.25" hidden="1" customHeight="1">
      <c r="A837" s="17">
        <f t="shared" si="1"/>
        <v>834</v>
      </c>
      <c r="B837" s="18" t="s">
        <v>867</v>
      </c>
      <c r="C837" s="31" t="s">
        <v>3751</v>
      </c>
      <c r="D837" s="19" t="s">
        <v>3752</v>
      </c>
      <c r="E837" s="20" t="s">
        <v>3753</v>
      </c>
      <c r="F837" s="32" t="s">
        <v>3754</v>
      </c>
      <c r="G837" s="33" t="s">
        <v>53</v>
      </c>
      <c r="H837" s="23" t="s">
        <v>3755</v>
      </c>
      <c r="I837" s="24" t="s">
        <v>55</v>
      </c>
      <c r="J837" s="1" t="str">
        <f t="shared" si="0"/>
        <v/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6.25" hidden="1" customHeight="1">
      <c r="A838" s="17">
        <f t="shared" si="1"/>
        <v>835</v>
      </c>
      <c r="B838" s="18" t="s">
        <v>13</v>
      </c>
      <c r="C838" s="19" t="s">
        <v>3756</v>
      </c>
      <c r="D838" s="19" t="s">
        <v>3757</v>
      </c>
      <c r="E838" s="20" t="s">
        <v>3758</v>
      </c>
      <c r="F838" s="21" t="s">
        <v>2052</v>
      </c>
      <c r="G838" s="33" t="s">
        <v>53</v>
      </c>
      <c r="H838" s="23" t="s">
        <v>3759</v>
      </c>
      <c r="I838" s="24" t="s">
        <v>20</v>
      </c>
      <c r="J838" s="1" t="str">
        <f t="shared" si="0"/>
        <v>FRIC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6.25" customHeight="1">
      <c r="A839" s="17">
        <f t="shared" si="1"/>
        <v>836</v>
      </c>
      <c r="B839" s="18" t="s">
        <v>175</v>
      </c>
      <c r="C839" s="31" t="s">
        <v>3760</v>
      </c>
      <c r="D839" s="19" t="s">
        <v>3761</v>
      </c>
      <c r="E839" s="20" t="s">
        <v>3762</v>
      </c>
      <c r="F839" s="21" t="s">
        <v>2052</v>
      </c>
      <c r="G839" s="33" t="s">
        <v>53</v>
      </c>
      <c r="H839" s="23" t="s">
        <v>3763</v>
      </c>
      <c r="I839" s="34" t="s">
        <v>20</v>
      </c>
      <c r="J839" s="1" t="str">
        <f t="shared" si="0"/>
        <v>과기</v>
      </c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</row>
    <row r="840" spans="1:24" ht="26.25" hidden="1" customHeight="1">
      <c r="A840" s="17">
        <f t="shared" si="1"/>
        <v>837</v>
      </c>
      <c r="B840" s="18" t="s">
        <v>3194</v>
      </c>
      <c r="C840" s="31" t="s">
        <v>3764</v>
      </c>
      <c r="D840" s="19" t="s">
        <v>3765</v>
      </c>
      <c r="E840" s="20" t="s">
        <v>3766</v>
      </c>
      <c r="F840" s="32" t="s">
        <v>3767</v>
      </c>
      <c r="G840" s="33" t="s">
        <v>53</v>
      </c>
      <c r="H840" s="23" t="s">
        <v>3768</v>
      </c>
      <c r="I840" s="24" t="s">
        <v>55</v>
      </c>
      <c r="J840" s="1" t="str">
        <f t="shared" si="0"/>
        <v/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6.25" hidden="1" customHeight="1">
      <c r="A841" s="17">
        <f t="shared" si="1"/>
        <v>838</v>
      </c>
      <c r="B841" s="18" t="s">
        <v>175</v>
      </c>
      <c r="C841" s="31" t="s">
        <v>3769</v>
      </c>
      <c r="D841" s="19" t="s">
        <v>3770</v>
      </c>
      <c r="E841" s="20" t="s">
        <v>432</v>
      </c>
      <c r="F841" s="32" t="s">
        <v>3771</v>
      </c>
      <c r="G841" s="33" t="s">
        <v>53</v>
      </c>
      <c r="H841" s="23" t="s">
        <v>3772</v>
      </c>
      <c r="I841" s="24" t="s">
        <v>55</v>
      </c>
      <c r="J841" s="1" t="str">
        <f t="shared" si="0"/>
        <v/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6.25" hidden="1" customHeight="1">
      <c r="A842" s="17">
        <f t="shared" si="1"/>
        <v>839</v>
      </c>
      <c r="B842" s="18" t="s">
        <v>175</v>
      </c>
      <c r="C842" s="31" t="s">
        <v>3773</v>
      </c>
      <c r="D842" s="19" t="s">
        <v>3774</v>
      </c>
      <c r="E842" s="20" t="s">
        <v>1583</v>
      </c>
      <c r="F842" s="21" t="s">
        <v>3775</v>
      </c>
      <c r="G842" s="33" t="s">
        <v>53</v>
      </c>
      <c r="H842" s="23" t="s">
        <v>3776</v>
      </c>
      <c r="I842" s="34" t="s">
        <v>55</v>
      </c>
      <c r="J842" s="1" t="str">
        <f t="shared" si="0"/>
        <v/>
      </c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</row>
    <row r="843" spans="1:24" ht="26.25" hidden="1" customHeight="1">
      <c r="A843" s="17">
        <f t="shared" si="1"/>
        <v>840</v>
      </c>
      <c r="B843" s="18" t="s">
        <v>27</v>
      </c>
      <c r="C843" s="31" t="s">
        <v>3777</v>
      </c>
      <c r="D843" s="19" t="s">
        <v>3778</v>
      </c>
      <c r="E843" s="1"/>
      <c r="F843" s="32" t="s">
        <v>3779</v>
      </c>
      <c r="G843" s="33" t="s">
        <v>53</v>
      </c>
      <c r="H843" s="23" t="s">
        <v>3780</v>
      </c>
      <c r="I843" s="24" t="s">
        <v>55</v>
      </c>
      <c r="J843" s="1" t="str">
        <f t="shared" si="0"/>
        <v/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6.25" hidden="1" customHeight="1">
      <c r="A844" s="17">
        <f t="shared" si="1"/>
        <v>841</v>
      </c>
      <c r="B844" s="18" t="s">
        <v>132</v>
      </c>
      <c r="C844" s="19" t="s">
        <v>3781</v>
      </c>
      <c r="D844" s="19" t="s">
        <v>3782</v>
      </c>
      <c r="E844" s="20" t="s">
        <v>3783</v>
      </c>
      <c r="F844" s="21" t="s">
        <v>2052</v>
      </c>
      <c r="G844" s="22" t="s">
        <v>53</v>
      </c>
      <c r="H844" s="23" t="s">
        <v>3784</v>
      </c>
      <c r="I844" s="24" t="s">
        <v>20</v>
      </c>
      <c r="J844" s="1" t="str">
        <f t="shared" si="0"/>
        <v>FRIC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6.25" customHeight="1">
      <c r="A845" s="17">
        <f t="shared" si="1"/>
        <v>842</v>
      </c>
      <c r="B845" s="18" t="s">
        <v>105</v>
      </c>
      <c r="C845" s="31" t="s">
        <v>3785</v>
      </c>
      <c r="D845" s="19" t="s">
        <v>3786</v>
      </c>
      <c r="E845" s="20" t="s">
        <v>3787</v>
      </c>
      <c r="F845" s="21" t="s">
        <v>2236</v>
      </c>
      <c r="G845" s="33" t="s">
        <v>53</v>
      </c>
      <c r="H845" s="23" t="s">
        <v>3788</v>
      </c>
      <c r="I845" s="34" t="s">
        <v>20</v>
      </c>
      <c r="J845" s="1" t="str">
        <f t="shared" si="0"/>
        <v>과기</v>
      </c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</row>
    <row r="846" spans="1:24" ht="26.25" hidden="1" customHeight="1">
      <c r="A846" s="17">
        <f t="shared" si="1"/>
        <v>843</v>
      </c>
      <c r="B846" s="18" t="s">
        <v>13</v>
      </c>
      <c r="C846" s="19" t="s">
        <v>3789</v>
      </c>
      <c r="D846" s="19" t="s">
        <v>3790</v>
      </c>
      <c r="E846" s="79" t="s">
        <v>3791</v>
      </c>
      <c r="F846" s="21" t="s">
        <v>3792</v>
      </c>
      <c r="G846" s="33" t="s">
        <v>53</v>
      </c>
      <c r="H846" s="23" t="s">
        <v>3793</v>
      </c>
      <c r="I846" s="24" t="s">
        <v>20</v>
      </c>
      <c r="J846" s="1" t="str">
        <f t="shared" si="0"/>
        <v>FRIC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6.25" hidden="1" customHeight="1">
      <c r="A847" s="17">
        <f t="shared" si="1"/>
        <v>844</v>
      </c>
      <c r="B847" s="18" t="s">
        <v>37</v>
      </c>
      <c r="C847" s="31" t="s">
        <v>202</v>
      </c>
      <c r="D847" s="19" t="s">
        <v>3794</v>
      </c>
      <c r="E847" s="20" t="s">
        <v>204</v>
      </c>
      <c r="F847" s="32" t="s">
        <v>3795</v>
      </c>
      <c r="G847" s="33" t="s">
        <v>53</v>
      </c>
      <c r="H847" s="23" t="s">
        <v>3796</v>
      </c>
      <c r="I847" s="24" t="s">
        <v>55</v>
      </c>
      <c r="J847" s="1" t="str">
        <f t="shared" si="0"/>
        <v/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6.25" hidden="1" customHeight="1">
      <c r="A848" s="17">
        <f t="shared" si="1"/>
        <v>845</v>
      </c>
      <c r="B848" s="18" t="s">
        <v>37</v>
      </c>
      <c r="C848" s="19" t="s">
        <v>3797</v>
      </c>
      <c r="D848" s="19" t="s">
        <v>3798</v>
      </c>
      <c r="E848" s="20" t="s">
        <v>3799</v>
      </c>
      <c r="F848" s="21" t="s">
        <v>3800</v>
      </c>
      <c r="G848" s="33" t="s">
        <v>53</v>
      </c>
      <c r="H848" s="23" t="s">
        <v>3801</v>
      </c>
      <c r="I848" s="24" t="s">
        <v>20</v>
      </c>
      <c r="J848" s="1" t="str">
        <f t="shared" si="0"/>
        <v>FRIC</v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6.25" hidden="1" customHeight="1">
      <c r="A849" s="17">
        <f t="shared" si="1"/>
        <v>846</v>
      </c>
      <c r="B849" s="18" t="s">
        <v>37</v>
      </c>
      <c r="C849" s="19" t="s">
        <v>3802</v>
      </c>
      <c r="D849" s="19" t="s">
        <v>3803</v>
      </c>
      <c r="E849" s="20" t="s">
        <v>3804</v>
      </c>
      <c r="F849" s="21" t="s">
        <v>3805</v>
      </c>
      <c r="G849" s="33" t="s">
        <v>53</v>
      </c>
      <c r="H849" s="23" t="s">
        <v>3806</v>
      </c>
      <c r="I849" s="24" t="s">
        <v>20</v>
      </c>
      <c r="J849" s="1" t="str">
        <f t="shared" si="0"/>
        <v>FRIC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6.25" hidden="1" customHeight="1">
      <c r="A850" s="17">
        <f t="shared" si="1"/>
        <v>847</v>
      </c>
      <c r="B850" s="18" t="s">
        <v>37</v>
      </c>
      <c r="C850" s="19" t="s">
        <v>3807</v>
      </c>
      <c r="D850" s="19" t="s">
        <v>3808</v>
      </c>
      <c r="E850" s="20" t="s">
        <v>3809</v>
      </c>
      <c r="F850" s="21" t="s">
        <v>3810</v>
      </c>
      <c r="G850" s="22" t="s">
        <v>31</v>
      </c>
      <c r="H850" s="23" t="s">
        <v>3811</v>
      </c>
      <c r="I850" s="24" t="s">
        <v>20</v>
      </c>
      <c r="J850" s="1" t="str">
        <f t="shared" si="0"/>
        <v>FRIC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6.25" hidden="1" customHeight="1">
      <c r="A851" s="17">
        <f t="shared" si="1"/>
        <v>848</v>
      </c>
      <c r="B851" s="18" t="s">
        <v>175</v>
      </c>
      <c r="C851" s="31" t="s">
        <v>3812</v>
      </c>
      <c r="D851" s="19" t="s">
        <v>3813</v>
      </c>
      <c r="E851" s="20" t="s">
        <v>3814</v>
      </c>
      <c r="F851" s="32" t="s">
        <v>3815</v>
      </c>
      <c r="G851" s="33" t="s">
        <v>53</v>
      </c>
      <c r="H851" s="23" t="s">
        <v>3816</v>
      </c>
      <c r="I851" s="24" t="s">
        <v>55</v>
      </c>
      <c r="J851" s="1" t="str">
        <f t="shared" si="0"/>
        <v/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6.25" hidden="1" customHeight="1">
      <c r="A852" s="17">
        <f t="shared" si="1"/>
        <v>849</v>
      </c>
      <c r="B852" s="18" t="s">
        <v>132</v>
      </c>
      <c r="C852" s="19" t="s">
        <v>3817</v>
      </c>
      <c r="D852" s="19" t="s">
        <v>3818</v>
      </c>
      <c r="E852" s="20" t="s">
        <v>3819</v>
      </c>
      <c r="F852" s="21" t="s">
        <v>3820</v>
      </c>
      <c r="G852" s="33" t="s">
        <v>53</v>
      </c>
      <c r="H852" s="23" t="s">
        <v>3821</v>
      </c>
      <c r="I852" s="24" t="s">
        <v>20</v>
      </c>
      <c r="J852" s="1" t="str">
        <f t="shared" si="0"/>
        <v>FRIC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6.25" hidden="1" customHeight="1">
      <c r="A853" s="17">
        <f t="shared" si="1"/>
        <v>850</v>
      </c>
      <c r="B853" s="18" t="s">
        <v>1197</v>
      </c>
      <c r="C853" s="19" t="s">
        <v>1807</v>
      </c>
      <c r="D853" s="19" t="s">
        <v>3822</v>
      </c>
      <c r="E853" s="20" t="s">
        <v>1809</v>
      </c>
      <c r="F853" s="32" t="s">
        <v>3823</v>
      </c>
      <c r="G853" s="33" t="s">
        <v>53</v>
      </c>
      <c r="H853" s="23" t="s">
        <v>3824</v>
      </c>
      <c r="I853" s="34" t="s">
        <v>55</v>
      </c>
      <c r="J853" s="1" t="str">
        <f t="shared" si="0"/>
        <v/>
      </c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</row>
    <row r="854" spans="1:24" ht="26.25" hidden="1" customHeight="1">
      <c r="A854" s="17">
        <f t="shared" si="1"/>
        <v>851</v>
      </c>
      <c r="B854" s="18" t="s">
        <v>105</v>
      </c>
      <c r="C854" s="31" t="s">
        <v>3825</v>
      </c>
      <c r="D854" s="19" t="s">
        <v>478</v>
      </c>
      <c r="E854" s="20" t="s">
        <v>479</v>
      </c>
      <c r="F854" s="32" t="s">
        <v>3826</v>
      </c>
      <c r="G854" s="33" t="s">
        <v>53</v>
      </c>
      <c r="H854" s="23" t="s">
        <v>3827</v>
      </c>
      <c r="I854" s="24" t="s">
        <v>55</v>
      </c>
      <c r="J854" s="1" t="str">
        <f t="shared" si="0"/>
        <v/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6.25" hidden="1" customHeight="1">
      <c r="A855" s="17">
        <f t="shared" si="1"/>
        <v>852</v>
      </c>
      <c r="B855" s="18" t="s">
        <v>13</v>
      </c>
      <c r="C855" s="31" t="s">
        <v>3828</v>
      </c>
      <c r="D855" s="19" t="s">
        <v>3829</v>
      </c>
      <c r="E855" s="20" t="s">
        <v>3830</v>
      </c>
      <c r="F855" s="32" t="s">
        <v>170</v>
      </c>
      <c r="G855" s="33" t="s">
        <v>53</v>
      </c>
      <c r="H855" s="23" t="s">
        <v>3831</v>
      </c>
      <c r="I855" s="24" t="s">
        <v>55</v>
      </c>
      <c r="J855" s="1" t="str">
        <f t="shared" si="0"/>
        <v/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6.25" hidden="1" customHeight="1">
      <c r="A856" s="17">
        <f t="shared" si="1"/>
        <v>853</v>
      </c>
      <c r="B856" s="18" t="s">
        <v>867</v>
      </c>
      <c r="C856" s="31" t="s">
        <v>3832</v>
      </c>
      <c r="D856" s="19" t="s">
        <v>3833</v>
      </c>
      <c r="E856" s="20" t="s">
        <v>1561</v>
      </c>
      <c r="F856" s="21" t="s">
        <v>3834</v>
      </c>
      <c r="G856" s="33" t="s">
        <v>53</v>
      </c>
      <c r="H856" s="23" t="s">
        <v>3835</v>
      </c>
      <c r="I856" s="34" t="s">
        <v>55</v>
      </c>
      <c r="J856" s="1" t="str">
        <f t="shared" si="0"/>
        <v/>
      </c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</row>
    <row r="857" spans="1:24" ht="26.25" customHeight="1">
      <c r="A857" s="17">
        <f t="shared" si="1"/>
        <v>854</v>
      </c>
      <c r="B857" s="18" t="s">
        <v>867</v>
      </c>
      <c r="C857" s="31" t="s">
        <v>3836</v>
      </c>
      <c r="D857" s="19" t="s">
        <v>3837</v>
      </c>
      <c r="E857" s="20" t="s">
        <v>3838</v>
      </c>
      <c r="F857" s="21" t="s">
        <v>3839</v>
      </c>
      <c r="G857" s="33" t="s">
        <v>53</v>
      </c>
      <c r="H857" s="23" t="s">
        <v>3840</v>
      </c>
      <c r="I857" s="34" t="s">
        <v>20</v>
      </c>
      <c r="J857" s="1" t="str">
        <f t="shared" si="0"/>
        <v>과기</v>
      </c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</row>
    <row r="858" spans="1:24" ht="26.25" hidden="1" customHeight="1">
      <c r="A858" s="17">
        <f t="shared" si="1"/>
        <v>855</v>
      </c>
      <c r="B858" s="18" t="s">
        <v>13</v>
      </c>
      <c r="C858" s="19" t="s">
        <v>3841</v>
      </c>
      <c r="D858" s="77" t="s">
        <v>3842</v>
      </c>
      <c r="E858" s="103" t="s">
        <v>3843</v>
      </c>
      <c r="F858" s="21" t="s">
        <v>1609</v>
      </c>
      <c r="G858" s="33" t="s">
        <v>53</v>
      </c>
      <c r="H858" s="23" t="s">
        <v>3844</v>
      </c>
      <c r="I858" s="24" t="s">
        <v>20</v>
      </c>
      <c r="J858" s="1" t="str">
        <f t="shared" si="0"/>
        <v>FRIC</v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6.25" hidden="1" customHeight="1">
      <c r="A859" s="17">
        <f t="shared" si="1"/>
        <v>856</v>
      </c>
      <c r="B859" s="18" t="s">
        <v>13</v>
      </c>
      <c r="C859" s="19" t="s">
        <v>3845</v>
      </c>
      <c r="D859" s="19" t="s">
        <v>3846</v>
      </c>
      <c r="E859" s="20" t="s">
        <v>3847</v>
      </c>
      <c r="F859" s="21" t="s">
        <v>3848</v>
      </c>
      <c r="G859" s="33" t="s">
        <v>53</v>
      </c>
      <c r="H859" s="23" t="s">
        <v>3849</v>
      </c>
      <c r="I859" s="24" t="s">
        <v>20</v>
      </c>
      <c r="J859" s="1" t="str">
        <f t="shared" si="0"/>
        <v>FRIC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6.25" hidden="1" customHeight="1">
      <c r="A860" s="17">
        <f t="shared" si="1"/>
        <v>857</v>
      </c>
      <c r="B860" s="18" t="s">
        <v>105</v>
      </c>
      <c r="C860" s="19" t="s">
        <v>3850</v>
      </c>
      <c r="D860" s="19" t="s">
        <v>3851</v>
      </c>
      <c r="E860" s="20" t="s">
        <v>3852</v>
      </c>
      <c r="F860" s="21" t="s">
        <v>3853</v>
      </c>
      <c r="G860" s="33" t="s">
        <v>63</v>
      </c>
      <c r="H860" s="23" t="s">
        <v>3854</v>
      </c>
      <c r="I860" s="24" t="s">
        <v>20</v>
      </c>
      <c r="J860" s="1" t="str">
        <f t="shared" si="0"/>
        <v>FRIC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6.25" customHeight="1">
      <c r="A861" s="17">
        <f t="shared" si="1"/>
        <v>858</v>
      </c>
      <c r="B861" s="18" t="s">
        <v>175</v>
      </c>
      <c r="C861" s="31" t="s">
        <v>3855</v>
      </c>
      <c r="D861" s="19" t="s">
        <v>3856</v>
      </c>
      <c r="E861" s="20" t="s">
        <v>3857</v>
      </c>
      <c r="F861" s="21" t="s">
        <v>3858</v>
      </c>
      <c r="G861" s="33" t="s">
        <v>53</v>
      </c>
      <c r="H861" s="23" t="s">
        <v>3859</v>
      </c>
      <c r="I861" s="34" t="s">
        <v>20</v>
      </c>
      <c r="J861" s="1" t="str">
        <f t="shared" si="0"/>
        <v>과기</v>
      </c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</row>
    <row r="862" spans="1:24" ht="26.25" customHeight="1">
      <c r="A862" s="17">
        <f t="shared" si="1"/>
        <v>859</v>
      </c>
      <c r="B862" s="18" t="s">
        <v>175</v>
      </c>
      <c r="C862" s="31" t="s">
        <v>3860</v>
      </c>
      <c r="D862" s="19" t="s">
        <v>3861</v>
      </c>
      <c r="E862" s="20" t="s">
        <v>3862</v>
      </c>
      <c r="F862" s="21" t="s">
        <v>3863</v>
      </c>
      <c r="G862" s="33" t="s">
        <v>53</v>
      </c>
      <c r="H862" s="23" t="s">
        <v>3864</v>
      </c>
      <c r="I862" s="34" t="s">
        <v>20</v>
      </c>
      <c r="J862" s="1" t="str">
        <f t="shared" si="0"/>
        <v>과기</v>
      </c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</row>
    <row r="863" spans="1:24" ht="26.25" hidden="1" customHeight="1">
      <c r="A863" s="17">
        <f t="shared" si="1"/>
        <v>860</v>
      </c>
      <c r="B863" s="18" t="s">
        <v>175</v>
      </c>
      <c r="C863" s="31" t="s">
        <v>3865</v>
      </c>
      <c r="D863" s="19" t="s">
        <v>3866</v>
      </c>
      <c r="E863" s="20" t="s">
        <v>400</v>
      </c>
      <c r="F863" s="32" t="s">
        <v>3867</v>
      </c>
      <c r="G863" s="33" t="s">
        <v>53</v>
      </c>
      <c r="H863" s="23" t="s">
        <v>3868</v>
      </c>
      <c r="I863" s="24" t="s">
        <v>55</v>
      </c>
      <c r="J863" s="1" t="str">
        <f t="shared" si="0"/>
        <v/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6.25" customHeight="1">
      <c r="A864" s="17">
        <f t="shared" si="1"/>
        <v>861</v>
      </c>
      <c r="B864" s="18" t="s">
        <v>175</v>
      </c>
      <c r="C864" s="31" t="s">
        <v>3869</v>
      </c>
      <c r="D864" s="19" t="s">
        <v>673</v>
      </c>
      <c r="E864" s="20" t="s">
        <v>3870</v>
      </c>
      <c r="F864" s="21" t="s">
        <v>3871</v>
      </c>
      <c r="G864" s="33" t="s">
        <v>42</v>
      </c>
      <c r="H864" s="23" t="s">
        <v>3872</v>
      </c>
      <c r="I864" s="34" t="s">
        <v>20</v>
      </c>
      <c r="J864" s="1" t="str">
        <f t="shared" si="0"/>
        <v>과기</v>
      </c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</row>
    <row r="865" spans="1:24" ht="26.25" hidden="1" customHeight="1">
      <c r="A865" s="17">
        <f t="shared" si="1"/>
        <v>862</v>
      </c>
      <c r="B865" s="18" t="s">
        <v>37</v>
      </c>
      <c r="C865" s="39" t="s">
        <v>1811</v>
      </c>
      <c r="D865" s="39" t="s">
        <v>3873</v>
      </c>
      <c r="E865" s="20" t="s">
        <v>1813</v>
      </c>
      <c r="F865" s="44" t="s">
        <v>4939</v>
      </c>
      <c r="G865" s="22" t="s">
        <v>53</v>
      </c>
      <c r="H865" s="41" t="s">
        <v>3875</v>
      </c>
      <c r="I865" s="34" t="s">
        <v>55</v>
      </c>
      <c r="J865" s="1" t="str">
        <f t="shared" si="0"/>
        <v/>
      </c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</row>
    <row r="866" spans="1:24" ht="26.25" hidden="1" customHeight="1">
      <c r="A866" s="17">
        <f t="shared" si="1"/>
        <v>863</v>
      </c>
      <c r="B866" s="18" t="s">
        <v>867</v>
      </c>
      <c r="C866" s="31" t="s">
        <v>3876</v>
      </c>
      <c r="D866" s="19" t="s">
        <v>3877</v>
      </c>
      <c r="E866" s="20"/>
      <c r="F866" s="32" t="s">
        <v>3878</v>
      </c>
      <c r="G866" s="33" t="s">
        <v>53</v>
      </c>
      <c r="H866" s="23" t="s">
        <v>3879</v>
      </c>
      <c r="I866" s="24" t="s">
        <v>55</v>
      </c>
      <c r="J866" s="1" t="str">
        <f t="shared" si="0"/>
        <v/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6.25" customHeight="1">
      <c r="A867" s="17">
        <f t="shared" si="1"/>
        <v>864</v>
      </c>
      <c r="B867" s="18" t="s">
        <v>867</v>
      </c>
      <c r="C867" s="31" t="s">
        <v>3880</v>
      </c>
      <c r="D867" s="19" t="s">
        <v>3881</v>
      </c>
      <c r="E867" s="20" t="s">
        <v>3882</v>
      </c>
      <c r="F867" s="21" t="s">
        <v>3883</v>
      </c>
      <c r="G867" s="33" t="s">
        <v>53</v>
      </c>
      <c r="H867" s="23" t="s">
        <v>3884</v>
      </c>
      <c r="I867" s="34" t="s">
        <v>20</v>
      </c>
      <c r="J867" s="1" t="str">
        <f t="shared" si="0"/>
        <v>과기</v>
      </c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</row>
    <row r="868" spans="1:24" ht="26.25" hidden="1" customHeight="1">
      <c r="A868" s="17">
        <f t="shared" si="1"/>
        <v>865</v>
      </c>
      <c r="B868" s="18" t="s">
        <v>1197</v>
      </c>
      <c r="C868" s="31" t="s">
        <v>3885</v>
      </c>
      <c r="D868" s="19" t="s">
        <v>3886</v>
      </c>
      <c r="E868" s="20" t="s">
        <v>3887</v>
      </c>
      <c r="F868" s="32" t="s">
        <v>3888</v>
      </c>
      <c r="G868" s="33" t="s">
        <v>53</v>
      </c>
      <c r="H868" s="23" t="s">
        <v>3889</v>
      </c>
      <c r="I868" s="24" t="s">
        <v>55</v>
      </c>
      <c r="J868" s="1" t="str">
        <f t="shared" si="0"/>
        <v/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6.25" hidden="1" customHeight="1">
      <c r="A869" s="17">
        <f t="shared" si="1"/>
        <v>866</v>
      </c>
      <c r="B869" s="18" t="s">
        <v>132</v>
      </c>
      <c r="C869" s="31" t="s">
        <v>3890</v>
      </c>
      <c r="D869" s="19" t="s">
        <v>3891</v>
      </c>
      <c r="E869" s="20" t="s">
        <v>3892</v>
      </c>
      <c r="F869" s="32" t="s">
        <v>3893</v>
      </c>
      <c r="G869" s="33" t="s">
        <v>53</v>
      </c>
      <c r="H869" s="23" t="s">
        <v>3894</v>
      </c>
      <c r="I869" s="24" t="s">
        <v>55</v>
      </c>
      <c r="J869" s="1" t="str">
        <f t="shared" si="0"/>
        <v/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6.25" hidden="1" customHeight="1">
      <c r="A870" s="17">
        <f t="shared" si="1"/>
        <v>867</v>
      </c>
      <c r="B870" s="18" t="s">
        <v>132</v>
      </c>
      <c r="C870" s="19" t="s">
        <v>3895</v>
      </c>
      <c r="D870" s="19" t="s">
        <v>3896</v>
      </c>
      <c r="E870" s="20" t="s">
        <v>3897</v>
      </c>
      <c r="F870" s="21" t="s">
        <v>863</v>
      </c>
      <c r="G870" s="22" t="s">
        <v>63</v>
      </c>
      <c r="H870" s="23" t="s">
        <v>3898</v>
      </c>
      <c r="I870" s="24" t="s">
        <v>20</v>
      </c>
      <c r="J870" s="1" t="str">
        <f t="shared" si="0"/>
        <v>FRIC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6.25" hidden="1" customHeight="1">
      <c r="A871" s="17">
        <f t="shared" si="1"/>
        <v>868</v>
      </c>
      <c r="B871" s="18" t="s">
        <v>27</v>
      </c>
      <c r="C871" s="31" t="s">
        <v>3899</v>
      </c>
      <c r="D871" s="19" t="s">
        <v>3676</v>
      </c>
      <c r="E871" s="20" t="s">
        <v>3900</v>
      </c>
      <c r="F871" s="32" t="s">
        <v>3901</v>
      </c>
      <c r="G871" s="33" t="s">
        <v>53</v>
      </c>
      <c r="H871" s="23" t="s">
        <v>3902</v>
      </c>
      <c r="I871" s="24" t="s">
        <v>55</v>
      </c>
      <c r="J871" s="1" t="str">
        <f t="shared" si="0"/>
        <v/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6.25" customHeight="1">
      <c r="A872" s="17">
        <f t="shared" si="1"/>
        <v>869</v>
      </c>
      <c r="B872" s="18" t="s">
        <v>175</v>
      </c>
      <c r="C872" s="31" t="s">
        <v>3903</v>
      </c>
      <c r="D872" s="19" t="s">
        <v>3904</v>
      </c>
      <c r="E872" s="20" t="s">
        <v>3905</v>
      </c>
      <c r="F872" s="21" t="s">
        <v>326</v>
      </c>
      <c r="G872" s="33" t="s">
        <v>53</v>
      </c>
      <c r="H872" s="23" t="s">
        <v>3906</v>
      </c>
      <c r="I872" s="34" t="s">
        <v>20</v>
      </c>
      <c r="J872" s="1" t="str">
        <f t="shared" si="0"/>
        <v>과기</v>
      </c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</row>
    <row r="873" spans="1:24" ht="26.25" hidden="1" customHeight="1">
      <c r="A873" s="17">
        <f t="shared" si="1"/>
        <v>870</v>
      </c>
      <c r="B873" s="18" t="s">
        <v>867</v>
      </c>
      <c r="C873" s="31" t="s">
        <v>3907</v>
      </c>
      <c r="D873" s="42" t="s">
        <v>3908</v>
      </c>
      <c r="E873" s="43" t="s">
        <v>3909</v>
      </c>
      <c r="F873" s="32" t="s">
        <v>3910</v>
      </c>
      <c r="G873" s="70" t="s">
        <v>53</v>
      </c>
      <c r="H873" s="41" t="s">
        <v>3911</v>
      </c>
      <c r="I873" s="24" t="s">
        <v>55</v>
      </c>
      <c r="J873" s="1" t="str">
        <f t="shared" si="0"/>
        <v/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6.25" customHeight="1">
      <c r="A874" s="17">
        <f t="shared" si="1"/>
        <v>871</v>
      </c>
      <c r="B874" s="18" t="s">
        <v>175</v>
      </c>
      <c r="C874" s="31" t="s">
        <v>3912</v>
      </c>
      <c r="D874" s="19" t="s">
        <v>3913</v>
      </c>
      <c r="E874" s="20" t="s">
        <v>3914</v>
      </c>
      <c r="F874" s="21" t="s">
        <v>3915</v>
      </c>
      <c r="G874" s="33" t="s">
        <v>53</v>
      </c>
      <c r="H874" s="23" t="s">
        <v>3916</v>
      </c>
      <c r="I874" s="34" t="s">
        <v>20</v>
      </c>
      <c r="J874" s="1" t="str">
        <f t="shared" si="0"/>
        <v>과기</v>
      </c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</row>
    <row r="875" spans="1:24" ht="26.25" customHeight="1">
      <c r="A875" s="17">
        <f t="shared" si="1"/>
        <v>872</v>
      </c>
      <c r="B875" s="18" t="s">
        <v>2181</v>
      </c>
      <c r="C875" s="31" t="s">
        <v>3917</v>
      </c>
      <c r="D875" s="19" t="s">
        <v>3918</v>
      </c>
      <c r="E875" s="20" t="s">
        <v>3919</v>
      </c>
      <c r="F875" s="21" t="s">
        <v>490</v>
      </c>
      <c r="G875" s="33" t="s">
        <v>53</v>
      </c>
      <c r="H875" s="23" t="s">
        <v>3920</v>
      </c>
      <c r="I875" s="34" t="s">
        <v>20</v>
      </c>
      <c r="J875" s="1" t="str">
        <f t="shared" si="0"/>
        <v>과기</v>
      </c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</row>
    <row r="876" spans="1:24" ht="26.25" hidden="1" customHeight="1">
      <c r="A876" s="17">
        <f t="shared" si="1"/>
        <v>873</v>
      </c>
      <c r="B876" s="18" t="s">
        <v>233</v>
      </c>
      <c r="C876" s="19" t="s">
        <v>3921</v>
      </c>
      <c r="D876" s="19" t="s">
        <v>3922</v>
      </c>
      <c r="E876" s="20" t="s">
        <v>3923</v>
      </c>
      <c r="F876" s="21" t="s">
        <v>3924</v>
      </c>
      <c r="G876" s="33" t="s">
        <v>53</v>
      </c>
      <c r="H876" s="23" t="s">
        <v>3925</v>
      </c>
      <c r="I876" s="24" t="s">
        <v>20</v>
      </c>
      <c r="J876" s="1" t="str">
        <f t="shared" si="0"/>
        <v>FRIC</v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6.25" hidden="1" customHeight="1">
      <c r="A877" s="17">
        <f t="shared" si="1"/>
        <v>874</v>
      </c>
      <c r="B877" s="18" t="s">
        <v>132</v>
      </c>
      <c r="C877" s="19" t="s">
        <v>3926</v>
      </c>
      <c r="D877" s="19" t="s">
        <v>3927</v>
      </c>
      <c r="E877" s="20" t="s">
        <v>3928</v>
      </c>
      <c r="F877" s="21" t="s">
        <v>2236</v>
      </c>
      <c r="G877" s="33" t="s">
        <v>53</v>
      </c>
      <c r="H877" s="23" t="s">
        <v>3929</v>
      </c>
      <c r="I877" s="24" t="s">
        <v>20</v>
      </c>
      <c r="J877" s="1" t="str">
        <f t="shared" si="0"/>
        <v>FRIC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6.25" hidden="1" customHeight="1">
      <c r="A878" s="17">
        <f t="shared" si="1"/>
        <v>875</v>
      </c>
      <c r="B878" s="18" t="s">
        <v>867</v>
      </c>
      <c r="C878" s="31" t="s">
        <v>3930</v>
      </c>
      <c r="D878" s="19" t="s">
        <v>3931</v>
      </c>
      <c r="E878" s="20" t="s">
        <v>3932</v>
      </c>
      <c r="F878" s="32" t="s">
        <v>2546</v>
      </c>
      <c r="G878" s="33" t="s">
        <v>42</v>
      </c>
      <c r="H878" s="23" t="s">
        <v>3933</v>
      </c>
      <c r="I878" s="24" t="s">
        <v>55</v>
      </c>
      <c r="J878" s="1" t="str">
        <f t="shared" si="0"/>
        <v/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6.25" customHeight="1">
      <c r="A879" s="17">
        <f t="shared" si="1"/>
        <v>876</v>
      </c>
      <c r="B879" s="18" t="s">
        <v>2181</v>
      </c>
      <c r="C879" s="31" t="s">
        <v>3934</v>
      </c>
      <c r="D879" s="19" t="s">
        <v>3935</v>
      </c>
      <c r="E879" s="20" t="s">
        <v>3936</v>
      </c>
      <c r="F879" s="21" t="s">
        <v>3266</v>
      </c>
      <c r="G879" s="33" t="s">
        <v>53</v>
      </c>
      <c r="H879" s="23" t="s">
        <v>3937</v>
      </c>
      <c r="I879" s="34" t="s">
        <v>20</v>
      </c>
      <c r="J879" s="1" t="str">
        <f t="shared" si="0"/>
        <v>과기</v>
      </c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</row>
    <row r="880" spans="1:24" ht="26.25" hidden="1" customHeight="1">
      <c r="A880" s="17">
        <f t="shared" si="1"/>
        <v>877</v>
      </c>
      <c r="B880" s="18" t="s">
        <v>13</v>
      </c>
      <c r="C880" s="19" t="s">
        <v>3938</v>
      </c>
      <c r="D880" s="19" t="s">
        <v>2015</v>
      </c>
      <c r="E880" s="20" t="s">
        <v>1741</v>
      </c>
      <c r="F880" s="32" t="s">
        <v>3939</v>
      </c>
      <c r="G880" s="33" t="s">
        <v>53</v>
      </c>
      <c r="H880" s="23" t="s">
        <v>3940</v>
      </c>
      <c r="I880" s="34" t="s">
        <v>55</v>
      </c>
      <c r="J880" s="1" t="str">
        <f t="shared" si="0"/>
        <v/>
      </c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</row>
    <row r="881" spans="1:24" ht="26.25" hidden="1" customHeight="1">
      <c r="A881" s="17">
        <f t="shared" si="1"/>
        <v>878</v>
      </c>
      <c r="B881" s="18" t="s">
        <v>13</v>
      </c>
      <c r="C881" s="19" t="s">
        <v>3941</v>
      </c>
      <c r="D881" s="19" t="s">
        <v>2015</v>
      </c>
      <c r="E881" s="20" t="s">
        <v>1747</v>
      </c>
      <c r="F881" s="32" t="s">
        <v>3942</v>
      </c>
      <c r="G881" s="22" t="s">
        <v>63</v>
      </c>
      <c r="H881" s="23" t="s">
        <v>3943</v>
      </c>
      <c r="I881" s="34" t="s">
        <v>55</v>
      </c>
      <c r="J881" s="1" t="str">
        <f t="shared" si="0"/>
        <v/>
      </c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</row>
    <row r="882" spans="1:24" ht="26.25" hidden="1" customHeight="1">
      <c r="A882" s="17">
        <f t="shared" si="1"/>
        <v>879</v>
      </c>
      <c r="B882" s="18" t="s">
        <v>13</v>
      </c>
      <c r="C882" s="19" t="s">
        <v>3944</v>
      </c>
      <c r="D882" s="19" t="s">
        <v>2015</v>
      </c>
      <c r="E882" s="20" t="s">
        <v>1752</v>
      </c>
      <c r="F882" s="32" t="s">
        <v>52</v>
      </c>
      <c r="G882" s="22" t="s">
        <v>63</v>
      </c>
      <c r="H882" s="23" t="s">
        <v>3945</v>
      </c>
      <c r="I882" s="34" t="s">
        <v>55</v>
      </c>
      <c r="J882" s="1" t="str">
        <f t="shared" si="0"/>
        <v/>
      </c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</row>
    <row r="883" spans="1:24" ht="26.25" customHeight="1">
      <c r="A883" s="17">
        <f t="shared" si="1"/>
        <v>880</v>
      </c>
      <c r="B883" s="18" t="s">
        <v>2181</v>
      </c>
      <c r="C883" s="31" t="s">
        <v>3946</v>
      </c>
      <c r="D883" s="19" t="s">
        <v>3947</v>
      </c>
      <c r="E883" s="20" t="s">
        <v>3948</v>
      </c>
      <c r="F883" s="21" t="s">
        <v>863</v>
      </c>
      <c r="G883" s="33" t="s">
        <v>53</v>
      </c>
      <c r="H883" s="23" t="s">
        <v>3949</v>
      </c>
      <c r="I883" s="34" t="s">
        <v>20</v>
      </c>
      <c r="J883" s="1" t="str">
        <f t="shared" si="0"/>
        <v>과기</v>
      </c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</row>
    <row r="884" spans="1:24" ht="26.25" hidden="1" customHeight="1">
      <c r="A884" s="17">
        <f t="shared" si="1"/>
        <v>881</v>
      </c>
      <c r="B884" s="18" t="s">
        <v>3950</v>
      </c>
      <c r="C884" s="31" t="s">
        <v>3951</v>
      </c>
      <c r="D884" s="19" t="s">
        <v>3952</v>
      </c>
      <c r="E884" s="20" t="s">
        <v>3953</v>
      </c>
      <c r="F884" s="32" t="s">
        <v>3954</v>
      </c>
      <c r="G884" s="33" t="s">
        <v>53</v>
      </c>
      <c r="H884" s="23" t="s">
        <v>3955</v>
      </c>
      <c r="I884" s="24" t="s">
        <v>55</v>
      </c>
      <c r="J884" s="1" t="str">
        <f t="shared" si="0"/>
        <v/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6.25" hidden="1" customHeight="1">
      <c r="A885" s="17">
        <f t="shared" si="1"/>
        <v>882</v>
      </c>
      <c r="B885" s="18" t="s">
        <v>175</v>
      </c>
      <c r="C885" s="31" t="s">
        <v>3956</v>
      </c>
      <c r="D885" s="19" t="s">
        <v>3957</v>
      </c>
      <c r="E885" s="20" t="s">
        <v>1590</v>
      </c>
      <c r="F885" s="21" t="s">
        <v>3958</v>
      </c>
      <c r="G885" s="33" t="s">
        <v>53</v>
      </c>
      <c r="H885" s="23" t="s">
        <v>3959</v>
      </c>
      <c r="I885" s="34" t="s">
        <v>55</v>
      </c>
      <c r="J885" s="1" t="str">
        <f t="shared" si="0"/>
        <v/>
      </c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</row>
    <row r="886" spans="1:24" ht="26.25" hidden="1" customHeight="1">
      <c r="A886" s="17">
        <f t="shared" si="1"/>
        <v>883</v>
      </c>
      <c r="B886" s="18" t="s">
        <v>37</v>
      </c>
      <c r="C886" s="19" t="s">
        <v>3960</v>
      </c>
      <c r="D886" s="19" t="s">
        <v>2631</v>
      </c>
      <c r="E886" s="20" t="s">
        <v>3961</v>
      </c>
      <c r="F886" s="21" t="s">
        <v>3266</v>
      </c>
      <c r="G886" s="33" t="s">
        <v>53</v>
      </c>
      <c r="H886" s="23" t="s">
        <v>3962</v>
      </c>
      <c r="I886" s="24" t="s">
        <v>20</v>
      </c>
      <c r="J886" s="1" t="str">
        <f t="shared" si="0"/>
        <v>FRIC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6.25" hidden="1" customHeight="1">
      <c r="A887" s="17">
        <f t="shared" si="1"/>
        <v>884</v>
      </c>
      <c r="B887" s="18" t="s">
        <v>132</v>
      </c>
      <c r="C887" s="31" t="s">
        <v>3963</v>
      </c>
      <c r="D887" s="19" t="s">
        <v>3964</v>
      </c>
      <c r="E887" s="20" t="s">
        <v>3965</v>
      </c>
      <c r="F887" s="32" t="s">
        <v>1461</v>
      </c>
      <c r="G887" s="33" t="s">
        <v>53</v>
      </c>
      <c r="H887" s="23" t="s">
        <v>3966</v>
      </c>
      <c r="I887" s="24" t="s">
        <v>55</v>
      </c>
      <c r="J887" s="1" t="str">
        <f t="shared" si="0"/>
        <v/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6.25" hidden="1" customHeight="1">
      <c r="A888" s="17">
        <f t="shared" si="1"/>
        <v>885</v>
      </c>
      <c r="B888" s="18" t="s">
        <v>132</v>
      </c>
      <c r="C888" s="31" t="s">
        <v>3967</v>
      </c>
      <c r="D888" s="19" t="s">
        <v>3964</v>
      </c>
      <c r="E888" s="20" t="s">
        <v>3968</v>
      </c>
      <c r="F888" s="32" t="s">
        <v>1461</v>
      </c>
      <c r="G888" s="33" t="s">
        <v>53</v>
      </c>
      <c r="H888" s="23" t="s">
        <v>3969</v>
      </c>
      <c r="I888" s="24" t="s">
        <v>55</v>
      </c>
      <c r="J888" s="1" t="str">
        <f t="shared" si="0"/>
        <v/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6.25" hidden="1" customHeight="1">
      <c r="A889" s="17">
        <f t="shared" si="1"/>
        <v>886</v>
      </c>
      <c r="B889" s="18" t="s">
        <v>132</v>
      </c>
      <c r="C889" s="31" t="s">
        <v>3970</v>
      </c>
      <c r="D889" s="19" t="s">
        <v>3964</v>
      </c>
      <c r="E889" s="20" t="s">
        <v>3971</v>
      </c>
      <c r="F889" s="32" t="s">
        <v>1461</v>
      </c>
      <c r="G889" s="33" t="s">
        <v>53</v>
      </c>
      <c r="H889" s="23" t="s">
        <v>3972</v>
      </c>
      <c r="I889" s="24" t="s">
        <v>55</v>
      </c>
      <c r="J889" s="1" t="str">
        <f t="shared" si="0"/>
        <v/>
      </c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6.25" hidden="1" customHeight="1">
      <c r="A890" s="17">
        <f t="shared" si="1"/>
        <v>887</v>
      </c>
      <c r="B890" s="18" t="s">
        <v>132</v>
      </c>
      <c r="C890" s="19" t="s">
        <v>3973</v>
      </c>
      <c r="D890" s="19" t="s">
        <v>3964</v>
      </c>
      <c r="E890" s="20" t="s">
        <v>3974</v>
      </c>
      <c r="F890" s="21" t="s">
        <v>3975</v>
      </c>
      <c r="G890" s="33" t="s">
        <v>53</v>
      </c>
      <c r="H890" s="23" t="s">
        <v>3976</v>
      </c>
      <c r="I890" s="24" t="s">
        <v>20</v>
      </c>
      <c r="J890" s="1" t="str">
        <f t="shared" si="0"/>
        <v>FRIC</v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6.25" hidden="1" customHeight="1">
      <c r="A891" s="17">
        <f t="shared" si="1"/>
        <v>888</v>
      </c>
      <c r="B891" s="18" t="s">
        <v>37</v>
      </c>
      <c r="C891" s="19" t="s">
        <v>3977</v>
      </c>
      <c r="D891" s="19" t="s">
        <v>3978</v>
      </c>
      <c r="E891" s="20" t="s">
        <v>3979</v>
      </c>
      <c r="F891" s="21" t="s">
        <v>3980</v>
      </c>
      <c r="G891" s="33" t="s">
        <v>53</v>
      </c>
      <c r="H891" s="23" t="s">
        <v>3981</v>
      </c>
      <c r="I891" s="24" t="s">
        <v>20</v>
      </c>
      <c r="J891" s="1" t="str">
        <f t="shared" si="0"/>
        <v>FRIC</v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6.25" customHeight="1">
      <c r="A892" s="17">
        <f t="shared" si="1"/>
        <v>889</v>
      </c>
      <c r="B892" s="18" t="s">
        <v>175</v>
      </c>
      <c r="C892" s="31" t="s">
        <v>3982</v>
      </c>
      <c r="D892" s="19" t="s">
        <v>3983</v>
      </c>
      <c r="E892" s="20" t="s">
        <v>3984</v>
      </c>
      <c r="F892" s="21" t="s">
        <v>3985</v>
      </c>
      <c r="G892" s="33" t="s">
        <v>63</v>
      </c>
      <c r="H892" s="23" t="s">
        <v>3986</v>
      </c>
      <c r="I892" s="34" t="s">
        <v>20</v>
      </c>
      <c r="J892" s="1" t="str">
        <f t="shared" si="0"/>
        <v>과기</v>
      </c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</row>
    <row r="893" spans="1:24" ht="26.25" hidden="1" customHeight="1">
      <c r="A893" s="17">
        <f t="shared" si="1"/>
        <v>890</v>
      </c>
      <c r="B893" s="18" t="s">
        <v>1375</v>
      </c>
      <c r="C893" s="19" t="s">
        <v>3987</v>
      </c>
      <c r="D893" s="19" t="s">
        <v>2538</v>
      </c>
      <c r="E893" s="20" t="s">
        <v>3988</v>
      </c>
      <c r="F893" s="21" t="s">
        <v>126</v>
      </c>
      <c r="G893" s="33" t="s">
        <v>53</v>
      </c>
      <c r="H893" s="23" t="s">
        <v>3989</v>
      </c>
      <c r="I893" s="24" t="s">
        <v>20</v>
      </c>
      <c r="J893" s="1" t="str">
        <f t="shared" si="0"/>
        <v>FRIC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6.25" hidden="1" customHeight="1">
      <c r="A894" s="17">
        <f t="shared" si="1"/>
        <v>891</v>
      </c>
      <c r="B894" s="18" t="s">
        <v>867</v>
      </c>
      <c r="C894" s="19" t="s">
        <v>3990</v>
      </c>
      <c r="D894" s="19" t="s">
        <v>3991</v>
      </c>
      <c r="E894" s="20" t="s">
        <v>3992</v>
      </c>
      <c r="F894" s="21" t="s">
        <v>905</v>
      </c>
      <c r="G894" s="33" t="s">
        <v>42</v>
      </c>
      <c r="H894" s="23" t="s">
        <v>3993</v>
      </c>
      <c r="I894" s="24" t="s">
        <v>20</v>
      </c>
      <c r="J894" s="1" t="str">
        <f t="shared" si="0"/>
        <v>FRIC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6.25" customHeight="1">
      <c r="A895" s="17">
        <f t="shared" si="1"/>
        <v>892</v>
      </c>
      <c r="B895" s="18" t="s">
        <v>105</v>
      </c>
      <c r="C895" s="31" t="s">
        <v>3994</v>
      </c>
      <c r="D895" s="19" t="s">
        <v>3995</v>
      </c>
      <c r="E895" s="20" t="s">
        <v>3996</v>
      </c>
      <c r="F895" s="21" t="s">
        <v>2382</v>
      </c>
      <c r="G895" s="33" t="s">
        <v>53</v>
      </c>
      <c r="H895" s="23" t="s">
        <v>3997</v>
      </c>
      <c r="I895" s="34" t="s">
        <v>20</v>
      </c>
      <c r="J895" s="1" t="str">
        <f t="shared" si="0"/>
        <v>과기</v>
      </c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</row>
    <row r="896" spans="1:24" ht="26.25" hidden="1" customHeight="1">
      <c r="A896" s="17">
        <f t="shared" si="1"/>
        <v>893</v>
      </c>
      <c r="B896" s="18" t="s">
        <v>867</v>
      </c>
      <c r="C896" s="31" t="s">
        <v>3998</v>
      </c>
      <c r="D896" s="19" t="s">
        <v>3999</v>
      </c>
      <c r="E896" s="20" t="s">
        <v>4000</v>
      </c>
      <c r="F896" s="32" t="s">
        <v>3258</v>
      </c>
      <c r="G896" s="33" t="s">
        <v>31</v>
      </c>
      <c r="H896" s="23" t="s">
        <v>4001</v>
      </c>
      <c r="I896" s="24" t="s">
        <v>55</v>
      </c>
      <c r="J896" s="1" t="str">
        <f t="shared" si="0"/>
        <v/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6.25" customHeight="1">
      <c r="A897" s="17">
        <f t="shared" si="1"/>
        <v>894</v>
      </c>
      <c r="B897" s="18" t="s">
        <v>867</v>
      </c>
      <c r="C897" s="31" t="s">
        <v>4002</v>
      </c>
      <c r="D897" s="19" t="s">
        <v>4003</v>
      </c>
      <c r="E897" s="20" t="s">
        <v>4004</v>
      </c>
      <c r="F897" s="21" t="s">
        <v>2052</v>
      </c>
      <c r="G897" s="33" t="s">
        <v>53</v>
      </c>
      <c r="H897" s="23" t="s">
        <v>4005</v>
      </c>
      <c r="I897" s="34" t="s">
        <v>20</v>
      </c>
      <c r="J897" s="1" t="str">
        <f t="shared" si="0"/>
        <v>과기</v>
      </c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</row>
    <row r="898" spans="1:24" ht="26.25" hidden="1" customHeight="1">
      <c r="A898" s="17">
        <f t="shared" si="1"/>
        <v>895</v>
      </c>
      <c r="B898" s="18" t="s">
        <v>27</v>
      </c>
      <c r="C898" s="31" t="s">
        <v>4006</v>
      </c>
      <c r="D898" s="19" t="s">
        <v>4007</v>
      </c>
      <c r="E898" s="20" t="s">
        <v>486</v>
      </c>
      <c r="F898" s="32" t="s">
        <v>603</v>
      </c>
      <c r="G898" s="33" t="s">
        <v>53</v>
      </c>
      <c r="H898" s="23" t="s">
        <v>4008</v>
      </c>
      <c r="I898" s="24" t="s">
        <v>55</v>
      </c>
      <c r="J898" s="1" t="str">
        <f t="shared" si="0"/>
        <v/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6.25" hidden="1" customHeight="1">
      <c r="A899" s="17">
        <f t="shared" si="1"/>
        <v>896</v>
      </c>
      <c r="B899" s="18" t="s">
        <v>867</v>
      </c>
      <c r="C899" s="31" t="s">
        <v>4009</v>
      </c>
      <c r="D899" s="19" t="s">
        <v>4010</v>
      </c>
      <c r="E899" s="20" t="s">
        <v>4011</v>
      </c>
      <c r="F899" s="32" t="s">
        <v>2546</v>
      </c>
      <c r="G899" s="33" t="s">
        <v>53</v>
      </c>
      <c r="H899" s="23" t="s">
        <v>4012</v>
      </c>
      <c r="I899" s="24" t="s">
        <v>55</v>
      </c>
      <c r="J899" s="1" t="str">
        <f t="shared" si="0"/>
        <v/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6.25" hidden="1" customHeight="1">
      <c r="A900" s="17">
        <f t="shared" si="1"/>
        <v>897</v>
      </c>
      <c r="B900" s="18" t="s">
        <v>37</v>
      </c>
      <c r="C900" s="19" t="s">
        <v>4013</v>
      </c>
      <c r="D900" s="19" t="s">
        <v>4014</v>
      </c>
      <c r="E900" s="20" t="s">
        <v>1819</v>
      </c>
      <c r="F900" s="32" t="s">
        <v>4015</v>
      </c>
      <c r="G900" s="33" t="s">
        <v>53</v>
      </c>
      <c r="H900" s="23" t="s">
        <v>4016</v>
      </c>
      <c r="I900" s="34" t="s">
        <v>55</v>
      </c>
      <c r="J900" s="1" t="str">
        <f t="shared" si="0"/>
        <v/>
      </c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</row>
    <row r="901" spans="1:24" ht="26.25" hidden="1" customHeight="1">
      <c r="A901" s="17">
        <f t="shared" si="1"/>
        <v>898</v>
      </c>
      <c r="B901" s="18" t="s">
        <v>867</v>
      </c>
      <c r="C901" s="31" t="s">
        <v>4017</v>
      </c>
      <c r="D901" s="19" t="s">
        <v>4018</v>
      </c>
      <c r="E901" s="20" t="s">
        <v>4019</v>
      </c>
      <c r="F901" s="32" t="s">
        <v>1393</v>
      </c>
      <c r="G901" s="70" t="s">
        <v>53</v>
      </c>
      <c r="H901" s="23" t="s">
        <v>4020</v>
      </c>
      <c r="I901" s="24" t="s">
        <v>55</v>
      </c>
      <c r="J901" s="1" t="str">
        <f t="shared" si="0"/>
        <v/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6.25" hidden="1" customHeight="1">
      <c r="A902" s="17">
        <f t="shared" si="1"/>
        <v>899</v>
      </c>
      <c r="B902" s="18" t="s">
        <v>233</v>
      </c>
      <c r="C902" s="19" t="s">
        <v>4021</v>
      </c>
      <c r="D902" s="19" t="s">
        <v>4022</v>
      </c>
      <c r="E902" s="20" t="s">
        <v>4023</v>
      </c>
      <c r="F902" s="21" t="s">
        <v>4024</v>
      </c>
      <c r="G902" s="33" t="s">
        <v>53</v>
      </c>
      <c r="H902" s="23" t="s">
        <v>4025</v>
      </c>
      <c r="I902" s="24" t="s">
        <v>20</v>
      </c>
      <c r="J902" s="1" t="str">
        <f t="shared" si="0"/>
        <v>FRIC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6.25" hidden="1" customHeight="1">
      <c r="A903" s="17">
        <f t="shared" si="1"/>
        <v>900</v>
      </c>
      <c r="B903" s="18" t="s">
        <v>1375</v>
      </c>
      <c r="C903" s="31" t="s">
        <v>4026</v>
      </c>
      <c r="D903" s="19" t="s">
        <v>2757</v>
      </c>
      <c r="E903" s="20" t="s">
        <v>4027</v>
      </c>
      <c r="F903" s="32" t="s">
        <v>222</v>
      </c>
      <c r="G903" s="33" t="s">
        <v>53</v>
      </c>
      <c r="H903" s="23" t="s">
        <v>4028</v>
      </c>
      <c r="I903" s="24" t="s">
        <v>55</v>
      </c>
      <c r="J903" s="1" t="str">
        <f t="shared" si="0"/>
        <v/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6.25" hidden="1" customHeight="1">
      <c r="A904" s="17">
        <f t="shared" si="1"/>
        <v>901</v>
      </c>
      <c r="B904" s="18" t="s">
        <v>1375</v>
      </c>
      <c r="C904" s="31" t="s">
        <v>4029</v>
      </c>
      <c r="D904" s="19" t="s">
        <v>4030</v>
      </c>
      <c r="E904" s="20" t="s">
        <v>1597</v>
      </c>
      <c r="F904" s="21" t="s">
        <v>2705</v>
      </c>
      <c r="G904" s="33" t="s">
        <v>53</v>
      </c>
      <c r="H904" s="23" t="s">
        <v>4031</v>
      </c>
      <c r="I904" s="34" t="s">
        <v>55</v>
      </c>
      <c r="J904" s="1" t="str">
        <f t="shared" si="0"/>
        <v/>
      </c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</row>
    <row r="905" spans="1:24" ht="26.25" hidden="1" customHeight="1">
      <c r="A905" s="17">
        <f t="shared" si="1"/>
        <v>902</v>
      </c>
      <c r="B905" s="18" t="s">
        <v>105</v>
      </c>
      <c r="C905" s="31" t="s">
        <v>4032</v>
      </c>
      <c r="D905" s="19" t="s">
        <v>4033</v>
      </c>
      <c r="E905" s="20" t="s">
        <v>4034</v>
      </c>
      <c r="F905" s="32" t="s">
        <v>4035</v>
      </c>
      <c r="G905" s="33" t="s">
        <v>53</v>
      </c>
      <c r="H905" s="23" t="s">
        <v>4036</v>
      </c>
      <c r="I905" s="24" t="s">
        <v>55</v>
      </c>
      <c r="J905" s="1" t="str">
        <f t="shared" si="0"/>
        <v/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6.25" hidden="1" customHeight="1">
      <c r="A906" s="17">
        <f t="shared" si="1"/>
        <v>903</v>
      </c>
      <c r="B906" s="18" t="s">
        <v>2181</v>
      </c>
      <c r="C906" s="31" t="s">
        <v>4037</v>
      </c>
      <c r="D906" s="19" t="s">
        <v>3774</v>
      </c>
      <c r="E906" s="20" t="s">
        <v>4038</v>
      </c>
      <c r="F906" s="32" t="s">
        <v>4039</v>
      </c>
      <c r="G906" s="33" t="s">
        <v>53</v>
      </c>
      <c r="H906" s="23" t="s">
        <v>4040</v>
      </c>
      <c r="I906" s="24" t="s">
        <v>55</v>
      </c>
      <c r="J906" s="1" t="str">
        <f t="shared" si="0"/>
        <v/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6.25" hidden="1" customHeight="1">
      <c r="A907" s="17">
        <f t="shared" si="1"/>
        <v>904</v>
      </c>
      <c r="B907" s="18" t="s">
        <v>132</v>
      </c>
      <c r="C907" s="31" t="s">
        <v>4041</v>
      </c>
      <c r="D907" s="19" t="s">
        <v>4042</v>
      </c>
      <c r="E907" s="20"/>
      <c r="F907" s="32" t="s">
        <v>1280</v>
      </c>
      <c r="G907" s="33" t="s">
        <v>53</v>
      </c>
      <c r="H907" s="23" t="s">
        <v>4043</v>
      </c>
      <c r="I907" s="24" t="s">
        <v>55</v>
      </c>
      <c r="J907" s="1" t="str">
        <f t="shared" si="0"/>
        <v/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6.25" hidden="1" customHeight="1">
      <c r="A908" s="17">
        <f t="shared" si="1"/>
        <v>905</v>
      </c>
      <c r="B908" s="18" t="s">
        <v>132</v>
      </c>
      <c r="C908" s="31" t="s">
        <v>4044</v>
      </c>
      <c r="D908" s="19" t="s">
        <v>4045</v>
      </c>
      <c r="E908" s="20" t="s">
        <v>305</v>
      </c>
      <c r="F908" s="32" t="s">
        <v>62</v>
      </c>
      <c r="G908" s="22" t="s">
        <v>53</v>
      </c>
      <c r="H908" s="23" t="s">
        <v>4046</v>
      </c>
      <c r="I908" s="24" t="s">
        <v>55</v>
      </c>
      <c r="J908" s="1" t="str">
        <f t="shared" si="0"/>
        <v/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6.25" hidden="1" customHeight="1">
      <c r="A909" s="17">
        <f t="shared" si="1"/>
        <v>906</v>
      </c>
      <c r="B909" s="18" t="s">
        <v>132</v>
      </c>
      <c r="C909" s="19" t="s">
        <v>4047</v>
      </c>
      <c r="D909" s="19" t="s">
        <v>3042</v>
      </c>
      <c r="E909" s="20" t="s">
        <v>4048</v>
      </c>
      <c r="F909" s="21" t="s">
        <v>135</v>
      </c>
      <c r="G909" s="22" t="s">
        <v>53</v>
      </c>
      <c r="H909" s="23" t="s">
        <v>4049</v>
      </c>
      <c r="I909" s="24" t="s">
        <v>20</v>
      </c>
      <c r="J909" s="1" t="str">
        <f t="shared" si="0"/>
        <v>FRIC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6.25" hidden="1" customHeight="1">
      <c r="A910" s="17">
        <f t="shared" si="1"/>
        <v>907</v>
      </c>
      <c r="B910" s="18" t="s">
        <v>132</v>
      </c>
      <c r="C910" s="31" t="s">
        <v>4050</v>
      </c>
      <c r="D910" s="19" t="s">
        <v>3042</v>
      </c>
      <c r="E910" s="20" t="s">
        <v>538</v>
      </c>
      <c r="F910" s="32" t="s">
        <v>496</v>
      </c>
      <c r="G910" s="22" t="s">
        <v>53</v>
      </c>
      <c r="H910" s="23" t="s">
        <v>4051</v>
      </c>
      <c r="I910" s="24" t="s">
        <v>55</v>
      </c>
      <c r="J910" s="1" t="str">
        <f t="shared" si="0"/>
        <v/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6.25" hidden="1" customHeight="1">
      <c r="A911" s="17">
        <f t="shared" si="1"/>
        <v>908</v>
      </c>
      <c r="B911" s="18" t="s">
        <v>37</v>
      </c>
      <c r="C911" s="31" t="s">
        <v>771</v>
      </c>
      <c r="D911" s="19" t="s">
        <v>4052</v>
      </c>
      <c r="E911" s="20" t="s">
        <v>773</v>
      </c>
      <c r="F911" s="32" t="s">
        <v>4053</v>
      </c>
      <c r="G911" s="22" t="s">
        <v>53</v>
      </c>
      <c r="H911" s="23" t="s">
        <v>4054</v>
      </c>
      <c r="I911" s="24" t="s">
        <v>55</v>
      </c>
      <c r="J911" s="1" t="str">
        <f t="shared" si="0"/>
        <v/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6.25" hidden="1" customHeight="1">
      <c r="A912" s="17">
        <f t="shared" si="1"/>
        <v>909</v>
      </c>
      <c r="B912" s="18" t="s">
        <v>37</v>
      </c>
      <c r="C912" s="31" t="s">
        <v>4055</v>
      </c>
      <c r="D912" s="19" t="s">
        <v>4056</v>
      </c>
      <c r="E912" s="20" t="s">
        <v>4057</v>
      </c>
      <c r="F912" s="32" t="s">
        <v>4058</v>
      </c>
      <c r="G912" s="22" t="s">
        <v>53</v>
      </c>
      <c r="H912" s="23" t="s">
        <v>4059</v>
      </c>
      <c r="I912" s="24" t="s">
        <v>55</v>
      </c>
      <c r="J912" s="1" t="str">
        <f t="shared" si="0"/>
        <v/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6.25" hidden="1" customHeight="1">
      <c r="A913" s="17">
        <f t="shared" si="1"/>
        <v>910</v>
      </c>
      <c r="B913" s="18" t="s">
        <v>48</v>
      </c>
      <c r="C913" s="31" t="s">
        <v>4060</v>
      </c>
      <c r="D913" s="19" t="s">
        <v>4061</v>
      </c>
      <c r="E913" s="20" t="s">
        <v>438</v>
      </c>
      <c r="F913" s="32" t="s">
        <v>4062</v>
      </c>
      <c r="G913" s="33" t="s">
        <v>63</v>
      </c>
      <c r="H913" s="23" t="s">
        <v>4063</v>
      </c>
      <c r="I913" s="24" t="s">
        <v>55</v>
      </c>
      <c r="J913" s="1" t="str">
        <f t="shared" si="0"/>
        <v/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6.25" hidden="1" customHeight="1">
      <c r="A914" s="17">
        <f t="shared" si="1"/>
        <v>911</v>
      </c>
      <c r="B914" s="18" t="s">
        <v>48</v>
      </c>
      <c r="C914" s="31" t="s">
        <v>4064</v>
      </c>
      <c r="D914" s="19" t="s">
        <v>4061</v>
      </c>
      <c r="E914" s="20" t="s">
        <v>445</v>
      </c>
      <c r="F914" s="32" t="s">
        <v>4062</v>
      </c>
      <c r="G914" s="33" t="s">
        <v>63</v>
      </c>
      <c r="H914" s="23" t="s">
        <v>4065</v>
      </c>
      <c r="I914" s="24" t="s">
        <v>55</v>
      </c>
      <c r="J914" s="1" t="str">
        <f t="shared" si="0"/>
        <v/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6.25" hidden="1" customHeight="1">
      <c r="A915" s="17">
        <f t="shared" si="1"/>
        <v>912</v>
      </c>
      <c r="B915" s="18" t="s">
        <v>48</v>
      </c>
      <c r="C915" s="31" t="s">
        <v>4066</v>
      </c>
      <c r="D915" s="19" t="s">
        <v>4061</v>
      </c>
      <c r="E915" s="20" t="s">
        <v>452</v>
      </c>
      <c r="F915" s="32" t="s">
        <v>4067</v>
      </c>
      <c r="G915" s="33" t="s">
        <v>63</v>
      </c>
      <c r="H915" s="23" t="s">
        <v>4068</v>
      </c>
      <c r="I915" s="24" t="s">
        <v>55</v>
      </c>
      <c r="J915" s="1" t="str">
        <f t="shared" si="0"/>
        <v/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6.25" hidden="1" customHeight="1">
      <c r="A916" s="17">
        <f t="shared" si="1"/>
        <v>913</v>
      </c>
      <c r="B916" s="18" t="s">
        <v>48</v>
      </c>
      <c r="C916" s="31" t="s">
        <v>4069</v>
      </c>
      <c r="D916" s="19" t="s">
        <v>4061</v>
      </c>
      <c r="E916" s="20" t="s">
        <v>458</v>
      </c>
      <c r="F916" s="32" t="s">
        <v>4070</v>
      </c>
      <c r="G916" s="33" t="s">
        <v>63</v>
      </c>
      <c r="H916" s="23" t="s">
        <v>4071</v>
      </c>
      <c r="I916" s="24" t="s">
        <v>55</v>
      </c>
      <c r="J916" s="1" t="str">
        <f t="shared" si="0"/>
        <v/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6.25" hidden="1" customHeight="1">
      <c r="A917" s="17">
        <f t="shared" si="1"/>
        <v>914</v>
      </c>
      <c r="B917" s="18" t="s">
        <v>48</v>
      </c>
      <c r="C917" s="31" t="s">
        <v>4072</v>
      </c>
      <c r="D917" s="19" t="s">
        <v>4061</v>
      </c>
      <c r="E917" s="20" t="s">
        <v>1619</v>
      </c>
      <c r="F917" s="21" t="s">
        <v>2434</v>
      </c>
      <c r="G917" s="33" t="s">
        <v>63</v>
      </c>
      <c r="H917" s="23" t="s">
        <v>4073</v>
      </c>
      <c r="I917" s="34" t="s">
        <v>55</v>
      </c>
      <c r="J917" s="1" t="str">
        <f t="shared" si="0"/>
        <v/>
      </c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</row>
    <row r="918" spans="1:24" ht="26.25" customHeight="1">
      <c r="A918" s="17">
        <f t="shared" si="1"/>
        <v>915</v>
      </c>
      <c r="B918" s="18" t="s">
        <v>48</v>
      </c>
      <c r="C918" s="31" t="s">
        <v>4074</v>
      </c>
      <c r="D918" s="19" t="s">
        <v>4075</v>
      </c>
      <c r="E918" s="20" t="s">
        <v>4076</v>
      </c>
      <c r="F918" s="21" t="s">
        <v>3924</v>
      </c>
      <c r="G918" s="33" t="s">
        <v>53</v>
      </c>
      <c r="H918" s="23" t="s">
        <v>4077</v>
      </c>
      <c r="I918" s="34" t="s">
        <v>20</v>
      </c>
      <c r="J918" s="1" t="str">
        <f t="shared" si="0"/>
        <v>과기</v>
      </c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</row>
    <row r="919" spans="1:24" ht="26.25" hidden="1" customHeight="1">
      <c r="A919" s="17">
        <f t="shared" si="1"/>
        <v>916</v>
      </c>
      <c r="B919" s="18" t="s">
        <v>48</v>
      </c>
      <c r="C919" s="31" t="s">
        <v>4078</v>
      </c>
      <c r="D919" s="19" t="s">
        <v>4079</v>
      </c>
      <c r="E919" s="20" t="s">
        <v>4080</v>
      </c>
      <c r="F919" s="32" t="s">
        <v>4081</v>
      </c>
      <c r="G919" s="33" t="s">
        <v>53</v>
      </c>
      <c r="H919" s="23" t="s">
        <v>4082</v>
      </c>
      <c r="I919" s="24" t="s">
        <v>55</v>
      </c>
      <c r="J919" s="1" t="str">
        <f t="shared" si="0"/>
        <v/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6.25" hidden="1" customHeight="1">
      <c r="A920" s="17">
        <f t="shared" si="1"/>
        <v>917</v>
      </c>
      <c r="B920" s="18" t="s">
        <v>48</v>
      </c>
      <c r="C920" s="31" t="s">
        <v>4083</v>
      </c>
      <c r="D920" s="19" t="s">
        <v>4084</v>
      </c>
      <c r="E920" s="20" t="s">
        <v>4085</v>
      </c>
      <c r="F920" s="32" t="s">
        <v>4086</v>
      </c>
      <c r="G920" s="33" t="s">
        <v>53</v>
      </c>
      <c r="H920" s="23" t="s">
        <v>4087</v>
      </c>
      <c r="I920" s="24" t="s">
        <v>55</v>
      </c>
      <c r="J920" s="1" t="str">
        <f t="shared" si="0"/>
        <v/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6.25" hidden="1" customHeight="1">
      <c r="A921" s="17">
        <f t="shared" si="1"/>
        <v>918</v>
      </c>
      <c r="B921" s="18" t="s">
        <v>48</v>
      </c>
      <c r="C921" s="31" t="s">
        <v>4088</v>
      </c>
      <c r="D921" s="19" t="s">
        <v>4079</v>
      </c>
      <c r="E921" s="20" t="s">
        <v>4089</v>
      </c>
      <c r="F921" s="32" t="s">
        <v>4090</v>
      </c>
      <c r="G921" s="33" t="s">
        <v>53</v>
      </c>
      <c r="H921" s="23" t="s">
        <v>4091</v>
      </c>
      <c r="I921" s="24" t="s">
        <v>55</v>
      </c>
      <c r="J921" s="1" t="str">
        <f t="shared" si="0"/>
        <v/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6.25" hidden="1" customHeight="1">
      <c r="A922" s="17">
        <f t="shared" si="1"/>
        <v>919</v>
      </c>
      <c r="B922" s="18" t="s">
        <v>48</v>
      </c>
      <c r="C922" s="31" t="s">
        <v>4092</v>
      </c>
      <c r="D922" s="19" t="s">
        <v>4079</v>
      </c>
      <c r="E922" s="20" t="s">
        <v>4093</v>
      </c>
      <c r="F922" s="32" t="s">
        <v>4081</v>
      </c>
      <c r="G922" s="33" t="s">
        <v>53</v>
      </c>
      <c r="H922" s="23" t="s">
        <v>4094</v>
      </c>
      <c r="I922" s="24" t="s">
        <v>55</v>
      </c>
      <c r="J922" s="1" t="str">
        <f t="shared" si="0"/>
        <v/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6.25" hidden="1" customHeight="1">
      <c r="A923" s="17">
        <f t="shared" si="1"/>
        <v>920</v>
      </c>
      <c r="B923" s="18" t="s">
        <v>48</v>
      </c>
      <c r="C923" s="31" t="s">
        <v>4095</v>
      </c>
      <c r="D923" s="19" t="s">
        <v>4079</v>
      </c>
      <c r="E923" s="20" t="s">
        <v>408</v>
      </c>
      <c r="F923" s="32" t="s">
        <v>4096</v>
      </c>
      <c r="G923" s="33" t="s">
        <v>53</v>
      </c>
      <c r="H923" s="23" t="s">
        <v>4097</v>
      </c>
      <c r="I923" s="24" t="s">
        <v>55</v>
      </c>
      <c r="J923" s="1" t="str">
        <f t="shared" si="0"/>
        <v/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6.25" hidden="1" customHeight="1">
      <c r="A924" s="17">
        <f t="shared" si="1"/>
        <v>921</v>
      </c>
      <c r="B924" s="18" t="s">
        <v>48</v>
      </c>
      <c r="C924" s="31" t="s">
        <v>4098</v>
      </c>
      <c r="D924" s="19" t="s">
        <v>4079</v>
      </c>
      <c r="E924" s="20" t="s">
        <v>413</v>
      </c>
      <c r="F924" s="32" t="s">
        <v>4099</v>
      </c>
      <c r="G924" s="33" t="s">
        <v>53</v>
      </c>
      <c r="H924" s="23" t="s">
        <v>4100</v>
      </c>
      <c r="I924" s="24" t="s">
        <v>55</v>
      </c>
      <c r="J924" s="1" t="str">
        <f t="shared" si="0"/>
        <v/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6.25" hidden="1" customHeight="1">
      <c r="A925" s="17">
        <f t="shared" si="1"/>
        <v>922</v>
      </c>
      <c r="B925" s="18" t="s">
        <v>48</v>
      </c>
      <c r="C925" s="31" t="s">
        <v>4101</v>
      </c>
      <c r="D925" s="19" t="s">
        <v>4079</v>
      </c>
      <c r="E925" s="20" t="s">
        <v>419</v>
      </c>
      <c r="F925" s="32" t="s">
        <v>4102</v>
      </c>
      <c r="G925" s="33" t="s">
        <v>53</v>
      </c>
      <c r="H925" s="23" t="s">
        <v>4103</v>
      </c>
      <c r="I925" s="24" t="s">
        <v>55</v>
      </c>
      <c r="J925" s="1" t="str">
        <f t="shared" si="0"/>
        <v/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6.25" hidden="1" customHeight="1">
      <c r="A926" s="17">
        <f t="shared" si="1"/>
        <v>923</v>
      </c>
      <c r="B926" s="18" t="s">
        <v>48</v>
      </c>
      <c r="C926" s="31" t="s">
        <v>4104</v>
      </c>
      <c r="D926" s="19" t="s">
        <v>4079</v>
      </c>
      <c r="E926" s="20" t="s">
        <v>425</v>
      </c>
      <c r="F926" s="32" t="s">
        <v>4105</v>
      </c>
      <c r="G926" s="33" t="s">
        <v>53</v>
      </c>
      <c r="H926" s="23" t="s">
        <v>4106</v>
      </c>
      <c r="I926" s="24" t="s">
        <v>55</v>
      </c>
      <c r="J926" s="1" t="str">
        <f t="shared" si="0"/>
        <v/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6.25" customHeight="1">
      <c r="A927" s="17">
        <f t="shared" si="1"/>
        <v>924</v>
      </c>
      <c r="B927" s="18" t="s">
        <v>48</v>
      </c>
      <c r="C927" s="31" t="s">
        <v>4107</v>
      </c>
      <c r="D927" s="19" t="s">
        <v>4079</v>
      </c>
      <c r="E927" s="20" t="s">
        <v>4108</v>
      </c>
      <c r="F927" s="21" t="s">
        <v>1642</v>
      </c>
      <c r="G927" s="33" t="s">
        <v>53</v>
      </c>
      <c r="H927" s="23" t="s">
        <v>4109</v>
      </c>
      <c r="I927" s="34" t="s">
        <v>20</v>
      </c>
      <c r="J927" s="1" t="str">
        <f t="shared" si="0"/>
        <v>과기</v>
      </c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</row>
    <row r="928" spans="1:24" ht="26.25" hidden="1" customHeight="1">
      <c r="A928" s="17">
        <f t="shared" si="1"/>
        <v>925</v>
      </c>
      <c r="B928" s="18" t="s">
        <v>13</v>
      </c>
      <c r="C928" s="22" t="s">
        <v>4110</v>
      </c>
      <c r="D928" s="42" t="s">
        <v>4111</v>
      </c>
      <c r="E928" s="104" t="s">
        <v>4112</v>
      </c>
      <c r="F928" s="32" t="s">
        <v>2718</v>
      </c>
      <c r="G928" s="22" t="s">
        <v>53</v>
      </c>
      <c r="H928" s="23" t="s">
        <v>4113</v>
      </c>
      <c r="I928" s="24" t="s">
        <v>55</v>
      </c>
      <c r="J928" s="1" t="str">
        <f t="shared" si="0"/>
        <v/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6.25" hidden="1" customHeight="1">
      <c r="A929" s="17">
        <f t="shared" si="1"/>
        <v>926</v>
      </c>
      <c r="B929" s="18" t="s">
        <v>132</v>
      </c>
      <c r="C929" s="19" t="s">
        <v>4114</v>
      </c>
      <c r="D929" s="19" t="s">
        <v>4115</v>
      </c>
      <c r="E929" s="20" t="s">
        <v>4116</v>
      </c>
      <c r="F929" s="21" t="s">
        <v>2023</v>
      </c>
      <c r="G929" s="22" t="s">
        <v>63</v>
      </c>
      <c r="H929" s="23" t="s">
        <v>4117</v>
      </c>
      <c r="I929" s="24" t="s">
        <v>20</v>
      </c>
      <c r="J929" s="1" t="str">
        <f t="shared" si="0"/>
        <v>FRIC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6.25" customHeight="1">
      <c r="A930" s="17">
        <f t="shared" si="1"/>
        <v>927</v>
      </c>
      <c r="B930" s="18" t="s">
        <v>105</v>
      </c>
      <c r="C930" s="31" t="s">
        <v>4118</v>
      </c>
      <c r="D930" s="19" t="s">
        <v>4119</v>
      </c>
      <c r="E930" s="20" t="s">
        <v>4120</v>
      </c>
      <c r="F930" s="21" t="s">
        <v>3924</v>
      </c>
      <c r="G930" s="33" t="s">
        <v>53</v>
      </c>
      <c r="H930" s="23" t="s">
        <v>4121</v>
      </c>
      <c r="I930" s="34" t="s">
        <v>20</v>
      </c>
      <c r="J930" s="1" t="str">
        <f t="shared" si="0"/>
        <v>과기</v>
      </c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</row>
    <row r="931" spans="1:24" ht="26.25" hidden="1" customHeight="1">
      <c r="A931" s="17">
        <f t="shared" si="1"/>
        <v>928</v>
      </c>
      <c r="B931" s="18" t="s">
        <v>37</v>
      </c>
      <c r="C931" s="19" t="s">
        <v>4122</v>
      </c>
      <c r="D931" s="19" t="s">
        <v>4123</v>
      </c>
      <c r="E931" s="20" t="s">
        <v>4124</v>
      </c>
      <c r="F931" s="21" t="s">
        <v>2922</v>
      </c>
      <c r="G931" s="33" t="s">
        <v>53</v>
      </c>
      <c r="H931" s="23" t="s">
        <v>4125</v>
      </c>
      <c r="I931" s="24" t="s">
        <v>20</v>
      </c>
      <c r="J931" s="1" t="str">
        <f t="shared" si="0"/>
        <v>FRIC</v>
      </c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6.25" hidden="1" customHeight="1">
      <c r="A932" s="17">
        <f t="shared" si="1"/>
        <v>929</v>
      </c>
      <c r="B932" s="18" t="s">
        <v>13</v>
      </c>
      <c r="C932" s="19" t="s">
        <v>4126</v>
      </c>
      <c r="D932" s="19" t="s">
        <v>4127</v>
      </c>
      <c r="E932" s="20" t="s">
        <v>4128</v>
      </c>
      <c r="F932" s="21" t="s">
        <v>17</v>
      </c>
      <c r="G932" s="33" t="s">
        <v>53</v>
      </c>
      <c r="H932" s="23" t="s">
        <v>4129</v>
      </c>
      <c r="I932" s="24" t="s">
        <v>20</v>
      </c>
      <c r="J932" s="1" t="str">
        <f t="shared" si="0"/>
        <v>FRIC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6.25" hidden="1" customHeight="1">
      <c r="A933" s="17">
        <f t="shared" si="1"/>
        <v>930</v>
      </c>
      <c r="B933" s="18" t="s">
        <v>105</v>
      </c>
      <c r="C933" s="31" t="s">
        <v>464</v>
      </c>
      <c r="D933" s="19" t="s">
        <v>4130</v>
      </c>
      <c r="E933" s="20" t="s">
        <v>466</v>
      </c>
      <c r="F933" s="32" t="s">
        <v>4131</v>
      </c>
      <c r="G933" s="33" t="s">
        <v>53</v>
      </c>
      <c r="H933" s="23" t="s">
        <v>4132</v>
      </c>
      <c r="I933" s="24" t="s">
        <v>55</v>
      </c>
      <c r="J933" s="1" t="str">
        <f t="shared" si="0"/>
        <v/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6.25" hidden="1" customHeight="1">
      <c r="A934" s="17">
        <f t="shared" si="1"/>
        <v>931</v>
      </c>
      <c r="B934" s="18" t="s">
        <v>105</v>
      </c>
      <c r="C934" s="31" t="s">
        <v>4133</v>
      </c>
      <c r="D934" s="19" t="s">
        <v>4134</v>
      </c>
      <c r="E934" s="20" t="s">
        <v>4135</v>
      </c>
      <c r="F934" s="32" t="s">
        <v>4136</v>
      </c>
      <c r="G934" s="33" t="s">
        <v>53</v>
      </c>
      <c r="H934" s="23" t="s">
        <v>4137</v>
      </c>
      <c r="I934" s="24" t="s">
        <v>55</v>
      </c>
      <c r="J934" s="1" t="str">
        <f t="shared" si="0"/>
        <v/>
      </c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6.25" hidden="1" customHeight="1">
      <c r="A935" s="17">
        <f t="shared" si="1"/>
        <v>932</v>
      </c>
      <c r="B935" s="18" t="s">
        <v>13</v>
      </c>
      <c r="C935" s="31" t="s">
        <v>4138</v>
      </c>
      <c r="D935" s="19" t="s">
        <v>4139</v>
      </c>
      <c r="E935" s="20" t="s">
        <v>4140</v>
      </c>
      <c r="F935" s="32" t="s">
        <v>4141</v>
      </c>
      <c r="G935" s="33" t="s">
        <v>53</v>
      </c>
      <c r="H935" s="23" t="s">
        <v>4142</v>
      </c>
      <c r="I935" s="24" t="s">
        <v>55</v>
      </c>
      <c r="J935" s="1" t="str">
        <f t="shared" si="0"/>
        <v/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6.25" hidden="1" customHeight="1">
      <c r="A936" s="17">
        <f t="shared" si="1"/>
        <v>933</v>
      </c>
      <c r="B936" s="18" t="s">
        <v>13</v>
      </c>
      <c r="C936" s="19" t="s">
        <v>4143</v>
      </c>
      <c r="D936" s="19" t="s">
        <v>4139</v>
      </c>
      <c r="E936" s="20" t="s">
        <v>1760</v>
      </c>
      <c r="F936" s="32" t="s">
        <v>4144</v>
      </c>
      <c r="G936" s="33" t="s">
        <v>53</v>
      </c>
      <c r="H936" s="23" t="s">
        <v>4145</v>
      </c>
      <c r="I936" s="34" t="s">
        <v>55</v>
      </c>
      <c r="J936" s="1" t="str">
        <f t="shared" si="0"/>
        <v/>
      </c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</row>
    <row r="937" spans="1:24" ht="26.25" hidden="1" customHeight="1">
      <c r="A937" s="17">
        <f t="shared" si="1"/>
        <v>934</v>
      </c>
      <c r="B937" s="18" t="s">
        <v>105</v>
      </c>
      <c r="C937" s="31" t="s">
        <v>4146</v>
      </c>
      <c r="D937" s="19" t="s">
        <v>4147</v>
      </c>
      <c r="E937" s="20" t="s">
        <v>4148</v>
      </c>
      <c r="F937" s="32" t="s">
        <v>4149</v>
      </c>
      <c r="G937" s="33" t="s">
        <v>53</v>
      </c>
      <c r="H937" s="23" t="s">
        <v>4150</v>
      </c>
      <c r="I937" s="24" t="s">
        <v>55</v>
      </c>
      <c r="J937" s="1" t="str">
        <f t="shared" si="0"/>
        <v/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6.25" hidden="1" customHeight="1">
      <c r="A938" s="17">
        <f t="shared" si="1"/>
        <v>935</v>
      </c>
      <c r="B938" s="18" t="s">
        <v>105</v>
      </c>
      <c r="C938" s="31" t="s">
        <v>4151</v>
      </c>
      <c r="D938" s="19" t="s">
        <v>2460</v>
      </c>
      <c r="E938" s="20" t="s">
        <v>1624</v>
      </c>
      <c r="F938" s="21" t="s">
        <v>1990</v>
      </c>
      <c r="G938" s="33" t="s">
        <v>53</v>
      </c>
      <c r="H938" s="23" t="s">
        <v>4152</v>
      </c>
      <c r="I938" s="34" t="s">
        <v>55</v>
      </c>
      <c r="J938" s="1" t="str">
        <f t="shared" si="0"/>
        <v/>
      </c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</row>
    <row r="939" spans="1:24" ht="26.25" hidden="1" customHeight="1">
      <c r="A939" s="17">
        <f t="shared" si="1"/>
        <v>936</v>
      </c>
      <c r="B939" s="18" t="s">
        <v>37</v>
      </c>
      <c r="C939" s="31" t="s">
        <v>4153</v>
      </c>
      <c r="D939" s="19" t="s">
        <v>1128</v>
      </c>
      <c r="E939" s="20" t="s">
        <v>780</v>
      </c>
      <c r="F939" s="32" t="s">
        <v>4154</v>
      </c>
      <c r="G939" s="22" t="s">
        <v>31</v>
      </c>
      <c r="H939" s="23" t="s">
        <v>4155</v>
      </c>
      <c r="I939" s="24" t="s">
        <v>55</v>
      </c>
      <c r="J939" s="1" t="str">
        <f t="shared" si="0"/>
        <v/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6.25" hidden="1" customHeight="1">
      <c r="A940" s="17">
        <f t="shared" si="1"/>
        <v>937</v>
      </c>
      <c r="B940" s="18" t="s">
        <v>105</v>
      </c>
      <c r="C940" s="31" t="s">
        <v>4156</v>
      </c>
      <c r="D940" s="19" t="s">
        <v>4157</v>
      </c>
      <c r="E940" s="20" t="s">
        <v>4158</v>
      </c>
      <c r="F940" s="32" t="s">
        <v>4159</v>
      </c>
      <c r="G940" s="33" t="s">
        <v>53</v>
      </c>
      <c r="H940" s="23" t="s">
        <v>4160</v>
      </c>
      <c r="I940" s="24" t="s">
        <v>55</v>
      </c>
      <c r="J940" s="1" t="str">
        <f t="shared" si="0"/>
        <v/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6.25" hidden="1" customHeight="1">
      <c r="A941" s="17">
        <f t="shared" si="1"/>
        <v>938</v>
      </c>
      <c r="B941" s="18" t="s">
        <v>146</v>
      </c>
      <c r="C941" s="19" t="s">
        <v>4161</v>
      </c>
      <c r="D941" s="19" t="s">
        <v>4162</v>
      </c>
      <c r="E941" s="20" t="s">
        <v>4163</v>
      </c>
      <c r="F941" s="21" t="s">
        <v>135</v>
      </c>
      <c r="G941" s="33" t="s">
        <v>53</v>
      </c>
      <c r="H941" s="23" t="s">
        <v>4164</v>
      </c>
      <c r="I941" s="24" t="s">
        <v>20</v>
      </c>
      <c r="J941" s="1" t="str">
        <f t="shared" si="0"/>
        <v>FRIC</v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6.25" hidden="1" customHeight="1">
      <c r="A942" s="17">
        <f t="shared" si="1"/>
        <v>939</v>
      </c>
      <c r="B942" s="18" t="s">
        <v>13</v>
      </c>
      <c r="C942" s="19" t="s">
        <v>4165</v>
      </c>
      <c r="D942" s="19" t="s">
        <v>4166</v>
      </c>
      <c r="E942" s="20" t="s">
        <v>4167</v>
      </c>
      <c r="F942" s="21" t="s">
        <v>4168</v>
      </c>
      <c r="G942" s="33" t="s">
        <v>53</v>
      </c>
      <c r="H942" s="23" t="s">
        <v>4169</v>
      </c>
      <c r="I942" s="24" t="s">
        <v>20</v>
      </c>
      <c r="J942" s="1" t="str">
        <f t="shared" si="0"/>
        <v>FRIC</v>
      </c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6.25" hidden="1" customHeight="1">
      <c r="A943" s="17">
        <f t="shared" si="1"/>
        <v>940</v>
      </c>
      <c r="B943" s="18" t="s">
        <v>13</v>
      </c>
      <c r="C943" s="19" t="s">
        <v>4170</v>
      </c>
      <c r="D943" s="19" t="s">
        <v>4171</v>
      </c>
      <c r="E943" s="20" t="s">
        <v>4172</v>
      </c>
      <c r="F943" s="21" t="s">
        <v>135</v>
      </c>
      <c r="G943" s="33" t="s">
        <v>53</v>
      </c>
      <c r="H943" s="23" t="s">
        <v>4173</v>
      </c>
      <c r="I943" s="24" t="s">
        <v>20</v>
      </c>
      <c r="J943" s="1" t="str">
        <f t="shared" si="0"/>
        <v>FRIC</v>
      </c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6.25" hidden="1" customHeight="1">
      <c r="A944" s="17">
        <f t="shared" si="1"/>
        <v>941</v>
      </c>
      <c r="B944" s="18" t="s">
        <v>13</v>
      </c>
      <c r="C944" s="31" t="s">
        <v>4174</v>
      </c>
      <c r="D944" s="19" t="s">
        <v>4175</v>
      </c>
      <c r="E944" s="20" t="s">
        <v>4176</v>
      </c>
      <c r="F944" s="32" t="s">
        <v>4177</v>
      </c>
      <c r="G944" s="33" t="s">
        <v>53</v>
      </c>
      <c r="H944" s="23" t="s">
        <v>4178</v>
      </c>
      <c r="I944" s="24" t="s">
        <v>55</v>
      </c>
      <c r="J944" s="1" t="str">
        <f t="shared" si="0"/>
        <v/>
      </c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6.25" hidden="1" customHeight="1">
      <c r="A945" s="17">
        <f t="shared" si="1"/>
        <v>942</v>
      </c>
      <c r="B945" s="18" t="s">
        <v>13</v>
      </c>
      <c r="C945" s="31" t="s">
        <v>4179</v>
      </c>
      <c r="D945" s="19" t="s">
        <v>4180</v>
      </c>
      <c r="E945" s="20" t="s">
        <v>4181</v>
      </c>
      <c r="F945" s="32" t="s">
        <v>4182</v>
      </c>
      <c r="G945" s="33" t="s">
        <v>53</v>
      </c>
      <c r="H945" s="23" t="s">
        <v>4183</v>
      </c>
      <c r="I945" s="24" t="s">
        <v>55</v>
      </c>
      <c r="J945" s="1" t="str">
        <f t="shared" si="0"/>
        <v/>
      </c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6.25" hidden="1" customHeight="1">
      <c r="A946" s="17">
        <f t="shared" si="1"/>
        <v>943</v>
      </c>
      <c r="B946" s="18" t="s">
        <v>13</v>
      </c>
      <c r="C946" s="31" t="s">
        <v>4184</v>
      </c>
      <c r="D946" s="19" t="s">
        <v>4180</v>
      </c>
      <c r="E946" s="20" t="s">
        <v>4185</v>
      </c>
      <c r="F946" s="32" t="s">
        <v>4186</v>
      </c>
      <c r="G946" s="33" t="s">
        <v>53</v>
      </c>
      <c r="H946" s="23" t="s">
        <v>4187</v>
      </c>
      <c r="I946" s="24" t="s">
        <v>55</v>
      </c>
      <c r="J946" s="1" t="str">
        <f t="shared" si="0"/>
        <v/>
      </c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6.25" hidden="1" customHeight="1">
      <c r="A947" s="17">
        <f t="shared" si="1"/>
        <v>944</v>
      </c>
      <c r="B947" s="18" t="s">
        <v>13</v>
      </c>
      <c r="C947" s="19" t="s">
        <v>4188</v>
      </c>
      <c r="D947" s="19" t="s">
        <v>4180</v>
      </c>
      <c r="E947" s="20" t="s">
        <v>4189</v>
      </c>
      <c r="F947" s="21" t="s">
        <v>4190</v>
      </c>
      <c r="G947" s="33" t="s">
        <v>53</v>
      </c>
      <c r="H947" s="23" t="s">
        <v>4191</v>
      </c>
      <c r="I947" s="24" t="s">
        <v>20</v>
      </c>
      <c r="J947" s="1" t="str">
        <f t="shared" si="0"/>
        <v>FRIC</v>
      </c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6.25" hidden="1" customHeight="1">
      <c r="A948" s="17">
        <f t="shared" si="1"/>
        <v>945</v>
      </c>
      <c r="B948" s="18" t="s">
        <v>37</v>
      </c>
      <c r="C948" s="19" t="s">
        <v>4192</v>
      </c>
      <c r="D948" s="19" t="s">
        <v>4193</v>
      </c>
      <c r="E948" s="20" t="s">
        <v>4194</v>
      </c>
      <c r="F948" s="21" t="s">
        <v>4195</v>
      </c>
      <c r="G948" s="33" t="s">
        <v>53</v>
      </c>
      <c r="H948" s="23" t="s">
        <v>4196</v>
      </c>
      <c r="I948" s="24" t="s">
        <v>20</v>
      </c>
      <c r="J948" s="1" t="str">
        <f t="shared" si="0"/>
        <v>FRIC</v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6.25" hidden="1" customHeight="1">
      <c r="A949" s="17">
        <f t="shared" si="1"/>
        <v>946</v>
      </c>
      <c r="B949" s="18" t="s">
        <v>1197</v>
      </c>
      <c r="C949" s="92" t="s">
        <v>4197</v>
      </c>
      <c r="D949" s="89" t="s">
        <v>4198</v>
      </c>
      <c r="E949" s="90" t="s">
        <v>4199</v>
      </c>
      <c r="F949" s="91" t="s">
        <v>4200</v>
      </c>
      <c r="G949" s="93" t="s">
        <v>53</v>
      </c>
      <c r="H949" s="94" t="s">
        <v>4201</v>
      </c>
      <c r="I949" s="95" t="s">
        <v>55</v>
      </c>
      <c r="J949" s="1" t="str">
        <f t="shared" si="0"/>
        <v/>
      </c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</row>
    <row r="950" spans="1:24" ht="26.25" hidden="1" customHeight="1">
      <c r="A950" s="17">
        <f t="shared" si="1"/>
        <v>947</v>
      </c>
      <c r="B950" s="18" t="s">
        <v>27</v>
      </c>
      <c r="C950" s="31" t="s">
        <v>4202</v>
      </c>
      <c r="D950" s="19" t="s">
        <v>4203</v>
      </c>
      <c r="E950" s="20" t="s">
        <v>4204</v>
      </c>
      <c r="F950" s="32" t="s">
        <v>4205</v>
      </c>
      <c r="G950" s="33" t="s">
        <v>53</v>
      </c>
      <c r="H950" s="23" t="s">
        <v>4206</v>
      </c>
      <c r="I950" s="24" t="s">
        <v>55</v>
      </c>
      <c r="J950" s="1" t="str">
        <f t="shared" si="0"/>
        <v/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6.25" hidden="1" customHeight="1">
      <c r="A951" s="17">
        <f t="shared" si="1"/>
        <v>948</v>
      </c>
      <c r="B951" s="18" t="s">
        <v>27</v>
      </c>
      <c r="C951" s="77" t="s">
        <v>4207</v>
      </c>
      <c r="D951" s="19" t="s">
        <v>4208</v>
      </c>
      <c r="E951" s="20" t="s">
        <v>4209</v>
      </c>
      <c r="F951" s="32" t="s">
        <v>170</v>
      </c>
      <c r="G951" s="33" t="s">
        <v>53</v>
      </c>
      <c r="H951" s="23" t="s">
        <v>4210</v>
      </c>
      <c r="I951" s="24" t="s">
        <v>20</v>
      </c>
      <c r="J951" s="1" t="str">
        <f t="shared" si="0"/>
        <v>FRIC</v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6.25" hidden="1" customHeight="1">
      <c r="A952" s="17">
        <f t="shared" si="1"/>
        <v>949</v>
      </c>
      <c r="B952" s="18" t="s">
        <v>27</v>
      </c>
      <c r="C952" s="19" t="s">
        <v>4211</v>
      </c>
      <c r="D952" s="19" t="s">
        <v>4212</v>
      </c>
      <c r="E952" s="20" t="s">
        <v>4213</v>
      </c>
      <c r="F952" s="21" t="s">
        <v>4214</v>
      </c>
      <c r="G952" s="33" t="s">
        <v>53</v>
      </c>
      <c r="H952" s="23" t="s">
        <v>4215</v>
      </c>
      <c r="I952" s="24" t="s">
        <v>20</v>
      </c>
      <c r="J952" s="1" t="str">
        <f t="shared" si="0"/>
        <v>FRIC</v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6.25" hidden="1" customHeight="1">
      <c r="A953" s="17">
        <f t="shared" si="1"/>
        <v>950</v>
      </c>
      <c r="B953" s="18" t="s">
        <v>1197</v>
      </c>
      <c r="C953" s="19" t="s">
        <v>1824</v>
      </c>
      <c r="D953" s="19" t="s">
        <v>1825</v>
      </c>
      <c r="E953" s="20" t="s">
        <v>1826</v>
      </c>
      <c r="F953" s="32" t="s">
        <v>3823</v>
      </c>
      <c r="G953" s="33" t="s">
        <v>53</v>
      </c>
      <c r="H953" s="23" t="s">
        <v>4216</v>
      </c>
      <c r="I953" s="34" t="s">
        <v>55</v>
      </c>
      <c r="J953" s="1" t="str">
        <f t="shared" si="0"/>
        <v/>
      </c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</row>
    <row r="954" spans="1:24" ht="26.25" hidden="1" customHeight="1">
      <c r="A954" s="17">
        <f t="shared" si="1"/>
        <v>951</v>
      </c>
      <c r="B954" s="18" t="s">
        <v>1197</v>
      </c>
      <c r="C954" s="31" t="s">
        <v>4217</v>
      </c>
      <c r="D954" s="19" t="s">
        <v>4218</v>
      </c>
      <c r="E954" s="20" t="s">
        <v>4219</v>
      </c>
      <c r="F954" s="32" t="s">
        <v>4220</v>
      </c>
      <c r="G954" s="33" t="s">
        <v>53</v>
      </c>
      <c r="H954" s="23" t="s">
        <v>4221</v>
      </c>
      <c r="I954" s="24" t="s">
        <v>55</v>
      </c>
      <c r="J954" s="1" t="str">
        <f t="shared" si="0"/>
        <v/>
      </c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6.25" hidden="1" customHeight="1">
      <c r="A955" s="17">
        <f t="shared" si="1"/>
        <v>952</v>
      </c>
      <c r="B955" s="18" t="s">
        <v>13</v>
      </c>
      <c r="C955" s="31" t="s">
        <v>4222</v>
      </c>
      <c r="D955" s="19" t="s">
        <v>4223</v>
      </c>
      <c r="E955" s="20" t="s">
        <v>4224</v>
      </c>
      <c r="F955" s="32" t="s">
        <v>4225</v>
      </c>
      <c r="G955" s="22" t="s">
        <v>53</v>
      </c>
      <c r="H955" s="23" t="s">
        <v>4226</v>
      </c>
      <c r="I955" s="24" t="s">
        <v>55</v>
      </c>
      <c r="J955" s="1" t="str">
        <f t="shared" si="0"/>
        <v/>
      </c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6.25" hidden="1" customHeight="1">
      <c r="A956" s="17">
        <f t="shared" si="1"/>
        <v>953</v>
      </c>
      <c r="B956" s="18" t="s">
        <v>13</v>
      </c>
      <c r="C956" s="31" t="s">
        <v>4227</v>
      </c>
      <c r="D956" s="19" t="s">
        <v>4223</v>
      </c>
      <c r="E956" s="20" t="s">
        <v>4228</v>
      </c>
      <c r="F956" s="32" t="s">
        <v>4225</v>
      </c>
      <c r="G956" s="22" t="s">
        <v>53</v>
      </c>
      <c r="H956" s="23" t="s">
        <v>4229</v>
      </c>
      <c r="I956" s="24" t="s">
        <v>55</v>
      </c>
      <c r="J956" s="1" t="str">
        <f t="shared" si="0"/>
        <v/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6.25" hidden="1" customHeight="1">
      <c r="A957" s="17">
        <f t="shared" si="1"/>
        <v>954</v>
      </c>
      <c r="B957" s="18" t="s">
        <v>13</v>
      </c>
      <c r="C957" s="31" t="s">
        <v>4230</v>
      </c>
      <c r="D957" s="19" t="s">
        <v>4223</v>
      </c>
      <c r="E957" s="20" t="s">
        <v>4231</v>
      </c>
      <c r="F957" s="32" t="s">
        <v>4225</v>
      </c>
      <c r="G957" s="22" t="s">
        <v>53</v>
      </c>
      <c r="H957" s="23" t="s">
        <v>4232</v>
      </c>
      <c r="I957" s="24" t="s">
        <v>55</v>
      </c>
      <c r="J957" s="1" t="str">
        <f t="shared" si="0"/>
        <v/>
      </c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6.25" hidden="1" customHeight="1">
      <c r="A958" s="17">
        <f t="shared" si="1"/>
        <v>955</v>
      </c>
      <c r="B958" s="18" t="s">
        <v>13</v>
      </c>
      <c r="C958" s="31" t="s">
        <v>4233</v>
      </c>
      <c r="D958" s="19" t="s">
        <v>4223</v>
      </c>
      <c r="E958" s="20" t="s">
        <v>4234</v>
      </c>
      <c r="F958" s="32" t="s">
        <v>4225</v>
      </c>
      <c r="G958" s="22" t="s">
        <v>53</v>
      </c>
      <c r="H958" s="23" t="s">
        <v>4235</v>
      </c>
      <c r="I958" s="24" t="s">
        <v>55</v>
      </c>
      <c r="J958" s="1" t="str">
        <f t="shared" si="0"/>
        <v/>
      </c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6.25" hidden="1" customHeight="1">
      <c r="A959" s="17">
        <f t="shared" si="1"/>
        <v>956</v>
      </c>
      <c r="B959" s="18" t="s">
        <v>13</v>
      </c>
      <c r="C959" s="31" t="s">
        <v>4236</v>
      </c>
      <c r="D959" s="19" t="s">
        <v>4223</v>
      </c>
      <c r="E959" s="20" t="s">
        <v>4237</v>
      </c>
      <c r="F959" s="32" t="s">
        <v>4238</v>
      </c>
      <c r="G959" s="22" t="s">
        <v>53</v>
      </c>
      <c r="H959" s="23" t="s">
        <v>4239</v>
      </c>
      <c r="I959" s="24" t="s">
        <v>55</v>
      </c>
      <c r="J959" s="1" t="str">
        <f t="shared" si="0"/>
        <v/>
      </c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6.25" hidden="1" customHeight="1">
      <c r="A960" s="17">
        <f t="shared" si="1"/>
        <v>957</v>
      </c>
      <c r="B960" s="18" t="s">
        <v>13</v>
      </c>
      <c r="C960" s="31" t="s">
        <v>4240</v>
      </c>
      <c r="D960" s="19" t="s">
        <v>4223</v>
      </c>
      <c r="E960" s="20" t="s">
        <v>4241</v>
      </c>
      <c r="F960" s="32" t="s">
        <v>4225</v>
      </c>
      <c r="G960" s="22" t="s">
        <v>53</v>
      </c>
      <c r="H960" s="23" t="s">
        <v>4242</v>
      </c>
      <c r="I960" s="24" t="s">
        <v>55</v>
      </c>
      <c r="J960" s="1" t="str">
        <f t="shared" si="0"/>
        <v/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6.25" hidden="1" customHeight="1">
      <c r="A961" s="17">
        <f t="shared" si="1"/>
        <v>958</v>
      </c>
      <c r="B961" s="18" t="s">
        <v>13</v>
      </c>
      <c r="C961" s="31" t="s">
        <v>4243</v>
      </c>
      <c r="D961" s="19" t="s">
        <v>4223</v>
      </c>
      <c r="E961" s="20" t="s">
        <v>4244</v>
      </c>
      <c r="F961" s="32" t="s">
        <v>4225</v>
      </c>
      <c r="G961" s="22" t="s">
        <v>53</v>
      </c>
      <c r="H961" s="23" t="s">
        <v>4245</v>
      </c>
      <c r="I961" s="24" t="s">
        <v>55</v>
      </c>
      <c r="J961" s="1" t="str">
        <f t="shared" si="0"/>
        <v/>
      </c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6.25" hidden="1" customHeight="1">
      <c r="A962" s="17">
        <f t="shared" si="1"/>
        <v>959</v>
      </c>
      <c r="B962" s="18" t="s">
        <v>13</v>
      </c>
      <c r="C962" s="31" t="s">
        <v>4246</v>
      </c>
      <c r="D962" s="19" t="s">
        <v>4223</v>
      </c>
      <c r="E962" s="20" t="s">
        <v>4247</v>
      </c>
      <c r="F962" s="32" t="s">
        <v>4248</v>
      </c>
      <c r="G962" s="22" t="s">
        <v>53</v>
      </c>
      <c r="H962" s="23" t="s">
        <v>4249</v>
      </c>
      <c r="I962" s="24" t="s">
        <v>55</v>
      </c>
      <c r="J962" s="1" t="str">
        <f t="shared" si="0"/>
        <v/>
      </c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6.25" hidden="1" customHeight="1">
      <c r="A963" s="17">
        <f t="shared" si="1"/>
        <v>960</v>
      </c>
      <c r="B963" s="18" t="s">
        <v>13</v>
      </c>
      <c r="C963" s="31" t="s">
        <v>4250</v>
      </c>
      <c r="D963" s="19" t="s">
        <v>4223</v>
      </c>
      <c r="E963" s="20" t="s">
        <v>4251</v>
      </c>
      <c r="F963" s="32" t="s">
        <v>4225</v>
      </c>
      <c r="G963" s="22" t="s">
        <v>53</v>
      </c>
      <c r="H963" s="23" t="s">
        <v>4252</v>
      </c>
      <c r="I963" s="24" t="s">
        <v>55</v>
      </c>
      <c r="J963" s="1" t="str">
        <f t="shared" si="0"/>
        <v/>
      </c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6.25" hidden="1" customHeight="1">
      <c r="A964" s="17">
        <f t="shared" si="1"/>
        <v>961</v>
      </c>
      <c r="B964" s="18" t="s">
        <v>13</v>
      </c>
      <c r="C964" s="31" t="s">
        <v>4253</v>
      </c>
      <c r="D964" s="19" t="s">
        <v>4223</v>
      </c>
      <c r="E964" s="20" t="s">
        <v>4254</v>
      </c>
      <c r="F964" s="32" t="s">
        <v>4255</v>
      </c>
      <c r="G964" s="22" t="s">
        <v>53</v>
      </c>
      <c r="H964" s="23" t="s">
        <v>4256</v>
      </c>
      <c r="I964" s="24" t="s">
        <v>55</v>
      </c>
      <c r="J964" s="1" t="str">
        <f t="shared" si="0"/>
        <v/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6.25" hidden="1" customHeight="1">
      <c r="A965" s="17">
        <f t="shared" si="1"/>
        <v>962</v>
      </c>
      <c r="B965" s="18" t="s">
        <v>13</v>
      </c>
      <c r="C965" s="31" t="s">
        <v>4257</v>
      </c>
      <c r="D965" s="19" t="s">
        <v>4223</v>
      </c>
      <c r="E965" s="20" t="s">
        <v>4258</v>
      </c>
      <c r="F965" s="32" t="s">
        <v>4225</v>
      </c>
      <c r="G965" s="22" t="s">
        <v>53</v>
      </c>
      <c r="H965" s="23" t="s">
        <v>4259</v>
      </c>
      <c r="I965" s="24" t="s">
        <v>55</v>
      </c>
      <c r="J965" s="1" t="str">
        <f t="shared" si="0"/>
        <v/>
      </c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6.25" hidden="1" customHeight="1">
      <c r="A966" s="17">
        <f t="shared" si="1"/>
        <v>963</v>
      </c>
      <c r="B966" s="18" t="s">
        <v>13</v>
      </c>
      <c r="C966" s="31" t="s">
        <v>4260</v>
      </c>
      <c r="D966" s="19" t="s">
        <v>4223</v>
      </c>
      <c r="E966" s="20" t="s">
        <v>4261</v>
      </c>
      <c r="F966" s="32" t="s">
        <v>4225</v>
      </c>
      <c r="G966" s="22" t="s">
        <v>53</v>
      </c>
      <c r="H966" s="23" t="s">
        <v>4262</v>
      </c>
      <c r="I966" s="24" t="s">
        <v>55</v>
      </c>
      <c r="J966" s="1" t="str">
        <f t="shared" si="0"/>
        <v/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6.25" hidden="1" customHeight="1">
      <c r="A967" s="17">
        <f t="shared" si="1"/>
        <v>964</v>
      </c>
      <c r="B967" s="18" t="s">
        <v>13</v>
      </c>
      <c r="C967" s="31" t="s">
        <v>4263</v>
      </c>
      <c r="D967" s="19" t="s">
        <v>4223</v>
      </c>
      <c r="E967" s="1" t="s">
        <v>4264</v>
      </c>
      <c r="F967" s="32" t="s">
        <v>4225</v>
      </c>
      <c r="G967" s="22" t="s">
        <v>53</v>
      </c>
      <c r="H967" s="23" t="s">
        <v>4265</v>
      </c>
      <c r="I967" s="24" t="s">
        <v>55</v>
      </c>
      <c r="J967" s="1" t="str">
        <f t="shared" si="0"/>
        <v/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6.25" hidden="1" customHeight="1">
      <c r="A968" s="17">
        <f t="shared" si="1"/>
        <v>965</v>
      </c>
      <c r="B968" s="18" t="s">
        <v>233</v>
      </c>
      <c r="C968" s="42" t="s">
        <v>4266</v>
      </c>
      <c r="D968" s="42" t="s">
        <v>4267</v>
      </c>
      <c r="E968" s="43" t="s">
        <v>1830</v>
      </c>
      <c r="F968" s="44" t="s">
        <v>178</v>
      </c>
      <c r="G968" s="22" t="s">
        <v>53</v>
      </c>
      <c r="H968" s="41" t="s">
        <v>4268</v>
      </c>
      <c r="I968" s="34" t="s">
        <v>55</v>
      </c>
      <c r="J968" s="1" t="str">
        <f t="shared" si="0"/>
        <v/>
      </c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</row>
    <row r="969" spans="1:24" ht="26.25" hidden="1" customHeight="1">
      <c r="A969" s="17">
        <f t="shared" si="1"/>
        <v>966</v>
      </c>
      <c r="B969" s="18" t="s">
        <v>233</v>
      </c>
      <c r="C969" s="19" t="s">
        <v>4269</v>
      </c>
      <c r="D969" s="19" t="s">
        <v>4270</v>
      </c>
      <c r="E969" s="20" t="s">
        <v>1836</v>
      </c>
      <c r="F969" s="105" t="s">
        <v>178</v>
      </c>
      <c r="G969" s="22" t="s">
        <v>53</v>
      </c>
      <c r="H969" s="23" t="s">
        <v>4271</v>
      </c>
      <c r="I969" s="34" t="s">
        <v>55</v>
      </c>
      <c r="J969" s="1" t="str">
        <f t="shared" si="0"/>
        <v/>
      </c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</row>
    <row r="970" spans="1:24" ht="26.25" hidden="1" customHeight="1">
      <c r="A970" s="17">
        <f t="shared" si="1"/>
        <v>967</v>
      </c>
      <c r="B970" s="18" t="s">
        <v>105</v>
      </c>
      <c r="C970" s="106" t="s">
        <v>4272</v>
      </c>
      <c r="D970" s="107" t="s">
        <v>4273</v>
      </c>
      <c r="E970" s="1" t="s">
        <v>4274</v>
      </c>
      <c r="F970" s="32" t="s">
        <v>4275</v>
      </c>
      <c r="G970" s="33" t="s">
        <v>53</v>
      </c>
      <c r="H970" s="108" t="s">
        <v>4276</v>
      </c>
      <c r="I970" s="109" t="s">
        <v>55</v>
      </c>
      <c r="J970" s="1" t="str">
        <f t="shared" si="0"/>
        <v/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6.25" hidden="1" customHeight="1">
      <c r="A971" s="17">
        <f t="shared" si="1"/>
        <v>968</v>
      </c>
      <c r="B971" s="18" t="s">
        <v>105</v>
      </c>
      <c r="C971" s="31" t="s">
        <v>4277</v>
      </c>
      <c r="D971" s="19" t="s">
        <v>4273</v>
      </c>
      <c r="E971" s="110" t="s">
        <v>4278</v>
      </c>
      <c r="F971" s="32" t="s">
        <v>4279</v>
      </c>
      <c r="G971" s="33" t="s">
        <v>53</v>
      </c>
      <c r="H971" s="23" t="s">
        <v>4280</v>
      </c>
      <c r="I971" s="24" t="s">
        <v>55</v>
      </c>
      <c r="J971" s="1" t="str">
        <f t="shared" si="0"/>
        <v/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6.25" customHeight="1">
      <c r="A972" s="17">
        <f t="shared" si="1"/>
        <v>969</v>
      </c>
      <c r="B972" s="18" t="s">
        <v>175</v>
      </c>
      <c r="C972" s="31" t="s">
        <v>4281</v>
      </c>
      <c r="D972" s="19" t="s">
        <v>4282</v>
      </c>
      <c r="E972" s="110" t="s">
        <v>4283</v>
      </c>
      <c r="F972" s="21" t="s">
        <v>863</v>
      </c>
      <c r="G972" s="33" t="s">
        <v>53</v>
      </c>
      <c r="H972" s="23" t="s">
        <v>4284</v>
      </c>
      <c r="I972" s="34" t="s">
        <v>20</v>
      </c>
      <c r="J972" s="1" t="str">
        <f t="shared" si="0"/>
        <v>과기</v>
      </c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</row>
    <row r="973" spans="1:24" ht="26.25" hidden="1" customHeight="1">
      <c r="A973" s="17">
        <f t="shared" si="1"/>
        <v>970</v>
      </c>
      <c r="B973" s="18" t="s">
        <v>1375</v>
      </c>
      <c r="C973" s="31" t="s">
        <v>4285</v>
      </c>
      <c r="D973" s="19" t="s">
        <v>4286</v>
      </c>
      <c r="E973" s="20" t="s">
        <v>4287</v>
      </c>
      <c r="F973" s="111" t="s">
        <v>4288</v>
      </c>
      <c r="G973" s="33" t="s">
        <v>53</v>
      </c>
      <c r="H973" s="23" t="s">
        <v>4289</v>
      </c>
      <c r="I973" s="24" t="s">
        <v>55</v>
      </c>
      <c r="J973" s="1" t="str">
        <f t="shared" si="0"/>
        <v/>
      </c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6.25" customHeight="1">
      <c r="A974" s="17">
        <f t="shared" si="1"/>
        <v>971</v>
      </c>
      <c r="B974" s="18" t="s">
        <v>105</v>
      </c>
      <c r="C974" s="31" t="s">
        <v>4290</v>
      </c>
      <c r="D974" s="19" t="s">
        <v>4291</v>
      </c>
      <c r="E974" s="20" t="s">
        <v>4292</v>
      </c>
      <c r="F974" s="112" t="s">
        <v>41</v>
      </c>
      <c r="G974" s="33" t="s">
        <v>53</v>
      </c>
      <c r="H974" s="23" t="s">
        <v>4293</v>
      </c>
      <c r="I974" s="34" t="s">
        <v>20</v>
      </c>
      <c r="J974" s="1" t="str">
        <f t="shared" si="0"/>
        <v>과기</v>
      </c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</row>
    <row r="975" spans="1:24" ht="26.25" hidden="1" customHeight="1">
      <c r="A975" s="17">
        <f t="shared" si="1"/>
        <v>972</v>
      </c>
      <c r="B975" s="18" t="s">
        <v>132</v>
      </c>
      <c r="C975" s="31" t="s">
        <v>4294</v>
      </c>
      <c r="D975" s="19" t="s">
        <v>4295</v>
      </c>
      <c r="E975" s="20"/>
      <c r="F975" s="32" t="s">
        <v>4296</v>
      </c>
      <c r="G975" s="33" t="s">
        <v>53</v>
      </c>
      <c r="H975" s="23" t="s">
        <v>4297</v>
      </c>
      <c r="I975" s="24" t="s">
        <v>55</v>
      </c>
      <c r="J975" s="1" t="str">
        <f t="shared" si="0"/>
        <v/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6.25" hidden="1" customHeight="1">
      <c r="A976" s="17">
        <f t="shared" si="1"/>
        <v>973</v>
      </c>
      <c r="B976" s="18" t="s">
        <v>867</v>
      </c>
      <c r="C976" s="31" t="s">
        <v>4298</v>
      </c>
      <c r="D976" s="19" t="s">
        <v>4299</v>
      </c>
      <c r="E976" s="20" t="s">
        <v>4300</v>
      </c>
      <c r="F976" s="32" t="s">
        <v>614</v>
      </c>
      <c r="G976" s="33" t="s">
        <v>53</v>
      </c>
      <c r="H976" s="23" t="s">
        <v>4301</v>
      </c>
      <c r="I976" s="24" t="s">
        <v>55</v>
      </c>
      <c r="J976" s="1" t="str">
        <f t="shared" si="0"/>
        <v/>
      </c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6.25" hidden="1" customHeight="1">
      <c r="A977" s="17">
        <f t="shared" si="1"/>
        <v>974</v>
      </c>
      <c r="B977" s="18" t="s">
        <v>27</v>
      </c>
      <c r="C977" s="19" t="s">
        <v>4302</v>
      </c>
      <c r="D977" s="19" t="s">
        <v>4303</v>
      </c>
      <c r="E977" s="20" t="s">
        <v>4304</v>
      </c>
      <c r="F977" s="21" t="s">
        <v>863</v>
      </c>
      <c r="G977" s="33" t="s">
        <v>53</v>
      </c>
      <c r="H977" s="23" t="s">
        <v>4305</v>
      </c>
      <c r="I977" s="24" t="s">
        <v>20</v>
      </c>
      <c r="J977" s="1" t="str">
        <f t="shared" si="0"/>
        <v>FRIC</v>
      </c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6.25" customHeight="1">
      <c r="A978" s="17">
        <f t="shared" si="1"/>
        <v>975</v>
      </c>
      <c r="B978" s="18" t="s">
        <v>105</v>
      </c>
      <c r="C978" s="31" t="s">
        <v>4306</v>
      </c>
      <c r="D978" s="19" t="s">
        <v>4307</v>
      </c>
      <c r="E978" s="113" t="s">
        <v>4308</v>
      </c>
      <c r="F978" s="114" t="s">
        <v>4309</v>
      </c>
      <c r="G978" s="33" t="s">
        <v>53</v>
      </c>
      <c r="H978" s="23" t="s">
        <v>4310</v>
      </c>
      <c r="I978" s="34" t="s">
        <v>20</v>
      </c>
      <c r="J978" s="1" t="str">
        <f t="shared" si="0"/>
        <v>과기</v>
      </c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</row>
    <row r="979" spans="1:24" ht="26.25" hidden="1" customHeight="1">
      <c r="A979" s="17">
        <f t="shared" si="1"/>
        <v>976</v>
      </c>
      <c r="B979" s="18" t="s">
        <v>175</v>
      </c>
      <c r="C979" s="31" t="s">
        <v>4311</v>
      </c>
      <c r="D979" s="115" t="s">
        <v>4312</v>
      </c>
      <c r="E979" s="20" t="s">
        <v>473</v>
      </c>
      <c r="F979" s="32" t="s">
        <v>4313</v>
      </c>
      <c r="G979" s="33" t="s">
        <v>53</v>
      </c>
      <c r="H979" s="23" t="s">
        <v>4314</v>
      </c>
      <c r="I979" s="24" t="s">
        <v>55</v>
      </c>
      <c r="J979" s="1" t="str">
        <f t="shared" si="0"/>
        <v/>
      </c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6.25" hidden="1" customHeight="1">
      <c r="A980" s="17">
        <f t="shared" si="1"/>
        <v>977</v>
      </c>
      <c r="B980" s="18" t="s">
        <v>27</v>
      </c>
      <c r="C980" s="19" t="s">
        <v>4315</v>
      </c>
      <c r="D980" s="115" t="s">
        <v>2050</v>
      </c>
      <c r="E980" s="20" t="s">
        <v>4316</v>
      </c>
      <c r="F980" s="21" t="s">
        <v>4317</v>
      </c>
      <c r="G980" s="33" t="s">
        <v>53</v>
      </c>
      <c r="H980" s="23" t="s">
        <v>4318</v>
      </c>
      <c r="I980" s="24" t="s">
        <v>20</v>
      </c>
      <c r="J980" s="1" t="str">
        <f t="shared" si="0"/>
        <v>FRIC</v>
      </c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6.25" hidden="1" customHeight="1">
      <c r="A981" s="17">
        <f t="shared" si="1"/>
        <v>978</v>
      </c>
      <c r="B981" s="18" t="s">
        <v>27</v>
      </c>
      <c r="C981" s="19" t="s">
        <v>4319</v>
      </c>
      <c r="D981" s="115" t="s">
        <v>2050</v>
      </c>
      <c r="E981" s="20" t="s">
        <v>4320</v>
      </c>
      <c r="F981" s="21" t="s">
        <v>1609</v>
      </c>
      <c r="G981" s="22" t="s">
        <v>42</v>
      </c>
      <c r="H981" s="23" t="s">
        <v>4321</v>
      </c>
      <c r="I981" s="24" t="s">
        <v>20</v>
      </c>
      <c r="J981" s="1" t="str">
        <f t="shared" si="0"/>
        <v>FRIC</v>
      </c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6.25" hidden="1" customHeight="1">
      <c r="A982" s="17">
        <f t="shared" si="1"/>
        <v>979</v>
      </c>
      <c r="B982" s="18" t="s">
        <v>27</v>
      </c>
      <c r="C982" s="19" t="s">
        <v>4322</v>
      </c>
      <c r="D982" s="19" t="s">
        <v>4323</v>
      </c>
      <c r="E982" s="20" t="s">
        <v>1843</v>
      </c>
      <c r="F982" s="39" t="s">
        <v>4324</v>
      </c>
      <c r="G982" s="22" t="s">
        <v>53</v>
      </c>
      <c r="H982" s="116" t="s">
        <v>4325</v>
      </c>
      <c r="I982" s="34" t="s">
        <v>55</v>
      </c>
      <c r="J982" s="1" t="str">
        <f t="shared" si="0"/>
        <v/>
      </c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</row>
    <row r="983" spans="1:24" ht="27" hidden="1" customHeight="1">
      <c r="A983" s="17">
        <v>980</v>
      </c>
      <c r="B983" s="117" t="s">
        <v>132</v>
      </c>
      <c r="C983" s="118" t="s">
        <v>4326</v>
      </c>
      <c r="D983" s="118" t="s">
        <v>4327</v>
      </c>
      <c r="E983" s="119" t="s">
        <v>4328</v>
      </c>
      <c r="F983" s="120" t="s">
        <v>4329</v>
      </c>
      <c r="G983" s="117"/>
      <c r="H983" s="121"/>
      <c r="I983" s="122" t="s">
        <v>20</v>
      </c>
      <c r="J983" s="1" t="str">
        <f t="shared" si="0"/>
        <v>FRIC</v>
      </c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</row>
    <row r="984" spans="1:24" ht="16.5" customHeight="1">
      <c r="B984" s="124"/>
      <c r="F984" s="6"/>
      <c r="J984" s="1" t="str">
        <f t="shared" si="0"/>
        <v/>
      </c>
    </row>
    <row r="985" spans="1:24" ht="16.5" customHeight="1">
      <c r="B985" s="125"/>
      <c r="F985" s="6"/>
      <c r="J985" s="1" t="str">
        <f t="shared" si="0"/>
        <v/>
      </c>
    </row>
    <row r="986" spans="1:24" ht="16.5" customHeight="1">
      <c r="B986" s="125"/>
      <c r="F986" s="6"/>
      <c r="J986" s="1" t="str">
        <f t="shared" si="0"/>
        <v/>
      </c>
    </row>
    <row r="987" spans="1:24" ht="16.5" customHeight="1">
      <c r="B987" s="125"/>
      <c r="F987" s="6"/>
      <c r="J987" s="1" t="str">
        <f t="shared" si="0"/>
        <v/>
      </c>
    </row>
    <row r="988" spans="1:24" ht="16.5" customHeight="1">
      <c r="B988" s="125"/>
      <c r="F988" s="6"/>
      <c r="J988" s="1" t="str">
        <f t="shared" si="0"/>
        <v/>
      </c>
    </row>
    <row r="989" spans="1:24" ht="16.5" customHeight="1">
      <c r="B989" s="125"/>
      <c r="F989" s="6"/>
      <c r="J989" s="1" t="str">
        <f t="shared" si="0"/>
        <v/>
      </c>
    </row>
    <row r="990" spans="1:24" ht="16.5" customHeight="1">
      <c r="B990" s="125"/>
      <c r="F990" s="6"/>
      <c r="J990" s="1" t="str">
        <f t="shared" si="0"/>
        <v/>
      </c>
    </row>
    <row r="991" spans="1:24" ht="16.5" customHeight="1">
      <c r="B991" s="125"/>
      <c r="F991" s="6"/>
      <c r="J991" s="1" t="str">
        <f t="shared" si="0"/>
        <v/>
      </c>
    </row>
    <row r="992" spans="1:24" ht="16.5" customHeight="1">
      <c r="B992" s="125"/>
      <c r="F992" s="6"/>
      <c r="J992" s="1" t="str">
        <f t="shared" si="0"/>
        <v/>
      </c>
    </row>
    <row r="993" spans="2:10" ht="16.5" customHeight="1">
      <c r="B993" s="125"/>
      <c r="F993" s="6"/>
      <c r="J993" s="1" t="str">
        <f t="shared" si="0"/>
        <v/>
      </c>
    </row>
    <row r="994" spans="2:10" ht="16.5" customHeight="1">
      <c r="B994" s="125"/>
      <c r="F994" s="6"/>
      <c r="J994" s="1" t="str">
        <f t="shared" si="0"/>
        <v/>
      </c>
    </row>
    <row r="995" spans="2:10" ht="16.5" customHeight="1">
      <c r="B995" s="125"/>
      <c r="F995" s="6"/>
      <c r="J995" s="1" t="str">
        <f t="shared" si="0"/>
        <v/>
      </c>
    </row>
    <row r="996" spans="2:10" ht="16.5" customHeight="1">
      <c r="B996" s="125"/>
      <c r="F996" s="6"/>
      <c r="J996" s="1" t="str">
        <f t="shared" si="0"/>
        <v/>
      </c>
    </row>
    <row r="997" spans="2:10" ht="16.5" customHeight="1">
      <c r="B997" s="125"/>
      <c r="F997" s="6"/>
      <c r="J997" s="1" t="str">
        <f t="shared" si="0"/>
        <v/>
      </c>
    </row>
    <row r="998" spans="2:10" ht="16.5" customHeight="1">
      <c r="B998" s="125"/>
      <c r="F998" s="6"/>
      <c r="J998" s="1" t="str">
        <f t="shared" si="0"/>
        <v/>
      </c>
    </row>
    <row r="999" spans="2:10" ht="16.5" customHeight="1">
      <c r="B999" s="125"/>
      <c r="F999" s="6"/>
      <c r="J999" s="1" t="str">
        <f t="shared" si="0"/>
        <v/>
      </c>
    </row>
    <row r="1000" spans="2:10" ht="16.5" customHeight="1">
      <c r="B1000" s="125"/>
      <c r="F1000" s="6"/>
      <c r="J1000" s="1" t="str">
        <f t="shared" si="0"/>
        <v/>
      </c>
    </row>
  </sheetData>
  <autoFilter ref="I3:J983">
    <filterColumn colId="0">
      <filters>
        <filter val="O"/>
      </filters>
    </filterColumn>
    <filterColumn colId="1">
      <filters blank="1">
        <filter val="과기"/>
      </filters>
    </filterColumn>
  </autoFilter>
  <customSheetViews>
    <customSheetView guid="{1C8533B9-C40A-4098-B671-87804AF9AA3D}" filter="1" showAutoFilter="1">
      <pageMargins left="0.7" right="0.7" top="0.75" bottom="0.75" header="0.3" footer="0.3"/>
      <autoFilter ref="A3:I982">
        <filterColumn colId="8">
          <filters>
            <filter val="O"/>
          </filters>
        </filterColumn>
      </autoFilter>
    </customSheetView>
  </customSheetViews>
  <mergeCells count="2">
    <mergeCell ref="A1:I1"/>
    <mergeCell ref="H2:I2"/>
  </mergeCells>
  <phoneticPr fontId="65" type="noConversion"/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5" r:id="rId541"/>
    <hyperlink ref="H546" r:id="rId542"/>
    <hyperlink ref="H547" r:id="rId543"/>
    <hyperlink ref="H548" r:id="rId544"/>
    <hyperlink ref="H549" r:id="rId545"/>
    <hyperlink ref="H550" r:id="rId546"/>
    <hyperlink ref="H551" r:id="rId547"/>
    <hyperlink ref="H552" r:id="rId548"/>
    <hyperlink ref="H553" r:id="rId549"/>
    <hyperlink ref="H554" r:id="rId550"/>
    <hyperlink ref="H555" r:id="rId551"/>
    <hyperlink ref="H556" r:id="rId552"/>
    <hyperlink ref="H557" r:id="rId553"/>
    <hyperlink ref="H558" r:id="rId554"/>
    <hyperlink ref="H559" r:id="rId555"/>
    <hyperlink ref="H560" r:id="rId556"/>
    <hyperlink ref="H561" r:id="rId557"/>
    <hyperlink ref="H562" r:id="rId558"/>
    <hyperlink ref="H563" r:id="rId559"/>
    <hyperlink ref="H564" r:id="rId560"/>
    <hyperlink ref="H565" r:id="rId561"/>
    <hyperlink ref="H566" r:id="rId562"/>
    <hyperlink ref="H567" r:id="rId563"/>
    <hyperlink ref="H568" r:id="rId564"/>
    <hyperlink ref="H569" r:id="rId565"/>
    <hyperlink ref="H570" r:id="rId566"/>
    <hyperlink ref="H571" r:id="rId567"/>
    <hyperlink ref="H572" r:id="rId568"/>
    <hyperlink ref="H573" r:id="rId569"/>
    <hyperlink ref="H574" r:id="rId570"/>
    <hyperlink ref="H575" r:id="rId571"/>
    <hyperlink ref="H576" r:id="rId572"/>
    <hyperlink ref="H577" r:id="rId573"/>
    <hyperlink ref="H578" r:id="rId574"/>
    <hyperlink ref="H579" r:id="rId575"/>
    <hyperlink ref="H580" r:id="rId576"/>
    <hyperlink ref="H581" r:id="rId577"/>
    <hyperlink ref="H582" r:id="rId578"/>
    <hyperlink ref="H583" r:id="rId579"/>
    <hyperlink ref="H584" r:id="rId580"/>
    <hyperlink ref="H585" r:id="rId581"/>
    <hyperlink ref="H586" r:id="rId582"/>
    <hyperlink ref="H587" r:id="rId583"/>
    <hyperlink ref="H588" r:id="rId584"/>
    <hyperlink ref="H589" r:id="rId585"/>
    <hyperlink ref="H590" r:id="rId586"/>
    <hyperlink ref="H591" r:id="rId587"/>
    <hyperlink ref="H592" r:id="rId588"/>
    <hyperlink ref="H593" r:id="rId589"/>
    <hyperlink ref="H594" r:id="rId590"/>
    <hyperlink ref="H595" r:id="rId591"/>
    <hyperlink ref="H596" r:id="rId592"/>
    <hyperlink ref="H597" r:id="rId593"/>
    <hyperlink ref="H598" r:id="rId594"/>
    <hyperlink ref="H599" r:id="rId595"/>
    <hyperlink ref="H600" r:id="rId596"/>
    <hyperlink ref="H601" r:id="rId597"/>
    <hyperlink ref="H602" r:id="rId598"/>
    <hyperlink ref="H603" r:id="rId599"/>
    <hyperlink ref="H604" r:id="rId600"/>
    <hyperlink ref="H605" r:id="rId601"/>
    <hyperlink ref="H606" r:id="rId602"/>
    <hyperlink ref="H607" r:id="rId603"/>
    <hyperlink ref="H608" r:id="rId604"/>
    <hyperlink ref="H609" r:id="rId605"/>
    <hyperlink ref="H610" r:id="rId606"/>
    <hyperlink ref="H611" r:id="rId607"/>
    <hyperlink ref="H612" r:id="rId608"/>
    <hyperlink ref="H613" r:id="rId609"/>
    <hyperlink ref="H614" r:id="rId610"/>
    <hyperlink ref="H615" r:id="rId611"/>
    <hyperlink ref="H616" r:id="rId612"/>
    <hyperlink ref="H617" r:id="rId613"/>
    <hyperlink ref="H618" r:id="rId614"/>
    <hyperlink ref="H619" r:id="rId615"/>
    <hyperlink ref="H620" r:id="rId616"/>
    <hyperlink ref="H621" r:id="rId617"/>
    <hyperlink ref="H622" r:id="rId618"/>
    <hyperlink ref="H623" r:id="rId619"/>
    <hyperlink ref="H624" r:id="rId620"/>
    <hyperlink ref="H625" r:id="rId621"/>
    <hyperlink ref="H626" r:id="rId622"/>
    <hyperlink ref="H627" r:id="rId623"/>
    <hyperlink ref="H628" r:id="rId624"/>
    <hyperlink ref="H629" r:id="rId625"/>
    <hyperlink ref="H630" r:id="rId626"/>
    <hyperlink ref="H631" r:id="rId627"/>
    <hyperlink ref="H632" r:id="rId628"/>
    <hyperlink ref="H633" r:id="rId629"/>
    <hyperlink ref="H634" r:id="rId630"/>
    <hyperlink ref="H635" r:id="rId631"/>
    <hyperlink ref="H636" r:id="rId632"/>
    <hyperlink ref="H637" r:id="rId633"/>
    <hyperlink ref="H638" r:id="rId634"/>
    <hyperlink ref="H639" r:id="rId635"/>
    <hyperlink ref="H640" r:id="rId636"/>
    <hyperlink ref="H641" r:id="rId637"/>
    <hyperlink ref="H642" r:id="rId638"/>
    <hyperlink ref="H643" r:id="rId639"/>
    <hyperlink ref="H644" r:id="rId640"/>
    <hyperlink ref="H645" r:id="rId641"/>
    <hyperlink ref="H646" r:id="rId642"/>
    <hyperlink ref="H647" r:id="rId643"/>
    <hyperlink ref="H648" r:id="rId644"/>
    <hyperlink ref="H649" r:id="rId645"/>
    <hyperlink ref="H650" r:id="rId646"/>
    <hyperlink ref="H651" r:id="rId647"/>
    <hyperlink ref="H652" r:id="rId648"/>
    <hyperlink ref="H653" r:id="rId649"/>
    <hyperlink ref="H654" r:id="rId650"/>
    <hyperlink ref="H655" r:id="rId651"/>
    <hyperlink ref="H656" r:id="rId652"/>
    <hyperlink ref="H657" r:id="rId653"/>
    <hyperlink ref="H658" r:id="rId654"/>
    <hyperlink ref="H659" r:id="rId655"/>
    <hyperlink ref="H660" r:id="rId656"/>
    <hyperlink ref="H661" r:id="rId657"/>
    <hyperlink ref="H662" r:id="rId658"/>
    <hyperlink ref="H663" r:id="rId659"/>
    <hyperlink ref="H664" r:id="rId660"/>
    <hyperlink ref="H665" r:id="rId661"/>
    <hyperlink ref="H666" r:id="rId662"/>
    <hyperlink ref="H667" r:id="rId663"/>
    <hyperlink ref="H668" r:id="rId664"/>
    <hyperlink ref="H669" r:id="rId665"/>
    <hyperlink ref="H670" r:id="rId666"/>
    <hyperlink ref="H671" r:id="rId667"/>
    <hyperlink ref="H672" r:id="rId668"/>
    <hyperlink ref="H673" r:id="rId669"/>
    <hyperlink ref="H674" r:id="rId670"/>
    <hyperlink ref="H675" r:id="rId671"/>
    <hyperlink ref="H676" r:id="rId672"/>
    <hyperlink ref="H677" r:id="rId673"/>
    <hyperlink ref="H678" r:id="rId674"/>
    <hyperlink ref="H679" r:id="rId675"/>
    <hyperlink ref="H680" r:id="rId676"/>
    <hyperlink ref="H681" r:id="rId677"/>
    <hyperlink ref="H682" r:id="rId678"/>
    <hyperlink ref="H683" r:id="rId679"/>
    <hyperlink ref="H684" r:id="rId680"/>
    <hyperlink ref="H685" r:id="rId681"/>
    <hyperlink ref="H686" r:id="rId682"/>
    <hyperlink ref="H687" r:id="rId683"/>
    <hyperlink ref="H688" r:id="rId684"/>
    <hyperlink ref="H689" r:id="rId685"/>
    <hyperlink ref="H690" r:id="rId686"/>
    <hyperlink ref="H691" r:id="rId687"/>
    <hyperlink ref="H692" r:id="rId688"/>
    <hyperlink ref="H693" r:id="rId689"/>
    <hyperlink ref="H694" r:id="rId690"/>
    <hyperlink ref="H695" r:id="rId691"/>
    <hyperlink ref="H696" r:id="rId692"/>
    <hyperlink ref="H697" r:id="rId693"/>
    <hyperlink ref="H698" r:id="rId694"/>
    <hyperlink ref="H699" r:id="rId695"/>
    <hyperlink ref="H700" r:id="rId696"/>
    <hyperlink ref="H701" r:id="rId697"/>
    <hyperlink ref="H702" r:id="rId698"/>
    <hyperlink ref="H703" r:id="rId699"/>
    <hyperlink ref="H704" r:id="rId700"/>
    <hyperlink ref="H705" r:id="rId701"/>
    <hyperlink ref="H706" r:id="rId702"/>
    <hyperlink ref="H707" r:id="rId703"/>
    <hyperlink ref="H708" r:id="rId704"/>
    <hyperlink ref="H709" r:id="rId705"/>
    <hyperlink ref="H710" r:id="rId706"/>
    <hyperlink ref="H711" r:id="rId707"/>
    <hyperlink ref="H712" r:id="rId708"/>
    <hyperlink ref="H713" r:id="rId709"/>
    <hyperlink ref="H714" r:id="rId710"/>
    <hyperlink ref="H715" r:id="rId711"/>
    <hyperlink ref="H716" r:id="rId712"/>
    <hyperlink ref="H717" r:id="rId713"/>
    <hyperlink ref="H718" r:id="rId714"/>
    <hyperlink ref="H719" r:id="rId715"/>
    <hyperlink ref="H720" r:id="rId716"/>
    <hyperlink ref="H721" r:id="rId717"/>
    <hyperlink ref="H722" r:id="rId718"/>
    <hyperlink ref="H723" r:id="rId719"/>
    <hyperlink ref="H724" r:id="rId720"/>
    <hyperlink ref="H725" r:id="rId721"/>
    <hyperlink ref="H726" r:id="rId722"/>
    <hyperlink ref="H727" r:id="rId723"/>
    <hyperlink ref="H728" r:id="rId724"/>
    <hyperlink ref="H729" r:id="rId725"/>
    <hyperlink ref="H730" r:id="rId726"/>
    <hyperlink ref="H731" r:id="rId727"/>
    <hyperlink ref="H732" r:id="rId728"/>
    <hyperlink ref="H733" r:id="rId729"/>
    <hyperlink ref="H734" r:id="rId730"/>
    <hyperlink ref="H735" r:id="rId731"/>
    <hyperlink ref="H736" r:id="rId732"/>
    <hyperlink ref="H737" r:id="rId733"/>
    <hyperlink ref="H738" r:id="rId734"/>
    <hyperlink ref="H739" r:id="rId735"/>
    <hyperlink ref="H740" r:id="rId736"/>
    <hyperlink ref="H741" r:id="rId737"/>
    <hyperlink ref="H742" r:id="rId738"/>
    <hyperlink ref="H743" r:id="rId739"/>
    <hyperlink ref="H744" r:id="rId740"/>
    <hyperlink ref="H745" r:id="rId741"/>
    <hyperlink ref="H746" r:id="rId742"/>
    <hyperlink ref="H747" r:id="rId743"/>
    <hyperlink ref="H748" r:id="rId744"/>
    <hyperlink ref="H749" r:id="rId745"/>
    <hyperlink ref="H750" r:id="rId746"/>
    <hyperlink ref="H751" r:id="rId747"/>
    <hyperlink ref="H752" r:id="rId748"/>
    <hyperlink ref="H753" r:id="rId749"/>
    <hyperlink ref="H754" r:id="rId750"/>
    <hyperlink ref="H755" r:id="rId751"/>
    <hyperlink ref="H756" r:id="rId752"/>
    <hyperlink ref="H757" r:id="rId753"/>
    <hyperlink ref="H758" r:id="rId754"/>
    <hyperlink ref="H759" r:id="rId755"/>
    <hyperlink ref="H760" r:id="rId756"/>
    <hyperlink ref="H761" r:id="rId757"/>
    <hyperlink ref="H762" r:id="rId758"/>
    <hyperlink ref="H763" r:id="rId759"/>
    <hyperlink ref="H764" r:id="rId760"/>
    <hyperlink ref="H765" r:id="rId761"/>
    <hyperlink ref="H766" r:id="rId762"/>
    <hyperlink ref="H767" r:id="rId763"/>
    <hyperlink ref="H768" r:id="rId764"/>
    <hyperlink ref="H769" r:id="rId765"/>
    <hyperlink ref="H770" r:id="rId766"/>
    <hyperlink ref="H771" r:id="rId767"/>
    <hyperlink ref="H772" r:id="rId768"/>
    <hyperlink ref="H773" r:id="rId769"/>
    <hyperlink ref="H774" r:id="rId770"/>
    <hyperlink ref="H775" r:id="rId771"/>
    <hyperlink ref="H776" r:id="rId772"/>
    <hyperlink ref="H777" r:id="rId773"/>
    <hyperlink ref="H778" r:id="rId774"/>
    <hyperlink ref="H779" r:id="rId775"/>
    <hyperlink ref="H780" r:id="rId776"/>
    <hyperlink ref="H781" r:id="rId777"/>
    <hyperlink ref="H782" r:id="rId778"/>
    <hyperlink ref="H783" r:id="rId779"/>
    <hyperlink ref="H784" r:id="rId780"/>
    <hyperlink ref="H785" r:id="rId781"/>
    <hyperlink ref="H786" r:id="rId782"/>
    <hyperlink ref="H787" r:id="rId783"/>
    <hyperlink ref="H788" r:id="rId784"/>
    <hyperlink ref="H789" r:id="rId785"/>
    <hyperlink ref="H790" r:id="rId786"/>
    <hyperlink ref="H791" r:id="rId787"/>
    <hyperlink ref="H792" r:id="rId788"/>
    <hyperlink ref="H793" r:id="rId789"/>
    <hyperlink ref="H794" r:id="rId790"/>
    <hyperlink ref="H795" r:id="rId791"/>
    <hyperlink ref="H796" r:id="rId792"/>
    <hyperlink ref="H797" r:id="rId793"/>
    <hyperlink ref="H798" r:id="rId794"/>
    <hyperlink ref="H799" r:id="rId795"/>
    <hyperlink ref="H800" r:id="rId796"/>
    <hyperlink ref="H801" r:id="rId797"/>
    <hyperlink ref="H802" r:id="rId798"/>
    <hyperlink ref="H803" r:id="rId799"/>
    <hyperlink ref="H804" r:id="rId800"/>
    <hyperlink ref="H805" r:id="rId801"/>
    <hyperlink ref="H806" r:id="rId802"/>
    <hyperlink ref="H807" r:id="rId803"/>
    <hyperlink ref="H808" r:id="rId804"/>
    <hyperlink ref="H809" r:id="rId805"/>
    <hyperlink ref="H810" r:id="rId806"/>
    <hyperlink ref="H811" r:id="rId807"/>
    <hyperlink ref="H812" r:id="rId808"/>
    <hyperlink ref="H813" r:id="rId809"/>
    <hyperlink ref="H814" r:id="rId810"/>
    <hyperlink ref="H815" r:id="rId811"/>
    <hyperlink ref="H816" r:id="rId812"/>
    <hyperlink ref="H817" r:id="rId813"/>
    <hyperlink ref="H818" r:id="rId814"/>
    <hyperlink ref="H819" r:id="rId815"/>
    <hyperlink ref="H820" r:id="rId816"/>
    <hyperlink ref="H821" r:id="rId817"/>
    <hyperlink ref="H822" r:id="rId818"/>
    <hyperlink ref="H823" r:id="rId819"/>
    <hyperlink ref="H824" r:id="rId820"/>
    <hyperlink ref="H825" r:id="rId821"/>
    <hyperlink ref="H826" r:id="rId822"/>
    <hyperlink ref="H827" r:id="rId823"/>
    <hyperlink ref="H828" r:id="rId824"/>
    <hyperlink ref="H829" r:id="rId825"/>
    <hyperlink ref="H830" r:id="rId826"/>
    <hyperlink ref="H831" r:id="rId827"/>
    <hyperlink ref="H832" r:id="rId828"/>
    <hyperlink ref="H833" r:id="rId829"/>
    <hyperlink ref="H834" r:id="rId830"/>
    <hyperlink ref="H835" r:id="rId831"/>
    <hyperlink ref="H836" r:id="rId832"/>
    <hyperlink ref="H837" r:id="rId833"/>
    <hyperlink ref="H838" r:id="rId834"/>
    <hyperlink ref="H839" r:id="rId835"/>
    <hyperlink ref="H840" r:id="rId836"/>
    <hyperlink ref="H841" r:id="rId837"/>
    <hyperlink ref="H842" r:id="rId838"/>
    <hyperlink ref="H843" r:id="rId839"/>
    <hyperlink ref="H844" r:id="rId840"/>
    <hyperlink ref="H845" r:id="rId841"/>
    <hyperlink ref="H846" r:id="rId842"/>
    <hyperlink ref="H847" r:id="rId843"/>
    <hyperlink ref="H848" r:id="rId844"/>
    <hyperlink ref="H849" r:id="rId845"/>
    <hyperlink ref="H850" r:id="rId846"/>
    <hyperlink ref="H851" r:id="rId847"/>
    <hyperlink ref="H852" r:id="rId848"/>
    <hyperlink ref="H853" r:id="rId849"/>
    <hyperlink ref="H854" r:id="rId850"/>
    <hyperlink ref="H855" r:id="rId851"/>
    <hyperlink ref="H856" r:id="rId852"/>
    <hyperlink ref="H857" r:id="rId853"/>
    <hyperlink ref="H858" r:id="rId854"/>
    <hyperlink ref="H859" r:id="rId855"/>
    <hyperlink ref="H860" r:id="rId856"/>
    <hyperlink ref="H861" r:id="rId857"/>
    <hyperlink ref="H862" r:id="rId858"/>
    <hyperlink ref="H863" r:id="rId859"/>
    <hyperlink ref="H864" r:id="rId860"/>
    <hyperlink ref="H865" r:id="rId861"/>
    <hyperlink ref="H866" r:id="rId862"/>
    <hyperlink ref="H867" r:id="rId863"/>
    <hyperlink ref="H868" r:id="rId864"/>
    <hyperlink ref="H869" r:id="rId865"/>
    <hyperlink ref="H870" r:id="rId866"/>
    <hyperlink ref="H871" r:id="rId867"/>
    <hyperlink ref="H872" r:id="rId868"/>
    <hyperlink ref="H873" r:id="rId869"/>
    <hyperlink ref="H874" r:id="rId870"/>
    <hyperlink ref="H875" r:id="rId871"/>
    <hyperlink ref="H876" r:id="rId872"/>
    <hyperlink ref="H877" r:id="rId873"/>
    <hyperlink ref="H878" r:id="rId874"/>
    <hyperlink ref="H879" r:id="rId875"/>
    <hyperlink ref="H880" r:id="rId876"/>
    <hyperlink ref="H881" r:id="rId877"/>
    <hyperlink ref="H882" r:id="rId878"/>
    <hyperlink ref="H883" r:id="rId879"/>
    <hyperlink ref="H884" r:id="rId880"/>
    <hyperlink ref="H885" r:id="rId881"/>
    <hyperlink ref="H886" r:id="rId882"/>
    <hyperlink ref="H887" r:id="rId883"/>
    <hyperlink ref="H888" r:id="rId884"/>
    <hyperlink ref="H889" r:id="rId885"/>
    <hyperlink ref="H890" r:id="rId886"/>
    <hyperlink ref="H891" r:id="rId887"/>
    <hyperlink ref="H892" r:id="rId888"/>
    <hyperlink ref="H893" r:id="rId889"/>
    <hyperlink ref="H894" r:id="rId890"/>
    <hyperlink ref="H895" r:id="rId891"/>
    <hyperlink ref="H896" r:id="rId892"/>
    <hyperlink ref="H897" r:id="rId893"/>
    <hyperlink ref="H898" r:id="rId894"/>
    <hyperlink ref="H899" r:id="rId895"/>
    <hyperlink ref="H900" r:id="rId896"/>
    <hyperlink ref="H901" r:id="rId897"/>
    <hyperlink ref="H902" r:id="rId898"/>
    <hyperlink ref="H903" r:id="rId899"/>
    <hyperlink ref="H904" r:id="rId900"/>
    <hyperlink ref="H905" r:id="rId901"/>
    <hyperlink ref="H906" r:id="rId902"/>
    <hyperlink ref="H907" r:id="rId903"/>
    <hyperlink ref="H908" r:id="rId904"/>
    <hyperlink ref="H909" r:id="rId905"/>
    <hyperlink ref="H910" r:id="rId906"/>
    <hyperlink ref="H911" r:id="rId907"/>
    <hyperlink ref="H912" r:id="rId908"/>
    <hyperlink ref="H913" r:id="rId909"/>
    <hyperlink ref="H914" r:id="rId910"/>
    <hyperlink ref="H915" r:id="rId911"/>
    <hyperlink ref="H916" r:id="rId912"/>
    <hyperlink ref="H917" r:id="rId913"/>
    <hyperlink ref="H918" r:id="rId914"/>
    <hyperlink ref="H919" r:id="rId915"/>
    <hyperlink ref="H920" r:id="rId916"/>
    <hyperlink ref="H921" r:id="rId917"/>
    <hyperlink ref="H922" r:id="rId918"/>
    <hyperlink ref="H923" r:id="rId919"/>
    <hyperlink ref="H924" r:id="rId920"/>
    <hyperlink ref="H925" r:id="rId921"/>
    <hyperlink ref="H926" r:id="rId922"/>
    <hyperlink ref="H927" r:id="rId923"/>
    <hyperlink ref="H928" r:id="rId924"/>
    <hyperlink ref="H929" r:id="rId925"/>
    <hyperlink ref="H930" r:id="rId926"/>
    <hyperlink ref="H931" r:id="rId927"/>
    <hyperlink ref="H932" r:id="rId928"/>
    <hyperlink ref="H933" r:id="rId929"/>
    <hyperlink ref="H934" r:id="rId930"/>
    <hyperlink ref="H935" r:id="rId931"/>
    <hyperlink ref="H936" r:id="rId932"/>
    <hyperlink ref="H937" r:id="rId933"/>
    <hyperlink ref="H938" r:id="rId934"/>
    <hyperlink ref="H939" r:id="rId935"/>
    <hyperlink ref="H940" r:id="rId936"/>
    <hyperlink ref="H941" r:id="rId937"/>
    <hyperlink ref="H942" r:id="rId938"/>
    <hyperlink ref="H943" r:id="rId939"/>
    <hyperlink ref="H944" r:id="rId940"/>
    <hyperlink ref="H945" r:id="rId941"/>
    <hyperlink ref="H946" r:id="rId942"/>
    <hyperlink ref="H947" r:id="rId943"/>
    <hyperlink ref="H948" r:id="rId944"/>
    <hyperlink ref="H949" r:id="rId945"/>
    <hyperlink ref="H950" r:id="rId946"/>
    <hyperlink ref="H951" r:id="rId947"/>
    <hyperlink ref="H952" r:id="rId948"/>
    <hyperlink ref="H953" r:id="rId949"/>
    <hyperlink ref="H954" r:id="rId950"/>
    <hyperlink ref="H955" r:id="rId951"/>
    <hyperlink ref="H956" r:id="rId952"/>
    <hyperlink ref="H957" r:id="rId953"/>
    <hyperlink ref="H958" r:id="rId954"/>
    <hyperlink ref="H959" r:id="rId955"/>
    <hyperlink ref="H960" r:id="rId956"/>
    <hyperlink ref="H961" r:id="rId957"/>
    <hyperlink ref="H962" r:id="rId958"/>
    <hyperlink ref="H963" r:id="rId959"/>
    <hyperlink ref="H964" r:id="rId960"/>
    <hyperlink ref="H965" r:id="rId961"/>
    <hyperlink ref="H966" r:id="rId962"/>
    <hyperlink ref="H967" r:id="rId963"/>
    <hyperlink ref="H968" r:id="rId964"/>
    <hyperlink ref="H969" r:id="rId965"/>
    <hyperlink ref="H970" r:id="rId966"/>
    <hyperlink ref="H971" r:id="rId967"/>
    <hyperlink ref="H972" r:id="rId968"/>
    <hyperlink ref="H973" r:id="rId969"/>
    <hyperlink ref="H974" r:id="rId970"/>
    <hyperlink ref="H975" r:id="rId971"/>
    <hyperlink ref="H976" r:id="rId972"/>
    <hyperlink ref="H977" r:id="rId973"/>
    <hyperlink ref="H978" r:id="rId974"/>
    <hyperlink ref="H979" r:id="rId975"/>
    <hyperlink ref="H980" r:id="rId976"/>
    <hyperlink ref="H981" r:id="rId977"/>
    <hyperlink ref="H982" r:id="rId978"/>
  </hyperlinks>
  <pageMargins left="0.7" right="0.7" top="0.75" bottom="0.75" header="0" footer="0"/>
  <pageSetup paperSize="9" orientation="landscape"/>
  <legacyDrawing r:id="rId97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X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9.5" customWidth="1"/>
    <col min="3" max="3" width="34.125" customWidth="1"/>
    <col min="4" max="4" width="25.125" customWidth="1"/>
    <col min="5" max="5" width="10.75" customWidth="1"/>
    <col min="6" max="6" width="13.875" customWidth="1"/>
    <col min="7" max="7" width="12.5" customWidth="1"/>
    <col min="8" max="8" width="25" customWidth="1"/>
    <col min="9" max="10" width="7.625" customWidth="1"/>
    <col min="11" max="24" width="7.625" hidden="1" customWidth="1"/>
  </cols>
  <sheetData>
    <row r="1" spans="1:24" ht="36" customHeight="1">
      <c r="A1" s="292" t="s">
        <v>0</v>
      </c>
      <c r="B1" s="290"/>
      <c r="C1" s="290"/>
      <c r="D1" s="290"/>
      <c r="E1" s="290"/>
      <c r="F1" s="290"/>
      <c r="G1" s="290"/>
      <c r="H1" s="290"/>
      <c r="I1" s="290"/>
      <c r="J1" s="1" t="str">
        <f t="shared" ref="J1:J1000" si="0">IFERROR(VLOOKUP(E1,$Q$4:$X$353,8,FALSE),"")</f>
        <v/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9.5" customHeight="1">
      <c r="A2" s="3"/>
      <c r="B2" s="4"/>
      <c r="C2" s="5"/>
      <c r="D2" s="5"/>
      <c r="E2" s="5"/>
      <c r="F2" s="6"/>
      <c r="G2" s="5"/>
      <c r="H2" s="291" t="str">
        <f>CONCATENATE("2021년 구독종수: ", COUNTIF(I4:I1995,"O"))</f>
        <v>2021년 구독종수: 348</v>
      </c>
      <c r="I2" s="290"/>
      <c r="J2" s="1" t="str">
        <f t="shared" si="0"/>
        <v/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27.75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3" t="s">
        <v>8</v>
      </c>
      <c r="H3" s="11" t="s">
        <v>9</v>
      </c>
      <c r="I3" s="14" t="s">
        <v>10</v>
      </c>
      <c r="J3" s="1">
        <f t="shared" si="0"/>
        <v>0</v>
      </c>
      <c r="K3" s="16"/>
      <c r="L3" s="16"/>
      <c r="M3" s="126" t="s">
        <v>4330</v>
      </c>
      <c r="N3" s="127" t="s">
        <v>4331</v>
      </c>
      <c r="O3" s="128" t="s">
        <v>4</v>
      </c>
      <c r="P3" s="127" t="s">
        <v>4332</v>
      </c>
      <c r="Q3" s="127" t="s">
        <v>6</v>
      </c>
      <c r="R3" s="127" t="s">
        <v>4333</v>
      </c>
      <c r="S3" s="127" t="s">
        <v>4334</v>
      </c>
      <c r="T3" s="127" t="s">
        <v>4335</v>
      </c>
      <c r="U3" s="127" t="s">
        <v>4336</v>
      </c>
      <c r="V3" s="129"/>
      <c r="W3" s="129"/>
      <c r="X3" s="129"/>
    </row>
    <row r="4" spans="1:24" ht="26.25" customHeight="1">
      <c r="A4" s="17">
        <f t="shared" ref="A4:A982" si="1">IF(B4="","",ROW(B4)-3)</f>
        <v>1</v>
      </c>
      <c r="B4" s="18" t="s">
        <v>13</v>
      </c>
      <c r="C4" s="19" t="s">
        <v>14</v>
      </c>
      <c r="D4" s="19" t="s">
        <v>15</v>
      </c>
      <c r="E4" s="20" t="s">
        <v>16</v>
      </c>
      <c r="F4" s="21" t="s">
        <v>17</v>
      </c>
      <c r="G4" s="22" t="s">
        <v>18</v>
      </c>
      <c r="H4" s="23" t="s">
        <v>19</v>
      </c>
      <c r="I4" s="24" t="s">
        <v>20</v>
      </c>
      <c r="J4" s="1" t="str">
        <f t="shared" si="0"/>
        <v>FRIC</v>
      </c>
      <c r="K4" s="1"/>
      <c r="L4" s="1"/>
      <c r="M4" s="130">
        <v>1</v>
      </c>
      <c r="N4" s="130" t="s">
        <v>4337</v>
      </c>
      <c r="O4" s="131" t="s">
        <v>28</v>
      </c>
      <c r="P4" s="130" t="s">
        <v>4338</v>
      </c>
      <c r="Q4" s="130" t="s">
        <v>30</v>
      </c>
      <c r="R4" s="130">
        <v>12</v>
      </c>
      <c r="S4" s="130"/>
      <c r="T4" s="130" t="s">
        <v>4339</v>
      </c>
      <c r="U4" s="130" t="s">
        <v>20</v>
      </c>
      <c r="V4" s="129"/>
      <c r="W4" s="129"/>
      <c r="X4" s="129" t="s">
        <v>21</v>
      </c>
    </row>
    <row r="5" spans="1:24" ht="26.25" customHeight="1">
      <c r="A5" s="17">
        <f t="shared" si="1"/>
        <v>2</v>
      </c>
      <c r="B5" s="18" t="s">
        <v>27</v>
      </c>
      <c r="C5" s="19" t="s">
        <v>28</v>
      </c>
      <c r="D5" s="19" t="s">
        <v>29</v>
      </c>
      <c r="E5" s="20" t="s">
        <v>30</v>
      </c>
      <c r="F5" s="21" t="s">
        <v>17</v>
      </c>
      <c r="G5" s="22" t="s">
        <v>31</v>
      </c>
      <c r="H5" s="23" t="s">
        <v>32</v>
      </c>
      <c r="I5" s="24" t="s">
        <v>20</v>
      </c>
      <c r="J5" s="1" t="str">
        <f t="shared" si="0"/>
        <v>FRIC</v>
      </c>
      <c r="K5" s="1"/>
      <c r="L5" s="1"/>
      <c r="M5" s="130">
        <v>2</v>
      </c>
      <c r="N5" s="130" t="s">
        <v>4337</v>
      </c>
      <c r="O5" s="131" t="s">
        <v>38</v>
      </c>
      <c r="P5" s="130" t="s">
        <v>4340</v>
      </c>
      <c r="Q5" s="130" t="s">
        <v>40</v>
      </c>
      <c r="R5" s="130">
        <v>6</v>
      </c>
      <c r="S5" s="130"/>
      <c r="T5" s="130" t="s">
        <v>4341</v>
      </c>
      <c r="U5" s="130" t="s">
        <v>53</v>
      </c>
      <c r="V5" s="129" t="s">
        <v>4342</v>
      </c>
      <c r="W5" s="129"/>
      <c r="X5" s="129" t="s">
        <v>21</v>
      </c>
    </row>
    <row r="6" spans="1:24" ht="26.25" customHeight="1">
      <c r="A6" s="17">
        <f t="shared" si="1"/>
        <v>3</v>
      </c>
      <c r="B6" s="18" t="s">
        <v>37</v>
      </c>
      <c r="C6" s="19" t="s">
        <v>38</v>
      </c>
      <c r="D6" s="19" t="s">
        <v>39</v>
      </c>
      <c r="E6" s="20" t="s">
        <v>40</v>
      </c>
      <c r="F6" s="21" t="s">
        <v>41</v>
      </c>
      <c r="G6" s="22" t="s">
        <v>42</v>
      </c>
      <c r="H6" s="23" t="s">
        <v>43</v>
      </c>
      <c r="I6" s="24" t="s">
        <v>20</v>
      </c>
      <c r="J6" s="1" t="str">
        <f t="shared" si="0"/>
        <v>FRIC</v>
      </c>
      <c r="K6" s="1"/>
      <c r="L6" s="1"/>
      <c r="M6" s="130">
        <v>3</v>
      </c>
      <c r="N6" s="130" t="s">
        <v>4337</v>
      </c>
      <c r="O6" s="131" t="s">
        <v>74</v>
      </c>
      <c r="P6" s="130" t="s">
        <v>60</v>
      </c>
      <c r="Q6" s="130" t="s">
        <v>75</v>
      </c>
      <c r="R6" s="132">
        <v>6</v>
      </c>
      <c r="S6" s="130"/>
      <c r="T6" s="130" t="s">
        <v>4343</v>
      </c>
      <c r="U6" s="130" t="s">
        <v>20</v>
      </c>
      <c r="V6" s="129"/>
      <c r="W6" s="129"/>
      <c r="X6" s="129" t="s">
        <v>21</v>
      </c>
    </row>
    <row r="7" spans="1:24" ht="26.25" hidden="1" customHeight="1">
      <c r="A7" s="17">
        <f t="shared" si="1"/>
        <v>4</v>
      </c>
      <c r="B7" s="18" t="s">
        <v>48</v>
      </c>
      <c r="C7" s="31" t="s">
        <v>49</v>
      </c>
      <c r="D7" s="19" t="s">
        <v>50</v>
      </c>
      <c r="E7" s="20" t="s">
        <v>51</v>
      </c>
      <c r="F7" s="32" t="s">
        <v>52</v>
      </c>
      <c r="G7" s="33" t="s">
        <v>53</v>
      </c>
      <c r="H7" s="23" t="s">
        <v>54</v>
      </c>
      <c r="I7" s="34" t="s">
        <v>55</v>
      </c>
      <c r="J7" s="1" t="str">
        <f t="shared" si="0"/>
        <v/>
      </c>
      <c r="K7" s="25"/>
      <c r="L7" s="25"/>
      <c r="M7" s="133">
        <v>4</v>
      </c>
      <c r="N7" s="133" t="s">
        <v>4337</v>
      </c>
      <c r="O7" s="134" t="s">
        <v>133</v>
      </c>
      <c r="P7" s="133" t="s">
        <v>255</v>
      </c>
      <c r="Q7" s="133" t="s">
        <v>134</v>
      </c>
      <c r="R7" s="133">
        <v>6</v>
      </c>
      <c r="S7" s="135"/>
      <c r="T7" s="133" t="s">
        <v>4344</v>
      </c>
      <c r="U7" s="135"/>
      <c r="V7" s="135"/>
      <c r="W7" s="135"/>
      <c r="X7" s="135" t="s">
        <v>21</v>
      </c>
    </row>
    <row r="8" spans="1:24" ht="26.25" hidden="1" customHeight="1">
      <c r="A8" s="17">
        <f t="shared" si="1"/>
        <v>5</v>
      </c>
      <c r="B8" s="18" t="s">
        <v>37</v>
      </c>
      <c r="C8" s="31" t="s">
        <v>59</v>
      </c>
      <c r="D8" s="19" t="s">
        <v>60</v>
      </c>
      <c r="E8" s="20" t="s">
        <v>61</v>
      </c>
      <c r="F8" s="32" t="s">
        <v>62</v>
      </c>
      <c r="G8" s="22" t="s">
        <v>63</v>
      </c>
      <c r="H8" s="23" t="s">
        <v>64</v>
      </c>
      <c r="I8" s="24" t="s">
        <v>55</v>
      </c>
      <c r="J8" s="1" t="str">
        <f t="shared" si="0"/>
        <v/>
      </c>
      <c r="K8" s="1"/>
      <c r="L8" s="1"/>
      <c r="M8" s="130">
        <v>5</v>
      </c>
      <c r="N8" s="130" t="s">
        <v>4337</v>
      </c>
      <c r="O8" s="131" t="s">
        <v>153</v>
      </c>
      <c r="P8" s="130" t="s">
        <v>4345</v>
      </c>
      <c r="Q8" s="130" t="s">
        <v>155</v>
      </c>
      <c r="R8" s="130">
        <v>4</v>
      </c>
      <c r="S8" s="129"/>
      <c r="T8" s="130" t="s">
        <v>4346</v>
      </c>
      <c r="U8" s="130" t="s">
        <v>20</v>
      </c>
      <c r="V8" s="129"/>
      <c r="W8" s="129"/>
      <c r="X8" s="129" t="s">
        <v>21</v>
      </c>
    </row>
    <row r="9" spans="1:24" ht="26.25" hidden="1" customHeight="1">
      <c r="A9" s="17">
        <f t="shared" si="1"/>
        <v>6</v>
      </c>
      <c r="B9" s="18" t="s">
        <v>37</v>
      </c>
      <c r="C9" s="31" t="s">
        <v>67</v>
      </c>
      <c r="D9" s="19" t="s">
        <v>60</v>
      </c>
      <c r="E9" s="20" t="s">
        <v>68</v>
      </c>
      <c r="F9" s="32" t="s">
        <v>69</v>
      </c>
      <c r="G9" s="22" t="s">
        <v>42</v>
      </c>
      <c r="H9" s="23" t="s">
        <v>70</v>
      </c>
      <c r="I9" s="24" t="s">
        <v>55</v>
      </c>
      <c r="J9" s="1" t="str">
        <f t="shared" si="0"/>
        <v/>
      </c>
      <c r="K9" s="1"/>
      <c r="L9" s="1"/>
      <c r="M9" s="130">
        <v>6</v>
      </c>
      <c r="N9" s="130" t="s">
        <v>4337</v>
      </c>
      <c r="O9" s="131" t="s">
        <v>123</v>
      </c>
      <c r="P9" s="130" t="s">
        <v>361</v>
      </c>
      <c r="Q9" s="130" t="s">
        <v>125</v>
      </c>
      <c r="R9" s="130">
        <v>8</v>
      </c>
      <c r="S9" s="130" t="s">
        <v>4347</v>
      </c>
      <c r="T9" s="130" t="s">
        <v>4348</v>
      </c>
      <c r="U9" s="129"/>
      <c r="V9" s="129"/>
      <c r="W9" s="129"/>
      <c r="X9" s="129" t="s">
        <v>21</v>
      </c>
    </row>
    <row r="10" spans="1:24" ht="26.25" customHeight="1">
      <c r="A10" s="17">
        <f t="shared" si="1"/>
        <v>7</v>
      </c>
      <c r="B10" s="18" t="s">
        <v>13</v>
      </c>
      <c r="C10" s="19" t="s">
        <v>74</v>
      </c>
      <c r="D10" s="19" t="s">
        <v>60</v>
      </c>
      <c r="E10" s="20" t="s">
        <v>75</v>
      </c>
      <c r="F10" s="21" t="s">
        <v>76</v>
      </c>
      <c r="G10" s="22" t="s">
        <v>42</v>
      </c>
      <c r="H10" s="23" t="s">
        <v>77</v>
      </c>
      <c r="I10" s="24" t="s">
        <v>20</v>
      </c>
      <c r="J10" s="1" t="str">
        <f t="shared" si="0"/>
        <v>FRIC</v>
      </c>
      <c r="K10" s="1"/>
      <c r="L10" s="1"/>
      <c r="M10" s="130">
        <v>7</v>
      </c>
      <c r="N10" s="130" t="s">
        <v>4337</v>
      </c>
      <c r="O10" s="131" t="s">
        <v>4349</v>
      </c>
      <c r="P10" s="130" t="s">
        <v>4350</v>
      </c>
      <c r="Q10" s="130" t="s">
        <v>300</v>
      </c>
      <c r="R10" s="130">
        <v>9</v>
      </c>
      <c r="S10" s="130" t="s">
        <v>4347</v>
      </c>
      <c r="T10" s="130" t="s">
        <v>4351</v>
      </c>
      <c r="U10" s="130" t="s">
        <v>20</v>
      </c>
      <c r="V10" s="129"/>
      <c r="W10" s="129"/>
      <c r="X10" s="129" t="s">
        <v>21</v>
      </c>
    </row>
    <row r="11" spans="1:24" ht="26.25" hidden="1" customHeight="1">
      <c r="A11" s="17">
        <f t="shared" si="1"/>
        <v>8</v>
      </c>
      <c r="B11" s="18" t="s">
        <v>81</v>
      </c>
      <c r="C11" s="31" t="s">
        <v>82</v>
      </c>
      <c r="D11" s="19" t="s">
        <v>83</v>
      </c>
      <c r="E11" s="20" t="s">
        <v>84</v>
      </c>
      <c r="F11" s="21" t="s">
        <v>85</v>
      </c>
      <c r="G11" s="33" t="s">
        <v>42</v>
      </c>
      <c r="H11" s="23" t="s">
        <v>86</v>
      </c>
      <c r="I11" s="24" t="s">
        <v>20</v>
      </c>
      <c r="J11" s="1" t="str">
        <f t="shared" si="0"/>
        <v>과기</v>
      </c>
      <c r="K11" s="1"/>
      <c r="L11" s="1"/>
      <c r="M11" s="130">
        <v>8</v>
      </c>
      <c r="N11" s="130" t="s">
        <v>4337</v>
      </c>
      <c r="O11" s="131" t="s">
        <v>347</v>
      </c>
      <c r="P11" s="130" t="s">
        <v>4352</v>
      </c>
      <c r="Q11" s="130" t="s">
        <v>349</v>
      </c>
      <c r="R11" s="130">
        <v>6</v>
      </c>
      <c r="S11" s="130" t="s">
        <v>4347</v>
      </c>
      <c r="T11" s="130" t="s">
        <v>4353</v>
      </c>
      <c r="U11" s="130" t="s">
        <v>20</v>
      </c>
      <c r="V11" s="129"/>
      <c r="W11" s="129"/>
      <c r="X11" s="129" t="s">
        <v>21</v>
      </c>
    </row>
    <row r="12" spans="1:24" ht="26.25" hidden="1" customHeight="1">
      <c r="A12" s="17">
        <f t="shared" si="1"/>
        <v>9</v>
      </c>
      <c r="B12" s="18" t="s">
        <v>81</v>
      </c>
      <c r="C12" s="31" t="s">
        <v>91</v>
      </c>
      <c r="D12" s="19" t="s">
        <v>83</v>
      </c>
      <c r="E12" s="20" t="s">
        <v>92</v>
      </c>
      <c r="F12" s="32" t="s">
        <v>93</v>
      </c>
      <c r="G12" s="33" t="s">
        <v>42</v>
      </c>
      <c r="H12" s="23" t="s">
        <v>94</v>
      </c>
      <c r="I12" s="24" t="s">
        <v>55</v>
      </c>
      <c r="J12" s="1" t="str">
        <f t="shared" si="0"/>
        <v/>
      </c>
      <c r="K12" s="1"/>
      <c r="L12" s="1"/>
      <c r="M12" s="130">
        <v>9</v>
      </c>
      <c r="N12" s="130" t="s">
        <v>4337</v>
      </c>
      <c r="O12" s="131" t="s">
        <v>439</v>
      </c>
      <c r="P12" s="130" t="s">
        <v>4345</v>
      </c>
      <c r="Q12" s="130" t="s">
        <v>441</v>
      </c>
      <c r="R12" s="130">
        <v>20</v>
      </c>
      <c r="S12" s="129"/>
      <c r="T12" s="130" t="s">
        <v>4354</v>
      </c>
      <c r="U12" s="130" t="s">
        <v>20</v>
      </c>
      <c r="V12" s="129"/>
      <c r="W12" s="129"/>
      <c r="X12" s="129" t="s">
        <v>21</v>
      </c>
    </row>
    <row r="13" spans="1:24" ht="26.25" hidden="1" customHeight="1">
      <c r="A13" s="17">
        <f t="shared" si="1"/>
        <v>10</v>
      </c>
      <c r="B13" s="18" t="s">
        <v>81</v>
      </c>
      <c r="C13" s="31" t="s">
        <v>98</v>
      </c>
      <c r="D13" s="19" t="s">
        <v>83</v>
      </c>
      <c r="E13" s="20" t="s">
        <v>99</v>
      </c>
      <c r="F13" s="32" t="s">
        <v>100</v>
      </c>
      <c r="G13" s="33" t="s">
        <v>31</v>
      </c>
      <c r="H13" s="23" t="s">
        <v>101</v>
      </c>
      <c r="I13" s="24" t="s">
        <v>55</v>
      </c>
      <c r="J13" s="1" t="str">
        <f t="shared" si="0"/>
        <v/>
      </c>
      <c r="K13" s="1"/>
      <c r="L13" s="1"/>
      <c r="M13" s="130">
        <v>10</v>
      </c>
      <c r="N13" s="130" t="s">
        <v>4337</v>
      </c>
      <c r="O13" s="131" t="s">
        <v>4355</v>
      </c>
      <c r="P13" s="130" t="s">
        <v>4356</v>
      </c>
      <c r="Q13" s="130" t="s">
        <v>481</v>
      </c>
      <c r="R13" s="130">
        <v>12</v>
      </c>
      <c r="S13" s="129"/>
      <c r="T13" s="130" t="s">
        <v>4357</v>
      </c>
      <c r="U13" s="130" t="s">
        <v>20</v>
      </c>
      <c r="V13" s="129"/>
      <c r="W13" s="129"/>
      <c r="X13" s="129" t="s">
        <v>21</v>
      </c>
    </row>
    <row r="14" spans="1:24" ht="26.25" hidden="1" customHeight="1">
      <c r="A14" s="17">
        <f t="shared" si="1"/>
        <v>11</v>
      </c>
      <c r="B14" s="18" t="s">
        <v>105</v>
      </c>
      <c r="C14" s="31" t="s">
        <v>106</v>
      </c>
      <c r="D14" s="19" t="s">
        <v>107</v>
      </c>
      <c r="E14" s="20" t="s">
        <v>108</v>
      </c>
      <c r="F14" s="32" t="s">
        <v>109</v>
      </c>
      <c r="G14" s="33" t="s">
        <v>31</v>
      </c>
      <c r="H14" s="23" t="s">
        <v>110</v>
      </c>
      <c r="I14" s="24" t="s">
        <v>55</v>
      </c>
      <c r="J14" s="1" t="str">
        <f t="shared" si="0"/>
        <v/>
      </c>
      <c r="K14" s="1"/>
      <c r="L14" s="1"/>
      <c r="M14" s="130">
        <v>11</v>
      </c>
      <c r="N14" s="130" t="s">
        <v>4337</v>
      </c>
      <c r="O14" s="131" t="s">
        <v>487</v>
      </c>
      <c r="P14" s="130" t="s">
        <v>4358</v>
      </c>
      <c r="Q14" s="130" t="s">
        <v>489</v>
      </c>
      <c r="R14" s="130">
        <v>12</v>
      </c>
      <c r="S14" s="129"/>
      <c r="T14" s="130" t="s">
        <v>4359</v>
      </c>
      <c r="U14" s="130" t="s">
        <v>20</v>
      </c>
      <c r="V14" s="129"/>
      <c r="W14" s="129"/>
      <c r="X14" s="129" t="s">
        <v>21</v>
      </c>
    </row>
    <row r="15" spans="1:24" ht="26.25" hidden="1" customHeight="1">
      <c r="A15" s="17">
        <f t="shared" si="1"/>
        <v>12</v>
      </c>
      <c r="B15" s="18" t="s">
        <v>105</v>
      </c>
      <c r="C15" s="31" t="s">
        <v>115</v>
      </c>
      <c r="D15" s="19" t="s">
        <v>116</v>
      </c>
      <c r="E15" s="20" t="s">
        <v>117</v>
      </c>
      <c r="F15" s="21" t="s">
        <v>118</v>
      </c>
      <c r="G15" s="33" t="s">
        <v>42</v>
      </c>
      <c r="H15" s="23" t="s">
        <v>119</v>
      </c>
      <c r="I15" s="34" t="s">
        <v>20</v>
      </c>
      <c r="J15" s="1" t="str">
        <f t="shared" si="0"/>
        <v>과기</v>
      </c>
      <c r="K15" s="25"/>
      <c r="L15" s="25"/>
      <c r="M15" s="133">
        <v>12</v>
      </c>
      <c r="N15" s="133" t="s">
        <v>4337</v>
      </c>
      <c r="O15" s="134" t="s">
        <v>502</v>
      </c>
      <c r="P15" s="133" t="s">
        <v>4360</v>
      </c>
      <c r="Q15" s="133" t="s">
        <v>504</v>
      </c>
      <c r="R15" s="133">
        <v>12</v>
      </c>
      <c r="S15" s="135"/>
      <c r="T15" s="133" t="s">
        <v>4361</v>
      </c>
      <c r="U15" s="133" t="s">
        <v>20</v>
      </c>
      <c r="V15" s="135"/>
      <c r="W15" s="135"/>
      <c r="X15" s="135" t="s">
        <v>21</v>
      </c>
    </row>
    <row r="16" spans="1:24" ht="26.25" customHeight="1">
      <c r="A16" s="17">
        <f t="shared" si="1"/>
        <v>13</v>
      </c>
      <c r="B16" s="18" t="s">
        <v>37</v>
      </c>
      <c r="C16" s="19" t="s">
        <v>123</v>
      </c>
      <c r="D16" s="19" t="s">
        <v>124</v>
      </c>
      <c r="E16" s="20" t="s">
        <v>125</v>
      </c>
      <c r="F16" s="21" t="s">
        <v>126</v>
      </c>
      <c r="G16" s="22" t="s">
        <v>42</v>
      </c>
      <c r="H16" s="23" t="s">
        <v>127</v>
      </c>
      <c r="I16" s="24" t="s">
        <v>20</v>
      </c>
      <c r="J16" s="1" t="str">
        <f t="shared" si="0"/>
        <v>FRIC</v>
      </c>
      <c r="K16" s="1"/>
      <c r="L16" s="1"/>
      <c r="M16" s="130">
        <v>13</v>
      </c>
      <c r="N16" s="130" t="s">
        <v>4337</v>
      </c>
      <c r="O16" s="131" t="s">
        <v>4362</v>
      </c>
      <c r="P16" s="130" t="s">
        <v>1021</v>
      </c>
      <c r="Q16" s="130" t="s">
        <v>3324</v>
      </c>
      <c r="R16" s="130">
        <v>12</v>
      </c>
      <c r="S16" s="129"/>
      <c r="T16" s="130" t="s">
        <v>4363</v>
      </c>
      <c r="U16" s="130" t="s">
        <v>20</v>
      </c>
      <c r="V16" s="129"/>
      <c r="W16" s="129"/>
      <c r="X16" s="129" t="s">
        <v>21</v>
      </c>
    </row>
    <row r="17" spans="1:24" ht="26.25" customHeight="1">
      <c r="A17" s="17">
        <f t="shared" si="1"/>
        <v>14</v>
      </c>
      <c r="B17" s="18" t="s">
        <v>132</v>
      </c>
      <c r="C17" s="19" t="s">
        <v>133</v>
      </c>
      <c r="D17" s="19" t="s">
        <v>124</v>
      </c>
      <c r="E17" s="20" t="s">
        <v>134</v>
      </c>
      <c r="F17" s="21" t="s">
        <v>135</v>
      </c>
      <c r="G17" s="22" t="s">
        <v>42</v>
      </c>
      <c r="H17" s="23" t="s">
        <v>136</v>
      </c>
      <c r="I17" s="24" t="s">
        <v>20</v>
      </c>
      <c r="J17" s="1" t="str">
        <f t="shared" si="0"/>
        <v>FRIC</v>
      </c>
      <c r="K17" s="1"/>
      <c r="L17" s="1"/>
      <c r="M17" s="130">
        <v>14</v>
      </c>
      <c r="N17" s="130" t="s">
        <v>4337</v>
      </c>
      <c r="O17" s="131" t="s">
        <v>4364</v>
      </c>
      <c r="P17" s="130" t="s">
        <v>255</v>
      </c>
      <c r="Q17" s="130" t="s">
        <v>511</v>
      </c>
      <c r="R17" s="130">
        <v>6</v>
      </c>
      <c r="S17" s="130" t="s">
        <v>4347</v>
      </c>
      <c r="T17" s="130" t="s">
        <v>4365</v>
      </c>
      <c r="U17" s="129"/>
      <c r="V17" s="129"/>
      <c r="W17" s="129"/>
      <c r="X17" s="129" t="s">
        <v>21</v>
      </c>
    </row>
    <row r="18" spans="1:24" ht="26.25" hidden="1" customHeight="1">
      <c r="A18" s="17">
        <f t="shared" si="1"/>
        <v>15</v>
      </c>
      <c r="B18" s="18" t="s">
        <v>27</v>
      </c>
      <c r="C18" s="31" t="s">
        <v>22</v>
      </c>
      <c r="D18" s="19" t="s">
        <v>141</v>
      </c>
      <c r="E18" s="20" t="s">
        <v>24</v>
      </c>
      <c r="F18" s="32" t="s">
        <v>142</v>
      </c>
      <c r="G18" s="22" t="s">
        <v>42</v>
      </c>
      <c r="H18" s="23" t="s">
        <v>143</v>
      </c>
      <c r="I18" s="24" t="s">
        <v>55</v>
      </c>
      <c r="J18" s="1" t="str">
        <f t="shared" si="0"/>
        <v/>
      </c>
      <c r="K18" s="1"/>
      <c r="L18" s="1"/>
      <c r="M18" s="130">
        <v>15</v>
      </c>
      <c r="N18" s="130" t="s">
        <v>4337</v>
      </c>
      <c r="O18" s="131" t="s">
        <v>752</v>
      </c>
      <c r="P18" s="130" t="s">
        <v>753</v>
      </c>
      <c r="Q18" s="130" t="s">
        <v>754</v>
      </c>
      <c r="R18" s="132">
        <v>4</v>
      </c>
      <c r="S18" s="130" t="s">
        <v>4347</v>
      </c>
      <c r="T18" s="130" t="s">
        <v>4366</v>
      </c>
      <c r="U18" s="129"/>
      <c r="V18" s="129"/>
      <c r="W18" s="129"/>
      <c r="X18" s="129" t="s">
        <v>21</v>
      </c>
    </row>
    <row r="19" spans="1:24" ht="26.25" hidden="1" customHeight="1">
      <c r="A19" s="17">
        <f t="shared" si="1"/>
        <v>16</v>
      </c>
      <c r="B19" s="18" t="s">
        <v>146</v>
      </c>
      <c r="C19" s="31" t="s">
        <v>33</v>
      </c>
      <c r="D19" s="19" t="s">
        <v>147</v>
      </c>
      <c r="E19" s="20" t="s">
        <v>35</v>
      </c>
      <c r="F19" s="32" t="s">
        <v>148</v>
      </c>
      <c r="G19" s="33" t="s">
        <v>42</v>
      </c>
      <c r="H19" s="23" t="s">
        <v>149</v>
      </c>
      <c r="I19" s="24" t="s">
        <v>55</v>
      </c>
      <c r="J19" s="1" t="str">
        <f t="shared" si="0"/>
        <v/>
      </c>
      <c r="K19" s="1"/>
      <c r="L19" s="1"/>
      <c r="M19" s="130">
        <v>16</v>
      </c>
      <c r="N19" s="130" t="s">
        <v>4337</v>
      </c>
      <c r="O19" s="131" t="s">
        <v>810</v>
      </c>
      <c r="P19" s="130" t="s">
        <v>797</v>
      </c>
      <c r="Q19" s="130" t="s">
        <v>811</v>
      </c>
      <c r="R19" s="130">
        <v>12</v>
      </c>
      <c r="S19" s="129"/>
      <c r="T19" s="130" t="s">
        <v>4367</v>
      </c>
      <c r="U19" s="129"/>
      <c r="V19" s="129"/>
      <c r="W19" s="129"/>
      <c r="X19" s="129" t="s">
        <v>21</v>
      </c>
    </row>
    <row r="20" spans="1:24" ht="26.25" customHeight="1">
      <c r="A20" s="17">
        <f t="shared" si="1"/>
        <v>17</v>
      </c>
      <c r="B20" s="18" t="s">
        <v>37</v>
      </c>
      <c r="C20" s="19" t="s">
        <v>153</v>
      </c>
      <c r="D20" s="39" t="s">
        <v>154</v>
      </c>
      <c r="E20" s="20" t="s">
        <v>155</v>
      </c>
      <c r="F20" s="40" t="s">
        <v>4940</v>
      </c>
      <c r="G20" s="22" t="s">
        <v>53</v>
      </c>
      <c r="H20" s="41" t="s">
        <v>157</v>
      </c>
      <c r="I20" s="24" t="s">
        <v>20</v>
      </c>
      <c r="J20" s="1" t="str">
        <f t="shared" si="0"/>
        <v>FRIC</v>
      </c>
      <c r="K20" s="1"/>
      <c r="L20" s="1"/>
      <c r="M20" s="130">
        <v>17</v>
      </c>
      <c r="N20" s="130" t="s">
        <v>4337</v>
      </c>
      <c r="O20" s="131" t="s">
        <v>827</v>
      </c>
      <c r="P20" s="130" t="s">
        <v>361</v>
      </c>
      <c r="Q20" s="130" t="s">
        <v>828</v>
      </c>
      <c r="R20" s="130">
        <v>4</v>
      </c>
      <c r="S20" s="129"/>
      <c r="T20" s="130" t="s">
        <v>4369</v>
      </c>
      <c r="U20" s="129"/>
      <c r="V20" s="129"/>
      <c r="W20" s="129"/>
      <c r="X20" s="129" t="s">
        <v>21</v>
      </c>
    </row>
    <row r="21" spans="1:24" ht="26.25" hidden="1" customHeight="1">
      <c r="A21" s="17">
        <f t="shared" si="1"/>
        <v>18</v>
      </c>
      <c r="B21" s="18" t="s">
        <v>81</v>
      </c>
      <c r="C21" s="31" t="s">
        <v>160</v>
      </c>
      <c r="D21" s="19" t="s">
        <v>161</v>
      </c>
      <c r="E21" s="20" t="s">
        <v>162</v>
      </c>
      <c r="F21" s="32" t="s">
        <v>163</v>
      </c>
      <c r="G21" s="33" t="s">
        <v>42</v>
      </c>
      <c r="H21" s="23" t="s">
        <v>164</v>
      </c>
      <c r="I21" s="24" t="s">
        <v>55</v>
      </c>
      <c r="J21" s="1" t="str">
        <f t="shared" si="0"/>
        <v/>
      </c>
      <c r="K21" s="1"/>
      <c r="L21" s="1"/>
      <c r="M21" s="130">
        <v>18</v>
      </c>
      <c r="N21" s="130" t="s">
        <v>4337</v>
      </c>
      <c r="O21" s="131" t="s">
        <v>4370</v>
      </c>
      <c r="P21" s="130" t="s">
        <v>665</v>
      </c>
      <c r="Q21" s="130" t="s">
        <v>881</v>
      </c>
      <c r="R21" s="130">
        <v>51</v>
      </c>
      <c r="S21" s="129"/>
      <c r="T21" s="130" t="s">
        <v>4371</v>
      </c>
      <c r="U21" s="130" t="s">
        <v>20</v>
      </c>
      <c r="V21" s="129"/>
      <c r="W21" s="129"/>
      <c r="X21" s="129" t="s">
        <v>21</v>
      </c>
    </row>
    <row r="22" spans="1:24" ht="26.25" hidden="1" customHeight="1">
      <c r="A22" s="17">
        <f t="shared" si="1"/>
        <v>19</v>
      </c>
      <c r="B22" s="18" t="s">
        <v>105</v>
      </c>
      <c r="C22" s="31" t="s">
        <v>167</v>
      </c>
      <c r="D22" s="19" t="s">
        <v>168</v>
      </c>
      <c r="E22" s="20" t="s">
        <v>169</v>
      </c>
      <c r="F22" s="32" t="s">
        <v>170</v>
      </c>
      <c r="G22" s="33" t="s">
        <v>53</v>
      </c>
      <c r="H22" s="23" t="s">
        <v>171</v>
      </c>
      <c r="I22" s="24" t="s">
        <v>55</v>
      </c>
      <c r="J22" s="1" t="str">
        <f t="shared" si="0"/>
        <v/>
      </c>
      <c r="K22" s="1"/>
      <c r="L22" s="1"/>
      <c r="M22" s="130">
        <v>19</v>
      </c>
      <c r="N22" s="130" t="s">
        <v>4337</v>
      </c>
      <c r="O22" s="131" t="s">
        <v>890</v>
      </c>
      <c r="P22" s="130" t="s">
        <v>4372</v>
      </c>
      <c r="Q22" s="130" t="s">
        <v>892</v>
      </c>
      <c r="R22" s="130">
        <v>12</v>
      </c>
      <c r="S22" s="129"/>
      <c r="T22" s="130" t="s">
        <v>4373</v>
      </c>
      <c r="U22" s="130" t="s">
        <v>20</v>
      </c>
      <c r="V22" s="129"/>
      <c r="W22" s="129"/>
      <c r="X22" s="129" t="s">
        <v>21</v>
      </c>
    </row>
    <row r="23" spans="1:24" ht="26.25" hidden="1" customHeight="1">
      <c r="A23" s="17">
        <f t="shared" si="1"/>
        <v>20</v>
      </c>
      <c r="B23" s="18" t="s">
        <v>175</v>
      </c>
      <c r="C23" s="31" t="s">
        <v>176</v>
      </c>
      <c r="D23" s="19" t="s">
        <v>168</v>
      </c>
      <c r="E23" s="20" t="s">
        <v>177</v>
      </c>
      <c r="F23" s="32" t="s">
        <v>178</v>
      </c>
      <c r="G23" s="33" t="s">
        <v>53</v>
      </c>
      <c r="H23" s="23" t="s">
        <v>179</v>
      </c>
      <c r="I23" s="34" t="s">
        <v>55</v>
      </c>
      <c r="J23" s="1" t="str">
        <f t="shared" si="0"/>
        <v/>
      </c>
      <c r="K23" s="25"/>
      <c r="L23" s="25"/>
      <c r="M23" s="133">
        <v>20</v>
      </c>
      <c r="N23" s="133" t="s">
        <v>4337</v>
      </c>
      <c r="O23" s="134" t="s">
        <v>898</v>
      </c>
      <c r="P23" s="133" t="s">
        <v>4374</v>
      </c>
      <c r="Q23" s="133" t="s">
        <v>899</v>
      </c>
      <c r="R23" s="133">
        <v>12</v>
      </c>
      <c r="S23" s="135"/>
      <c r="T23" s="133" t="s">
        <v>4375</v>
      </c>
      <c r="U23" s="135"/>
      <c r="V23" s="135"/>
      <c r="W23" s="135"/>
      <c r="X23" s="135" t="s">
        <v>21</v>
      </c>
    </row>
    <row r="24" spans="1:24" ht="26.25" hidden="1" customHeight="1">
      <c r="A24" s="17">
        <f t="shared" si="1"/>
        <v>21</v>
      </c>
      <c r="B24" s="18" t="s">
        <v>105</v>
      </c>
      <c r="C24" s="31" t="s">
        <v>183</v>
      </c>
      <c r="D24" s="19" t="s">
        <v>184</v>
      </c>
      <c r="E24" s="20" t="s">
        <v>185</v>
      </c>
      <c r="F24" s="32" t="s">
        <v>186</v>
      </c>
      <c r="G24" s="33" t="s">
        <v>42</v>
      </c>
      <c r="H24" s="23" t="s">
        <v>187</v>
      </c>
      <c r="I24" s="34" t="s">
        <v>55</v>
      </c>
      <c r="J24" s="1" t="str">
        <f t="shared" si="0"/>
        <v/>
      </c>
      <c r="K24" s="25"/>
      <c r="L24" s="25"/>
      <c r="M24" s="133">
        <v>21</v>
      </c>
      <c r="N24" s="133" t="s">
        <v>4337</v>
      </c>
      <c r="O24" s="134" t="s">
        <v>902</v>
      </c>
      <c r="P24" s="133" t="s">
        <v>903</v>
      </c>
      <c r="Q24" s="133" t="s">
        <v>904</v>
      </c>
      <c r="R24" s="133">
        <v>12</v>
      </c>
      <c r="S24" s="135"/>
      <c r="T24" s="133" t="s">
        <v>4376</v>
      </c>
      <c r="U24" s="133" t="s">
        <v>20</v>
      </c>
      <c r="V24" s="135"/>
      <c r="W24" s="135" t="s">
        <v>4377</v>
      </c>
      <c r="X24" s="135" t="s">
        <v>21</v>
      </c>
    </row>
    <row r="25" spans="1:24" ht="26.25" hidden="1" customHeight="1">
      <c r="A25" s="17">
        <f t="shared" si="1"/>
        <v>22</v>
      </c>
      <c r="B25" s="18" t="s">
        <v>132</v>
      </c>
      <c r="C25" s="22" t="s">
        <v>190</v>
      </c>
      <c r="D25" s="42" t="s">
        <v>191</v>
      </c>
      <c r="E25" s="43" t="s">
        <v>192</v>
      </c>
      <c r="F25" s="44" t="s">
        <v>193</v>
      </c>
      <c r="G25" s="22" t="s">
        <v>31</v>
      </c>
      <c r="H25" s="41" t="s">
        <v>194</v>
      </c>
      <c r="I25" s="45" t="s">
        <v>55</v>
      </c>
      <c r="J25" s="1" t="str">
        <f t="shared" si="0"/>
        <v/>
      </c>
      <c r="K25" s="46"/>
      <c r="L25" s="46"/>
      <c r="M25" s="130">
        <v>22</v>
      </c>
      <c r="N25" s="130" t="s">
        <v>4337</v>
      </c>
      <c r="O25" s="131" t="s">
        <v>4378</v>
      </c>
      <c r="P25" s="130" t="s">
        <v>4379</v>
      </c>
      <c r="Q25" s="130" t="s">
        <v>932</v>
      </c>
      <c r="R25" s="130">
        <v>2</v>
      </c>
      <c r="S25" s="129"/>
      <c r="T25" s="130" t="s">
        <v>4380</v>
      </c>
      <c r="U25" s="129"/>
      <c r="V25" s="129"/>
      <c r="W25" s="129"/>
      <c r="X25" s="129" t="s">
        <v>21</v>
      </c>
    </row>
    <row r="26" spans="1:24" ht="26.25" hidden="1" customHeight="1">
      <c r="A26" s="17">
        <f t="shared" si="1"/>
        <v>23</v>
      </c>
      <c r="B26" s="18" t="s">
        <v>13</v>
      </c>
      <c r="C26" s="19" t="s">
        <v>198</v>
      </c>
      <c r="D26" s="19" t="s">
        <v>199</v>
      </c>
      <c r="E26" s="20" t="s">
        <v>200</v>
      </c>
      <c r="F26" s="32" t="s">
        <v>52</v>
      </c>
      <c r="G26" s="22" t="s">
        <v>42</v>
      </c>
      <c r="H26" s="23" t="s">
        <v>201</v>
      </c>
      <c r="I26" s="34" t="s">
        <v>55</v>
      </c>
      <c r="J26" s="1" t="str">
        <f t="shared" si="0"/>
        <v/>
      </c>
      <c r="K26" s="25"/>
      <c r="L26" s="25"/>
      <c r="M26" s="133">
        <v>23</v>
      </c>
      <c r="N26" s="133" t="s">
        <v>4337</v>
      </c>
      <c r="O26" s="134" t="s">
        <v>4381</v>
      </c>
      <c r="P26" s="133" t="s">
        <v>558</v>
      </c>
      <c r="Q26" s="133" t="s">
        <v>958</v>
      </c>
      <c r="R26" s="133">
        <v>4</v>
      </c>
      <c r="S26" s="133" t="s">
        <v>4347</v>
      </c>
      <c r="T26" s="133" t="s">
        <v>4382</v>
      </c>
      <c r="U26" s="135"/>
      <c r="V26" s="135"/>
      <c r="W26" s="135"/>
      <c r="X26" s="135" t="s">
        <v>21</v>
      </c>
    </row>
    <row r="27" spans="1:24" ht="26.25" hidden="1" customHeight="1">
      <c r="A27" s="17">
        <f t="shared" si="1"/>
        <v>24</v>
      </c>
      <c r="B27" s="18" t="s">
        <v>37</v>
      </c>
      <c r="C27" s="31" t="s">
        <v>206</v>
      </c>
      <c r="D27" s="19" t="s">
        <v>207</v>
      </c>
      <c r="E27" s="20" t="s">
        <v>208</v>
      </c>
      <c r="F27" s="32" t="s">
        <v>209</v>
      </c>
      <c r="G27" s="22" t="s">
        <v>42</v>
      </c>
      <c r="H27" s="23" t="s">
        <v>210</v>
      </c>
      <c r="I27" s="24" t="s">
        <v>55</v>
      </c>
      <c r="J27" s="1" t="str">
        <f t="shared" si="0"/>
        <v/>
      </c>
      <c r="K27" s="1"/>
      <c r="L27" s="1"/>
      <c r="M27" s="130">
        <v>24</v>
      </c>
      <c r="N27" s="130" t="s">
        <v>4337</v>
      </c>
      <c r="O27" s="131" t="s">
        <v>1057</v>
      </c>
      <c r="P27" s="130" t="s">
        <v>1058</v>
      </c>
      <c r="Q27" s="130" t="s">
        <v>1059</v>
      </c>
      <c r="R27" s="130">
        <v>12</v>
      </c>
      <c r="S27" s="129"/>
      <c r="T27" s="130" t="s">
        <v>4383</v>
      </c>
      <c r="U27" s="130" t="s">
        <v>20</v>
      </c>
      <c r="V27" s="129"/>
      <c r="W27" s="129"/>
      <c r="X27" s="129" t="s">
        <v>21</v>
      </c>
    </row>
    <row r="28" spans="1:24" ht="26.25" hidden="1" customHeight="1">
      <c r="A28" s="17">
        <f t="shared" si="1"/>
        <v>25</v>
      </c>
      <c r="B28" s="18" t="s">
        <v>175</v>
      </c>
      <c r="C28" s="22" t="s">
        <v>212</v>
      </c>
      <c r="D28" s="42" t="s">
        <v>213</v>
      </c>
      <c r="E28" s="43" t="s">
        <v>214</v>
      </c>
      <c r="F28" s="44" t="s">
        <v>215</v>
      </c>
      <c r="G28" s="33" t="s">
        <v>42</v>
      </c>
      <c r="H28" s="41" t="s">
        <v>216</v>
      </c>
      <c r="I28" s="45" t="s">
        <v>55</v>
      </c>
      <c r="J28" s="1" t="str">
        <f t="shared" si="0"/>
        <v/>
      </c>
      <c r="K28" s="46"/>
      <c r="L28" s="46"/>
      <c r="M28" s="130">
        <v>25</v>
      </c>
      <c r="N28" s="130" t="s">
        <v>4337</v>
      </c>
      <c r="O28" s="131" t="s">
        <v>1073</v>
      </c>
      <c r="P28" s="130" t="s">
        <v>60</v>
      </c>
      <c r="Q28" s="130" t="s">
        <v>1074</v>
      </c>
      <c r="R28" s="130">
        <v>12</v>
      </c>
      <c r="S28" s="130"/>
      <c r="T28" s="130" t="s">
        <v>4343</v>
      </c>
      <c r="U28" s="130" t="s">
        <v>20</v>
      </c>
      <c r="V28" s="129"/>
      <c r="W28" s="129"/>
      <c r="X28" s="129" t="s">
        <v>21</v>
      </c>
    </row>
    <row r="29" spans="1:24" ht="26.25" hidden="1" customHeight="1">
      <c r="A29" s="17">
        <f t="shared" si="1"/>
        <v>26</v>
      </c>
      <c r="B29" s="18" t="s">
        <v>13</v>
      </c>
      <c r="C29" s="31" t="s">
        <v>220</v>
      </c>
      <c r="D29" s="19" t="s">
        <v>141</v>
      </c>
      <c r="E29" s="20" t="s">
        <v>221</v>
      </c>
      <c r="F29" s="32" t="s">
        <v>222</v>
      </c>
      <c r="G29" s="22" t="s">
        <v>42</v>
      </c>
      <c r="H29" s="23" t="s">
        <v>223</v>
      </c>
      <c r="I29" s="24" t="s">
        <v>55</v>
      </c>
      <c r="J29" s="1" t="str">
        <f t="shared" si="0"/>
        <v/>
      </c>
      <c r="K29" s="1"/>
      <c r="L29" s="1"/>
      <c r="M29" s="130">
        <v>26</v>
      </c>
      <c r="N29" s="130" t="s">
        <v>4337</v>
      </c>
      <c r="O29" s="131" t="s">
        <v>4384</v>
      </c>
      <c r="P29" s="130" t="s">
        <v>558</v>
      </c>
      <c r="Q29" s="130" t="s">
        <v>1081</v>
      </c>
      <c r="R29" s="130">
        <v>4</v>
      </c>
      <c r="S29" s="129"/>
      <c r="T29" s="130" t="s">
        <v>4385</v>
      </c>
      <c r="U29" s="129"/>
      <c r="V29" s="129"/>
      <c r="W29" s="129"/>
      <c r="X29" s="129" t="s">
        <v>21</v>
      </c>
    </row>
    <row r="30" spans="1:24" ht="26.25" hidden="1" customHeight="1">
      <c r="A30" s="17">
        <f t="shared" si="1"/>
        <v>27</v>
      </c>
      <c r="B30" s="18" t="s">
        <v>27</v>
      </c>
      <c r="C30" s="22" t="s">
        <v>226</v>
      </c>
      <c r="D30" s="19" t="s">
        <v>227</v>
      </c>
      <c r="E30" s="43" t="s">
        <v>228</v>
      </c>
      <c r="F30" s="40" t="s">
        <v>229</v>
      </c>
      <c r="G30" s="22" t="s">
        <v>42</v>
      </c>
      <c r="H30" s="41" t="s">
        <v>230</v>
      </c>
      <c r="I30" s="45" t="s">
        <v>20</v>
      </c>
      <c r="J30" s="1" t="str">
        <f t="shared" si="0"/>
        <v>과기</v>
      </c>
      <c r="K30" s="46"/>
      <c r="L30" s="46"/>
      <c r="M30" s="130">
        <v>27</v>
      </c>
      <c r="N30" s="130" t="s">
        <v>4337</v>
      </c>
      <c r="O30" s="131" t="s">
        <v>1105</v>
      </c>
      <c r="P30" s="130" t="s">
        <v>1133</v>
      </c>
      <c r="Q30" s="130" t="s">
        <v>1107</v>
      </c>
      <c r="R30" s="130">
        <v>12</v>
      </c>
      <c r="S30" s="130" t="s">
        <v>4347</v>
      </c>
      <c r="T30" s="130" t="s">
        <v>4386</v>
      </c>
      <c r="U30" s="130" t="s">
        <v>20</v>
      </c>
      <c r="V30" s="129"/>
      <c r="W30" s="129" t="s">
        <v>4377</v>
      </c>
      <c r="X30" s="129" t="s">
        <v>21</v>
      </c>
    </row>
    <row r="31" spans="1:24" ht="26.25" hidden="1" customHeight="1">
      <c r="A31" s="17">
        <f t="shared" si="1"/>
        <v>28</v>
      </c>
      <c r="B31" s="18" t="s">
        <v>233</v>
      </c>
      <c r="C31" s="31" t="s">
        <v>234</v>
      </c>
      <c r="D31" s="19" t="s">
        <v>235</v>
      </c>
      <c r="E31" s="48" t="s">
        <v>236</v>
      </c>
      <c r="F31" s="21" t="s">
        <v>135</v>
      </c>
      <c r="G31" s="22" t="s">
        <v>53</v>
      </c>
      <c r="H31" s="23" t="s">
        <v>237</v>
      </c>
      <c r="I31" s="34" t="s">
        <v>20</v>
      </c>
      <c r="J31" s="1" t="str">
        <f t="shared" si="0"/>
        <v>과기</v>
      </c>
      <c r="K31" s="25"/>
      <c r="L31" s="25"/>
      <c r="M31" s="133">
        <v>28</v>
      </c>
      <c r="N31" s="133" t="s">
        <v>4337</v>
      </c>
      <c r="O31" s="134" t="s">
        <v>4387</v>
      </c>
      <c r="P31" s="133" t="s">
        <v>4388</v>
      </c>
      <c r="Q31" s="133" t="s">
        <v>1144</v>
      </c>
      <c r="R31" s="133">
        <v>12</v>
      </c>
      <c r="S31" s="135"/>
      <c r="T31" s="133" t="s">
        <v>4389</v>
      </c>
      <c r="U31" s="133" t="s">
        <v>20</v>
      </c>
      <c r="V31" s="135"/>
      <c r="W31" s="135"/>
      <c r="X31" s="135" t="s">
        <v>21</v>
      </c>
    </row>
    <row r="32" spans="1:24" ht="26.25" hidden="1" customHeight="1">
      <c r="A32" s="17">
        <f t="shared" si="1"/>
        <v>29</v>
      </c>
      <c r="B32" s="18" t="s">
        <v>233</v>
      </c>
      <c r="C32" s="22" t="s">
        <v>241</v>
      </c>
      <c r="D32" s="42" t="s">
        <v>242</v>
      </c>
      <c r="E32" s="43" t="s">
        <v>243</v>
      </c>
      <c r="F32" s="44" t="s">
        <v>170</v>
      </c>
      <c r="G32" s="22" t="s">
        <v>31</v>
      </c>
      <c r="H32" s="41" t="s">
        <v>244</v>
      </c>
      <c r="I32" s="45" t="s">
        <v>55</v>
      </c>
      <c r="J32" s="1" t="str">
        <f t="shared" si="0"/>
        <v/>
      </c>
      <c r="K32" s="46"/>
      <c r="L32" s="46"/>
      <c r="M32" s="130">
        <v>29</v>
      </c>
      <c r="N32" s="130" t="s">
        <v>4337</v>
      </c>
      <c r="O32" s="131" t="s">
        <v>1168</v>
      </c>
      <c r="P32" s="130" t="s">
        <v>1169</v>
      </c>
      <c r="Q32" s="130" t="s">
        <v>1170</v>
      </c>
      <c r="R32" s="130">
        <v>11</v>
      </c>
      <c r="S32" s="129"/>
      <c r="T32" s="130" t="s">
        <v>4390</v>
      </c>
      <c r="U32" s="130" t="s">
        <v>20</v>
      </c>
      <c r="V32" s="129"/>
      <c r="W32" s="129"/>
      <c r="X32" s="129" t="s">
        <v>21</v>
      </c>
    </row>
    <row r="33" spans="1:24" ht="26.25" hidden="1" customHeight="1">
      <c r="A33" s="17">
        <f t="shared" si="1"/>
        <v>30</v>
      </c>
      <c r="B33" s="18" t="s">
        <v>248</v>
      </c>
      <c r="C33" s="31" t="s">
        <v>249</v>
      </c>
      <c r="D33" s="19" t="s">
        <v>250</v>
      </c>
      <c r="E33" s="20" t="s">
        <v>251</v>
      </c>
      <c r="F33" s="32" t="s">
        <v>252</v>
      </c>
      <c r="G33" s="33" t="s">
        <v>31</v>
      </c>
      <c r="H33" s="23" t="s">
        <v>253</v>
      </c>
      <c r="I33" s="24" t="s">
        <v>55</v>
      </c>
      <c r="J33" s="1" t="str">
        <f t="shared" si="0"/>
        <v/>
      </c>
      <c r="K33" s="1"/>
      <c r="L33" s="1"/>
      <c r="M33" s="130">
        <v>30</v>
      </c>
      <c r="N33" s="130" t="s">
        <v>4337</v>
      </c>
      <c r="O33" s="131" t="s">
        <v>1191</v>
      </c>
      <c r="P33" s="130" t="s">
        <v>255</v>
      </c>
      <c r="Q33" s="132" t="s">
        <v>1192</v>
      </c>
      <c r="R33" s="130">
        <v>4</v>
      </c>
      <c r="S33" s="130" t="s">
        <v>4347</v>
      </c>
      <c r="T33" s="130" t="s">
        <v>4391</v>
      </c>
      <c r="U33" s="129"/>
      <c r="V33" s="129"/>
      <c r="W33" s="129"/>
      <c r="X33" s="129" t="s">
        <v>21</v>
      </c>
    </row>
    <row r="34" spans="1:24" ht="26.25" hidden="1" customHeight="1">
      <c r="A34" s="17">
        <f t="shared" si="1"/>
        <v>31</v>
      </c>
      <c r="B34" s="18" t="s">
        <v>81</v>
      </c>
      <c r="C34" s="31" t="s">
        <v>257</v>
      </c>
      <c r="D34" s="19" t="s">
        <v>258</v>
      </c>
      <c r="E34" s="20" t="s">
        <v>259</v>
      </c>
      <c r="F34" s="32" t="s">
        <v>260</v>
      </c>
      <c r="G34" s="33" t="s">
        <v>31</v>
      </c>
      <c r="H34" s="23" t="s">
        <v>261</v>
      </c>
      <c r="I34" s="24" t="s">
        <v>55</v>
      </c>
      <c r="J34" s="1" t="str">
        <f t="shared" si="0"/>
        <v/>
      </c>
      <c r="K34" s="1"/>
      <c r="L34" s="1"/>
      <c r="M34" s="130">
        <v>31</v>
      </c>
      <c r="N34" s="130" t="s">
        <v>4337</v>
      </c>
      <c r="O34" s="131" t="s">
        <v>4392</v>
      </c>
      <c r="P34" s="130" t="s">
        <v>1225</v>
      </c>
      <c r="Q34" s="130" t="s">
        <v>1226</v>
      </c>
      <c r="R34" s="132">
        <v>5</v>
      </c>
      <c r="S34" s="129"/>
      <c r="T34" s="130" t="s">
        <v>4393</v>
      </c>
      <c r="U34" s="130" t="s">
        <v>53</v>
      </c>
      <c r="V34" s="129" t="s">
        <v>4394</v>
      </c>
      <c r="W34" s="129"/>
      <c r="X34" s="129" t="s">
        <v>21</v>
      </c>
    </row>
    <row r="35" spans="1:24" ht="26.25" hidden="1" customHeight="1">
      <c r="A35" s="17">
        <f t="shared" si="1"/>
        <v>32</v>
      </c>
      <c r="B35" s="18" t="s">
        <v>233</v>
      </c>
      <c r="C35" s="31" t="s">
        <v>217</v>
      </c>
      <c r="D35" s="19" t="s">
        <v>242</v>
      </c>
      <c r="E35" s="20" t="s">
        <v>219</v>
      </c>
      <c r="F35" s="32" t="s">
        <v>265</v>
      </c>
      <c r="G35" s="22" t="s">
        <v>42</v>
      </c>
      <c r="H35" s="23" t="s">
        <v>266</v>
      </c>
      <c r="I35" s="24" t="s">
        <v>55</v>
      </c>
      <c r="J35" s="1" t="str">
        <f t="shared" si="0"/>
        <v/>
      </c>
      <c r="K35" s="1"/>
      <c r="L35" s="1"/>
      <c r="M35" s="130">
        <v>32</v>
      </c>
      <c r="N35" s="130" t="s">
        <v>4337</v>
      </c>
      <c r="O35" s="131" t="s">
        <v>1262</v>
      </c>
      <c r="P35" s="130" t="s">
        <v>1263</v>
      </c>
      <c r="Q35" s="130" t="s">
        <v>1264</v>
      </c>
      <c r="R35" s="130">
        <v>4</v>
      </c>
      <c r="S35" s="129"/>
      <c r="T35" s="130" t="s">
        <v>4395</v>
      </c>
      <c r="U35" s="130" t="s">
        <v>20</v>
      </c>
      <c r="V35" s="129"/>
      <c r="W35" s="129"/>
      <c r="X35" s="129" t="s">
        <v>21</v>
      </c>
    </row>
    <row r="36" spans="1:24" ht="26.25" hidden="1" customHeight="1">
      <c r="A36" s="17">
        <f t="shared" si="1"/>
        <v>33</v>
      </c>
      <c r="B36" s="18" t="s">
        <v>233</v>
      </c>
      <c r="C36" s="31" t="s">
        <v>270</v>
      </c>
      <c r="D36" s="19" t="s">
        <v>271</v>
      </c>
      <c r="E36" s="20" t="s">
        <v>272</v>
      </c>
      <c r="F36" s="32" t="s">
        <v>222</v>
      </c>
      <c r="G36" s="22" t="s">
        <v>31</v>
      </c>
      <c r="H36" s="23" t="s">
        <v>273</v>
      </c>
      <c r="I36" s="24" t="s">
        <v>55</v>
      </c>
      <c r="J36" s="1" t="str">
        <f t="shared" si="0"/>
        <v/>
      </c>
      <c r="K36" s="1"/>
      <c r="L36" s="1"/>
      <c r="M36" s="130">
        <v>33</v>
      </c>
      <c r="N36" s="130" t="s">
        <v>4337</v>
      </c>
      <c r="O36" s="131" t="s">
        <v>1313</v>
      </c>
      <c r="P36" s="130" t="s">
        <v>4396</v>
      </c>
      <c r="Q36" s="130" t="s">
        <v>1314</v>
      </c>
      <c r="R36" s="130">
        <v>6</v>
      </c>
      <c r="S36" s="129"/>
      <c r="T36" s="130" t="s">
        <v>4397</v>
      </c>
      <c r="U36" s="129"/>
      <c r="V36" s="129"/>
      <c r="W36" s="129"/>
      <c r="X36" s="129" t="s">
        <v>21</v>
      </c>
    </row>
    <row r="37" spans="1:24" ht="26.25" hidden="1" customHeight="1">
      <c r="A37" s="17">
        <f t="shared" si="1"/>
        <v>34</v>
      </c>
      <c r="B37" s="18" t="s">
        <v>105</v>
      </c>
      <c r="C37" s="31" t="s">
        <v>276</v>
      </c>
      <c r="D37" s="19" t="s">
        <v>277</v>
      </c>
      <c r="E37" s="20" t="s">
        <v>278</v>
      </c>
      <c r="F37" s="32" t="s">
        <v>279</v>
      </c>
      <c r="G37" s="33" t="s">
        <v>42</v>
      </c>
      <c r="H37" s="23" t="s">
        <v>280</v>
      </c>
      <c r="I37" s="24" t="s">
        <v>55</v>
      </c>
      <c r="J37" s="1" t="str">
        <f t="shared" si="0"/>
        <v/>
      </c>
      <c r="K37" s="1"/>
      <c r="L37" s="1"/>
      <c r="M37" s="130">
        <v>34</v>
      </c>
      <c r="N37" s="130" t="s">
        <v>4337</v>
      </c>
      <c r="O37" s="131" t="s">
        <v>1331</v>
      </c>
      <c r="P37" s="130" t="s">
        <v>1456</v>
      </c>
      <c r="Q37" s="130" t="s">
        <v>1332</v>
      </c>
      <c r="R37" s="130">
        <v>6</v>
      </c>
      <c r="S37" s="130" t="s">
        <v>4347</v>
      </c>
      <c r="T37" s="130" t="s">
        <v>4398</v>
      </c>
      <c r="U37" s="129"/>
      <c r="V37" s="129"/>
      <c r="W37" s="129"/>
      <c r="X37" s="129" t="s">
        <v>21</v>
      </c>
    </row>
    <row r="38" spans="1:24" ht="26.25" hidden="1" customHeight="1">
      <c r="A38" s="17">
        <f t="shared" si="1"/>
        <v>35</v>
      </c>
      <c r="B38" s="18" t="s">
        <v>81</v>
      </c>
      <c r="C38" s="31" t="s">
        <v>285</v>
      </c>
      <c r="D38" s="19" t="s">
        <v>277</v>
      </c>
      <c r="E38" s="20" t="s">
        <v>286</v>
      </c>
      <c r="F38" s="32" t="s">
        <v>252</v>
      </c>
      <c r="G38" s="33" t="s">
        <v>42</v>
      </c>
      <c r="H38" s="23" t="s">
        <v>287</v>
      </c>
      <c r="I38" s="24" t="s">
        <v>55</v>
      </c>
      <c r="J38" s="1" t="str">
        <f t="shared" si="0"/>
        <v/>
      </c>
      <c r="K38" s="1"/>
      <c r="L38" s="1"/>
      <c r="M38" s="130">
        <v>35</v>
      </c>
      <c r="N38" s="130" t="s">
        <v>4337</v>
      </c>
      <c r="O38" s="131" t="s">
        <v>1337</v>
      </c>
      <c r="P38" s="130" t="s">
        <v>57</v>
      </c>
      <c r="Q38" s="130" t="s">
        <v>1339</v>
      </c>
      <c r="R38" s="130">
        <v>6</v>
      </c>
      <c r="S38" s="129"/>
      <c r="T38" s="130" t="s">
        <v>4399</v>
      </c>
      <c r="U38" s="129"/>
      <c r="V38" s="129"/>
      <c r="W38" s="129"/>
      <c r="X38" s="129" t="s">
        <v>21</v>
      </c>
    </row>
    <row r="39" spans="1:24" ht="26.25" hidden="1" customHeight="1">
      <c r="A39" s="17">
        <f t="shared" si="1"/>
        <v>36</v>
      </c>
      <c r="B39" s="18" t="s">
        <v>289</v>
      </c>
      <c r="C39" s="31" t="s">
        <v>290</v>
      </c>
      <c r="D39" s="19" t="s">
        <v>291</v>
      </c>
      <c r="E39" s="20" t="s">
        <v>292</v>
      </c>
      <c r="F39" s="21" t="s">
        <v>293</v>
      </c>
      <c r="G39" s="33" t="s">
        <v>42</v>
      </c>
      <c r="H39" s="23" t="s">
        <v>294</v>
      </c>
      <c r="I39" s="24" t="s">
        <v>20</v>
      </c>
      <c r="J39" s="1" t="str">
        <f t="shared" si="0"/>
        <v>과기</v>
      </c>
      <c r="K39" s="1"/>
      <c r="L39" s="1"/>
      <c r="M39" s="130">
        <v>36</v>
      </c>
      <c r="N39" s="130" t="s">
        <v>4337</v>
      </c>
      <c r="O39" s="131" t="s">
        <v>4400</v>
      </c>
      <c r="P39" s="130" t="s">
        <v>196</v>
      </c>
      <c r="Q39" s="130" t="s">
        <v>1351</v>
      </c>
      <c r="R39" s="130">
        <v>9</v>
      </c>
      <c r="S39" s="129"/>
      <c r="T39" s="130" t="s">
        <v>4401</v>
      </c>
      <c r="U39" s="129"/>
      <c r="V39" s="129"/>
      <c r="W39" s="129"/>
      <c r="X39" s="129" t="s">
        <v>21</v>
      </c>
    </row>
    <row r="40" spans="1:24" ht="26.25" customHeight="1">
      <c r="A40" s="17">
        <f t="shared" si="1"/>
        <v>37</v>
      </c>
      <c r="B40" s="18" t="s">
        <v>37</v>
      </c>
      <c r="C40" s="19" t="s">
        <v>298</v>
      </c>
      <c r="D40" s="19" t="s">
        <v>299</v>
      </c>
      <c r="E40" s="20" t="s">
        <v>300</v>
      </c>
      <c r="F40" s="21" t="s">
        <v>301</v>
      </c>
      <c r="G40" s="22" t="s">
        <v>31</v>
      </c>
      <c r="H40" s="23" t="s">
        <v>302</v>
      </c>
      <c r="I40" s="24" t="s">
        <v>20</v>
      </c>
      <c r="J40" s="1" t="str">
        <f t="shared" si="0"/>
        <v>FRIC</v>
      </c>
      <c r="K40" s="1"/>
      <c r="L40" s="1"/>
      <c r="M40" s="130">
        <v>37</v>
      </c>
      <c r="N40" s="130" t="s">
        <v>4337</v>
      </c>
      <c r="O40" s="131" t="s">
        <v>1361</v>
      </c>
      <c r="P40" s="130" t="s">
        <v>196</v>
      </c>
      <c r="Q40" s="130" t="s">
        <v>1362</v>
      </c>
      <c r="R40" s="130">
        <v>12</v>
      </c>
      <c r="S40" s="130" t="s">
        <v>4347</v>
      </c>
      <c r="T40" s="130" t="s">
        <v>4402</v>
      </c>
      <c r="U40" s="129"/>
      <c r="V40" s="129"/>
      <c r="W40" s="129"/>
      <c r="X40" s="129" t="s">
        <v>21</v>
      </c>
    </row>
    <row r="41" spans="1:24" ht="26.25" hidden="1" customHeight="1">
      <c r="A41" s="17">
        <f t="shared" si="1"/>
        <v>38</v>
      </c>
      <c r="B41" s="18" t="s">
        <v>175</v>
      </c>
      <c r="C41" s="31" t="s">
        <v>307</v>
      </c>
      <c r="D41" s="19" t="s">
        <v>308</v>
      </c>
      <c r="E41" s="20" t="s">
        <v>309</v>
      </c>
      <c r="F41" s="32" t="s">
        <v>310</v>
      </c>
      <c r="G41" s="33" t="s">
        <v>42</v>
      </c>
      <c r="H41" s="23" t="s">
        <v>311</v>
      </c>
      <c r="I41" s="24" t="s">
        <v>55</v>
      </c>
      <c r="J41" s="1" t="str">
        <f t="shared" si="0"/>
        <v/>
      </c>
      <c r="K41" s="1"/>
      <c r="L41" s="1"/>
      <c r="M41" s="130">
        <v>38</v>
      </c>
      <c r="N41" s="130" t="s">
        <v>4337</v>
      </c>
      <c r="O41" s="131" t="s">
        <v>1472</v>
      </c>
      <c r="P41" s="130" t="s">
        <v>255</v>
      </c>
      <c r="Q41" s="130" t="s">
        <v>1473</v>
      </c>
      <c r="R41" s="130">
        <v>14</v>
      </c>
      <c r="S41" s="130" t="s">
        <v>4347</v>
      </c>
      <c r="T41" s="130" t="s">
        <v>4403</v>
      </c>
      <c r="U41" s="129"/>
      <c r="V41" s="129"/>
      <c r="W41" s="129"/>
      <c r="X41" s="129" t="s">
        <v>21</v>
      </c>
    </row>
    <row r="42" spans="1:24" ht="26.25" hidden="1" customHeight="1">
      <c r="A42" s="17">
        <f t="shared" si="1"/>
        <v>39</v>
      </c>
      <c r="B42" s="18" t="s">
        <v>175</v>
      </c>
      <c r="C42" s="31" t="s">
        <v>314</v>
      </c>
      <c r="D42" s="19" t="s">
        <v>315</v>
      </c>
      <c r="E42" s="20" t="s">
        <v>316</v>
      </c>
      <c r="F42" s="32" t="s">
        <v>317</v>
      </c>
      <c r="G42" s="33" t="s">
        <v>42</v>
      </c>
      <c r="H42" s="23" t="s">
        <v>318</v>
      </c>
      <c r="I42" s="24" t="s">
        <v>55</v>
      </c>
      <c r="J42" s="1" t="str">
        <f t="shared" si="0"/>
        <v/>
      </c>
      <c r="K42" s="1"/>
      <c r="L42" s="1"/>
      <c r="M42" s="130">
        <v>39</v>
      </c>
      <c r="N42" s="130" t="s">
        <v>4337</v>
      </c>
      <c r="O42" s="131" t="s">
        <v>1485</v>
      </c>
      <c r="P42" s="130" t="s">
        <v>1486</v>
      </c>
      <c r="Q42" s="130" t="s">
        <v>1487</v>
      </c>
      <c r="R42" s="130">
        <v>6</v>
      </c>
      <c r="S42" s="130" t="s">
        <v>4347</v>
      </c>
      <c r="T42" s="130" t="s">
        <v>4404</v>
      </c>
      <c r="U42" s="130" t="s">
        <v>20</v>
      </c>
      <c r="V42" s="129"/>
      <c r="W42" s="129"/>
      <c r="X42" s="129" t="s">
        <v>21</v>
      </c>
    </row>
    <row r="43" spans="1:24" ht="26.25" hidden="1" customHeight="1">
      <c r="A43" s="17">
        <f t="shared" si="1"/>
        <v>40</v>
      </c>
      <c r="B43" s="18" t="s">
        <v>175</v>
      </c>
      <c r="C43" s="31" t="s">
        <v>323</v>
      </c>
      <c r="D43" s="19" t="s">
        <v>324</v>
      </c>
      <c r="E43" s="20" t="s">
        <v>325</v>
      </c>
      <c r="F43" s="21" t="s">
        <v>326</v>
      </c>
      <c r="G43" s="33" t="s">
        <v>42</v>
      </c>
      <c r="H43" s="23" t="s">
        <v>327</v>
      </c>
      <c r="I43" s="24" t="s">
        <v>20</v>
      </c>
      <c r="J43" s="1" t="str">
        <f t="shared" si="0"/>
        <v>과기</v>
      </c>
      <c r="K43" s="1"/>
      <c r="L43" s="1"/>
      <c r="M43" s="130">
        <v>40</v>
      </c>
      <c r="N43" s="130" t="s">
        <v>4337</v>
      </c>
      <c r="O43" s="131" t="s">
        <v>1490</v>
      </c>
      <c r="P43" s="130" t="s">
        <v>1491</v>
      </c>
      <c r="Q43" s="132" t="s">
        <v>1492</v>
      </c>
      <c r="R43" s="130">
        <v>6</v>
      </c>
      <c r="S43" s="129"/>
      <c r="T43" s="130" t="s">
        <v>4405</v>
      </c>
      <c r="U43" s="130" t="s">
        <v>20</v>
      </c>
      <c r="V43" s="129"/>
      <c r="W43" s="129"/>
      <c r="X43" s="129" t="s">
        <v>21</v>
      </c>
    </row>
    <row r="44" spans="1:24" ht="26.25" hidden="1" customHeight="1">
      <c r="A44" s="17">
        <f t="shared" si="1"/>
        <v>41</v>
      </c>
      <c r="B44" s="18" t="s">
        <v>105</v>
      </c>
      <c r="C44" s="31" t="s">
        <v>331</v>
      </c>
      <c r="D44" s="19" t="s">
        <v>332</v>
      </c>
      <c r="E44" s="20" t="s">
        <v>333</v>
      </c>
      <c r="F44" s="21" t="s">
        <v>334</v>
      </c>
      <c r="G44" s="33" t="s">
        <v>42</v>
      </c>
      <c r="H44" s="23" t="s">
        <v>335</v>
      </c>
      <c r="I44" s="34" t="s">
        <v>55</v>
      </c>
      <c r="J44" s="1" t="str">
        <f t="shared" si="0"/>
        <v/>
      </c>
      <c r="K44" s="25"/>
      <c r="L44" s="25"/>
      <c r="M44" s="133">
        <v>41</v>
      </c>
      <c r="N44" s="133" t="s">
        <v>4337</v>
      </c>
      <c r="O44" s="134" t="s">
        <v>1503</v>
      </c>
      <c r="P44" s="133" t="s">
        <v>199</v>
      </c>
      <c r="Q44" s="133" t="s">
        <v>1504</v>
      </c>
      <c r="R44" s="133">
        <v>12</v>
      </c>
      <c r="S44" s="133" t="s">
        <v>4347</v>
      </c>
      <c r="T44" s="133" t="s">
        <v>4406</v>
      </c>
      <c r="U44" s="133" t="s">
        <v>53</v>
      </c>
      <c r="V44" s="135" t="s">
        <v>4394</v>
      </c>
      <c r="W44" s="135"/>
      <c r="X44" s="135" t="s">
        <v>21</v>
      </c>
    </row>
    <row r="45" spans="1:24" ht="26.25" hidden="1" customHeight="1">
      <c r="A45" s="17">
        <f t="shared" si="1"/>
        <v>42</v>
      </c>
      <c r="B45" s="18" t="s">
        <v>105</v>
      </c>
      <c r="C45" s="31" t="s">
        <v>339</v>
      </c>
      <c r="D45" s="19" t="s">
        <v>340</v>
      </c>
      <c r="E45" s="20" t="s">
        <v>341</v>
      </c>
      <c r="F45" s="32" t="s">
        <v>342</v>
      </c>
      <c r="G45" s="33" t="s">
        <v>42</v>
      </c>
      <c r="H45" s="23" t="s">
        <v>343</v>
      </c>
      <c r="I45" s="24" t="s">
        <v>55</v>
      </c>
      <c r="J45" s="1" t="str">
        <f t="shared" si="0"/>
        <v/>
      </c>
      <c r="K45" s="1"/>
      <c r="L45" s="1"/>
      <c r="M45" s="130">
        <v>42</v>
      </c>
      <c r="N45" s="130" t="s">
        <v>4337</v>
      </c>
      <c r="O45" s="131" t="s">
        <v>4407</v>
      </c>
      <c r="P45" s="130" t="s">
        <v>1320</v>
      </c>
      <c r="Q45" s="130" t="s">
        <v>1321</v>
      </c>
      <c r="R45" s="132">
        <v>6</v>
      </c>
      <c r="S45" s="130" t="s">
        <v>4347</v>
      </c>
      <c r="T45" s="130" t="s">
        <v>4408</v>
      </c>
      <c r="U45" s="130" t="s">
        <v>20</v>
      </c>
      <c r="V45" s="129"/>
      <c r="W45" s="129"/>
      <c r="X45" s="129" t="s">
        <v>21</v>
      </c>
    </row>
    <row r="46" spans="1:24" ht="26.25" customHeight="1">
      <c r="A46" s="17">
        <f t="shared" si="1"/>
        <v>43</v>
      </c>
      <c r="B46" s="18" t="s">
        <v>289</v>
      </c>
      <c r="C46" s="19" t="s">
        <v>347</v>
      </c>
      <c r="D46" s="19" t="s">
        <v>348</v>
      </c>
      <c r="E46" s="20" t="s">
        <v>349</v>
      </c>
      <c r="F46" s="21" t="s">
        <v>135</v>
      </c>
      <c r="G46" s="33" t="s">
        <v>350</v>
      </c>
      <c r="H46" s="23" t="s">
        <v>351</v>
      </c>
      <c r="I46" s="24" t="s">
        <v>20</v>
      </c>
      <c r="J46" s="1" t="str">
        <f t="shared" si="0"/>
        <v>FRIC</v>
      </c>
      <c r="K46" s="1"/>
      <c r="L46" s="1"/>
      <c r="M46" s="130">
        <v>43</v>
      </c>
      <c r="N46" s="130" t="s">
        <v>4337</v>
      </c>
      <c r="O46" s="131" t="s">
        <v>1518</v>
      </c>
      <c r="P46" s="130" t="s">
        <v>255</v>
      </c>
      <c r="Q46" s="130" t="s">
        <v>1519</v>
      </c>
      <c r="R46" s="130">
        <v>22</v>
      </c>
      <c r="S46" s="130" t="s">
        <v>4347</v>
      </c>
      <c r="T46" s="130" t="s">
        <v>4409</v>
      </c>
      <c r="U46" s="129"/>
      <c r="V46" s="129"/>
      <c r="W46" s="129"/>
      <c r="X46" s="129" t="s">
        <v>21</v>
      </c>
    </row>
    <row r="47" spans="1:24" ht="26.25" hidden="1" customHeight="1">
      <c r="A47" s="17">
        <f t="shared" si="1"/>
        <v>44</v>
      </c>
      <c r="B47" s="18" t="s">
        <v>289</v>
      </c>
      <c r="C47" s="31" t="s">
        <v>355</v>
      </c>
      <c r="D47" s="19" t="s">
        <v>356</v>
      </c>
      <c r="E47" s="20" t="s">
        <v>357</v>
      </c>
      <c r="F47" s="32" t="s">
        <v>358</v>
      </c>
      <c r="G47" s="33" t="s">
        <v>53</v>
      </c>
      <c r="H47" s="23" t="s">
        <v>359</v>
      </c>
      <c r="I47" s="24" t="s">
        <v>55</v>
      </c>
      <c r="J47" s="1" t="str">
        <f t="shared" si="0"/>
        <v/>
      </c>
      <c r="K47" s="1"/>
      <c r="L47" s="1"/>
      <c r="M47" s="130">
        <v>44</v>
      </c>
      <c r="N47" s="130" t="s">
        <v>4337</v>
      </c>
      <c r="O47" s="131" t="s">
        <v>1522</v>
      </c>
      <c r="P47" s="130" t="s">
        <v>103</v>
      </c>
      <c r="Q47" s="130" t="s">
        <v>1523</v>
      </c>
      <c r="R47" s="130">
        <v>18</v>
      </c>
      <c r="S47" s="129"/>
      <c r="T47" s="130" t="s">
        <v>4410</v>
      </c>
      <c r="U47" s="129"/>
      <c r="V47" s="129"/>
      <c r="W47" s="129"/>
      <c r="X47" s="129" t="s">
        <v>21</v>
      </c>
    </row>
    <row r="48" spans="1:24" ht="26.25" hidden="1" customHeight="1">
      <c r="A48" s="17">
        <f t="shared" si="1"/>
        <v>45</v>
      </c>
      <c r="B48" s="18" t="s">
        <v>27</v>
      </c>
      <c r="C48" s="31" t="s">
        <v>363</v>
      </c>
      <c r="D48" s="19" t="s">
        <v>364</v>
      </c>
      <c r="E48" s="20" t="s">
        <v>365</v>
      </c>
      <c r="F48" s="32" t="s">
        <v>170</v>
      </c>
      <c r="G48" s="22" t="s">
        <v>31</v>
      </c>
      <c r="H48" s="23" t="s">
        <v>366</v>
      </c>
      <c r="I48" s="24" t="s">
        <v>55</v>
      </c>
      <c r="J48" s="1" t="str">
        <f t="shared" si="0"/>
        <v/>
      </c>
      <c r="K48" s="1"/>
      <c r="L48" s="1"/>
      <c r="M48" s="130">
        <v>45</v>
      </c>
      <c r="N48" s="130" t="s">
        <v>4337</v>
      </c>
      <c r="O48" s="131" t="s">
        <v>1527</v>
      </c>
      <c r="P48" s="130" t="s">
        <v>558</v>
      </c>
      <c r="Q48" s="130" t="s">
        <v>1528</v>
      </c>
      <c r="R48" s="130">
        <v>10</v>
      </c>
      <c r="S48" s="129"/>
      <c r="T48" s="130" t="s">
        <v>4411</v>
      </c>
      <c r="U48" s="129"/>
      <c r="V48" s="129"/>
      <c r="W48" s="129"/>
      <c r="X48" s="129" t="s">
        <v>21</v>
      </c>
    </row>
    <row r="49" spans="1:24" ht="26.25" hidden="1" customHeight="1">
      <c r="A49" s="17">
        <f t="shared" si="1"/>
        <v>46</v>
      </c>
      <c r="B49" s="18" t="s">
        <v>132</v>
      </c>
      <c r="C49" s="31" t="s">
        <v>369</v>
      </c>
      <c r="D49" s="19" t="s">
        <v>370</v>
      </c>
      <c r="E49" s="20" t="s">
        <v>371</v>
      </c>
      <c r="F49" s="32">
        <v>1999</v>
      </c>
      <c r="G49" s="22" t="s">
        <v>53</v>
      </c>
      <c r="H49" s="23" t="s">
        <v>372</v>
      </c>
      <c r="I49" s="24" t="s">
        <v>55</v>
      </c>
      <c r="J49" s="1" t="str">
        <f t="shared" si="0"/>
        <v/>
      </c>
      <c r="K49" s="1"/>
      <c r="L49" s="1"/>
      <c r="M49" s="130">
        <v>46</v>
      </c>
      <c r="N49" s="130" t="s">
        <v>4337</v>
      </c>
      <c r="O49" s="131" t="s">
        <v>1591</v>
      </c>
      <c r="P49" s="130" t="s">
        <v>1592</v>
      </c>
      <c r="Q49" s="130" t="s">
        <v>1593</v>
      </c>
      <c r="R49" s="130">
        <v>8</v>
      </c>
      <c r="S49" s="129"/>
      <c r="T49" s="130" t="s">
        <v>4412</v>
      </c>
      <c r="U49" s="129" t="s">
        <v>20</v>
      </c>
      <c r="V49" s="129"/>
      <c r="W49" s="130" t="s">
        <v>4413</v>
      </c>
      <c r="X49" s="129" t="s">
        <v>21</v>
      </c>
    </row>
    <row r="50" spans="1:24" ht="26.25" hidden="1" customHeight="1">
      <c r="A50" s="17">
        <f t="shared" si="1"/>
        <v>47</v>
      </c>
      <c r="B50" s="18" t="s">
        <v>175</v>
      </c>
      <c r="C50" s="31" t="s">
        <v>373</v>
      </c>
      <c r="D50" s="19" t="s">
        <v>374</v>
      </c>
      <c r="E50" s="20" t="s">
        <v>375</v>
      </c>
      <c r="F50" s="32" t="s">
        <v>376</v>
      </c>
      <c r="G50" s="33" t="s">
        <v>42</v>
      </c>
      <c r="H50" s="23" t="s">
        <v>377</v>
      </c>
      <c r="I50" s="24" t="s">
        <v>55</v>
      </c>
      <c r="J50" s="1" t="str">
        <f t="shared" si="0"/>
        <v/>
      </c>
      <c r="K50" s="1"/>
      <c r="L50" s="1"/>
      <c r="M50" s="130">
        <v>47</v>
      </c>
      <c r="N50" s="130" t="s">
        <v>4337</v>
      </c>
      <c r="O50" s="131" t="s">
        <v>4414</v>
      </c>
      <c r="P50" s="130" t="s">
        <v>255</v>
      </c>
      <c r="Q50" s="130" t="s">
        <v>1608</v>
      </c>
      <c r="R50" s="130">
        <v>12</v>
      </c>
      <c r="S50" s="130" t="s">
        <v>4347</v>
      </c>
      <c r="T50" s="130" t="s">
        <v>4415</v>
      </c>
      <c r="U50" s="129"/>
      <c r="V50" s="129"/>
      <c r="W50" s="129"/>
      <c r="X50" s="129" t="s">
        <v>21</v>
      </c>
    </row>
    <row r="51" spans="1:24" ht="26.25" hidden="1" customHeight="1">
      <c r="A51" s="17">
        <f t="shared" si="1"/>
        <v>48</v>
      </c>
      <c r="B51" s="18" t="s">
        <v>105</v>
      </c>
      <c r="C51" s="31" t="s">
        <v>380</v>
      </c>
      <c r="D51" s="19" t="s">
        <v>381</v>
      </c>
      <c r="E51" s="20" t="s">
        <v>382</v>
      </c>
      <c r="F51" s="21" t="s">
        <v>383</v>
      </c>
      <c r="G51" s="33" t="s">
        <v>42</v>
      </c>
      <c r="H51" s="23" t="s">
        <v>384</v>
      </c>
      <c r="I51" s="34" t="s">
        <v>20</v>
      </c>
      <c r="J51" s="1" t="str">
        <f t="shared" si="0"/>
        <v>과기</v>
      </c>
      <c r="K51" s="25"/>
      <c r="L51" s="25"/>
      <c r="M51" s="133">
        <v>48</v>
      </c>
      <c r="N51" s="133" t="s">
        <v>4337</v>
      </c>
      <c r="O51" s="134" t="s">
        <v>1640</v>
      </c>
      <c r="P51" s="133" t="s">
        <v>665</v>
      </c>
      <c r="Q51" s="133" t="s">
        <v>1641</v>
      </c>
      <c r="R51" s="133">
        <v>51</v>
      </c>
      <c r="S51" s="135"/>
      <c r="T51" s="133" t="s">
        <v>4416</v>
      </c>
      <c r="U51" s="133" t="s">
        <v>20</v>
      </c>
      <c r="V51" s="135"/>
      <c r="W51" s="135"/>
      <c r="X51" s="135" t="s">
        <v>21</v>
      </c>
    </row>
    <row r="52" spans="1:24" ht="26.25" hidden="1" customHeight="1">
      <c r="A52" s="17">
        <f t="shared" si="1"/>
        <v>49</v>
      </c>
      <c r="B52" s="18" t="s">
        <v>105</v>
      </c>
      <c r="C52" s="31" t="s">
        <v>387</v>
      </c>
      <c r="D52" s="19" t="s">
        <v>196</v>
      </c>
      <c r="E52" s="20" t="s">
        <v>388</v>
      </c>
      <c r="F52" s="32" t="s">
        <v>389</v>
      </c>
      <c r="G52" s="33" t="s">
        <v>42</v>
      </c>
      <c r="H52" s="23" t="s">
        <v>390</v>
      </c>
      <c r="I52" s="24" t="s">
        <v>55</v>
      </c>
      <c r="J52" s="1" t="str">
        <f t="shared" si="0"/>
        <v/>
      </c>
      <c r="K52" s="1"/>
      <c r="L52" s="1"/>
      <c r="M52" s="130">
        <v>49</v>
      </c>
      <c r="N52" s="130" t="s">
        <v>4337</v>
      </c>
      <c r="O52" s="131" t="s">
        <v>4417</v>
      </c>
      <c r="P52" s="130" t="s">
        <v>4418</v>
      </c>
      <c r="Q52" s="130" t="s">
        <v>1672</v>
      </c>
      <c r="R52" s="130">
        <v>12</v>
      </c>
      <c r="S52" s="130" t="s">
        <v>4347</v>
      </c>
      <c r="T52" s="130" t="s">
        <v>4419</v>
      </c>
      <c r="U52" s="130" t="s">
        <v>53</v>
      </c>
      <c r="V52" s="129" t="s">
        <v>4342</v>
      </c>
      <c r="W52" s="129"/>
      <c r="X52" s="129" t="s">
        <v>21</v>
      </c>
    </row>
    <row r="53" spans="1:24" ht="26.25" hidden="1" customHeight="1">
      <c r="A53" s="17">
        <f t="shared" si="1"/>
        <v>50</v>
      </c>
      <c r="B53" s="18" t="s">
        <v>105</v>
      </c>
      <c r="C53" s="31" t="s">
        <v>393</v>
      </c>
      <c r="D53" s="19" t="s">
        <v>394</v>
      </c>
      <c r="E53" s="20" t="s">
        <v>395</v>
      </c>
      <c r="F53" s="32" t="s">
        <v>396</v>
      </c>
      <c r="G53" s="33" t="s">
        <v>31</v>
      </c>
      <c r="H53" s="23" t="s">
        <v>397</v>
      </c>
      <c r="I53" s="24" t="s">
        <v>55</v>
      </c>
      <c r="J53" s="1" t="str">
        <f t="shared" si="0"/>
        <v/>
      </c>
      <c r="K53" s="1"/>
      <c r="L53" s="1"/>
      <c r="M53" s="130">
        <v>50</v>
      </c>
      <c r="N53" s="130" t="s">
        <v>4337</v>
      </c>
      <c r="O53" s="131" t="s">
        <v>4420</v>
      </c>
      <c r="P53" s="130" t="s">
        <v>255</v>
      </c>
      <c r="Q53" s="130" t="s">
        <v>1684</v>
      </c>
      <c r="R53" s="130">
        <v>6</v>
      </c>
      <c r="S53" s="130" t="s">
        <v>4347</v>
      </c>
      <c r="T53" s="130" t="s">
        <v>4421</v>
      </c>
      <c r="U53" s="129"/>
      <c r="V53" s="129"/>
      <c r="W53" s="129"/>
      <c r="X53" s="129" t="s">
        <v>21</v>
      </c>
    </row>
    <row r="54" spans="1:24" ht="26.25" hidden="1" customHeight="1">
      <c r="A54" s="17">
        <f t="shared" si="1"/>
        <v>51</v>
      </c>
      <c r="B54" s="18" t="s">
        <v>105</v>
      </c>
      <c r="C54" s="31" t="s">
        <v>402</v>
      </c>
      <c r="D54" s="19" t="s">
        <v>394</v>
      </c>
      <c r="E54" s="20" t="s">
        <v>403</v>
      </c>
      <c r="F54" s="32" t="s">
        <v>404</v>
      </c>
      <c r="G54" s="33" t="s">
        <v>42</v>
      </c>
      <c r="H54" s="23" t="s">
        <v>405</v>
      </c>
      <c r="I54" s="24" t="s">
        <v>55</v>
      </c>
      <c r="J54" s="1" t="str">
        <f t="shared" si="0"/>
        <v/>
      </c>
      <c r="K54" s="1"/>
      <c r="L54" s="1"/>
      <c r="M54" s="130">
        <v>51</v>
      </c>
      <c r="N54" s="130" t="s">
        <v>4337</v>
      </c>
      <c r="O54" s="131" t="s">
        <v>4422</v>
      </c>
      <c r="P54" s="130" t="s">
        <v>361</v>
      </c>
      <c r="Q54" s="130" t="s">
        <v>3367</v>
      </c>
      <c r="R54" s="130">
        <v>6</v>
      </c>
      <c r="S54" s="130" t="s">
        <v>4347</v>
      </c>
      <c r="T54" s="130" t="s">
        <v>4423</v>
      </c>
      <c r="U54" s="129"/>
      <c r="V54" s="129"/>
      <c r="W54" s="129"/>
      <c r="X54" s="129" t="s">
        <v>21</v>
      </c>
    </row>
    <row r="55" spans="1:24" ht="26.25" hidden="1" customHeight="1">
      <c r="A55" s="17">
        <f t="shared" si="1"/>
        <v>52</v>
      </c>
      <c r="B55" s="18" t="s">
        <v>132</v>
      </c>
      <c r="C55" s="31" t="s">
        <v>409</v>
      </c>
      <c r="D55" s="19" t="s">
        <v>394</v>
      </c>
      <c r="E55" s="20" t="s">
        <v>410</v>
      </c>
      <c r="F55" s="32" t="s">
        <v>142</v>
      </c>
      <c r="G55" s="22" t="s">
        <v>42</v>
      </c>
      <c r="H55" s="23" t="s">
        <v>411</v>
      </c>
      <c r="I55" s="24" t="s">
        <v>55</v>
      </c>
      <c r="J55" s="1" t="str">
        <f t="shared" si="0"/>
        <v/>
      </c>
      <c r="K55" s="1"/>
      <c r="L55" s="1"/>
      <c r="M55" s="130">
        <v>52</v>
      </c>
      <c r="N55" s="130" t="s">
        <v>4337</v>
      </c>
      <c r="O55" s="131" t="s">
        <v>1712</v>
      </c>
      <c r="P55" s="130" t="s">
        <v>255</v>
      </c>
      <c r="Q55" s="130" t="s">
        <v>1713</v>
      </c>
      <c r="R55" s="130">
        <v>10</v>
      </c>
      <c r="S55" s="130" t="s">
        <v>4347</v>
      </c>
      <c r="T55" s="130" t="s">
        <v>4424</v>
      </c>
      <c r="U55" s="129"/>
      <c r="V55" s="129"/>
      <c r="W55" s="129"/>
      <c r="X55" s="129" t="s">
        <v>21</v>
      </c>
    </row>
    <row r="56" spans="1:24" ht="26.25" hidden="1" customHeight="1">
      <c r="A56" s="17">
        <f t="shared" si="1"/>
        <v>53</v>
      </c>
      <c r="B56" s="18" t="s">
        <v>37</v>
      </c>
      <c r="C56" s="31" t="s">
        <v>414</v>
      </c>
      <c r="D56" s="19" t="s">
        <v>394</v>
      </c>
      <c r="E56" s="20" t="s">
        <v>415</v>
      </c>
      <c r="F56" s="32" t="s">
        <v>416</v>
      </c>
      <c r="G56" s="22" t="s">
        <v>31</v>
      </c>
      <c r="H56" s="23" t="s">
        <v>417</v>
      </c>
      <c r="I56" s="24" t="s">
        <v>55</v>
      </c>
      <c r="J56" s="1" t="str">
        <f t="shared" si="0"/>
        <v/>
      </c>
      <c r="K56" s="1"/>
      <c r="L56" s="1"/>
      <c r="M56" s="130">
        <v>53</v>
      </c>
      <c r="N56" s="130" t="s">
        <v>4337</v>
      </c>
      <c r="O56" s="131" t="s">
        <v>1730</v>
      </c>
      <c r="P56" s="130" t="s">
        <v>255</v>
      </c>
      <c r="Q56" s="130" t="s">
        <v>1731</v>
      </c>
      <c r="R56" s="132">
        <v>12</v>
      </c>
      <c r="S56" s="130" t="s">
        <v>4347</v>
      </c>
      <c r="T56" s="130" t="s">
        <v>4425</v>
      </c>
      <c r="U56" s="129"/>
      <c r="V56" s="129"/>
      <c r="W56" s="129"/>
      <c r="X56" s="129" t="s">
        <v>21</v>
      </c>
    </row>
    <row r="57" spans="1:24" ht="26.25" hidden="1" customHeight="1">
      <c r="A57" s="17">
        <f t="shared" si="1"/>
        <v>54</v>
      </c>
      <c r="B57" s="18" t="s">
        <v>175</v>
      </c>
      <c r="C57" s="31" t="s">
        <v>420</v>
      </c>
      <c r="D57" s="19" t="s">
        <v>394</v>
      </c>
      <c r="E57" s="20" t="s">
        <v>421</v>
      </c>
      <c r="F57" s="21" t="s">
        <v>422</v>
      </c>
      <c r="G57" s="33" t="s">
        <v>42</v>
      </c>
      <c r="H57" s="23" t="s">
        <v>423</v>
      </c>
      <c r="I57" s="34" t="s">
        <v>20</v>
      </c>
      <c r="J57" s="1" t="str">
        <f t="shared" si="0"/>
        <v>과기</v>
      </c>
      <c r="K57" s="25"/>
      <c r="L57" s="25"/>
      <c r="M57" s="133">
        <v>54</v>
      </c>
      <c r="N57" s="133" t="s">
        <v>4337</v>
      </c>
      <c r="O57" s="134" t="s">
        <v>1736</v>
      </c>
      <c r="P57" s="133" t="s">
        <v>255</v>
      </c>
      <c r="Q57" s="133" t="s">
        <v>1737</v>
      </c>
      <c r="R57" s="133">
        <v>6</v>
      </c>
      <c r="S57" s="133" t="s">
        <v>4347</v>
      </c>
      <c r="T57" s="133" t="s">
        <v>4426</v>
      </c>
      <c r="U57" s="135"/>
      <c r="V57" s="135"/>
      <c r="W57" s="135"/>
      <c r="X57" s="135" t="s">
        <v>21</v>
      </c>
    </row>
    <row r="58" spans="1:24" ht="26.25" hidden="1" customHeight="1">
      <c r="A58" s="17">
        <f t="shared" si="1"/>
        <v>55</v>
      </c>
      <c r="B58" s="18" t="s">
        <v>146</v>
      </c>
      <c r="C58" s="31" t="s">
        <v>426</v>
      </c>
      <c r="D58" s="19" t="s">
        <v>427</v>
      </c>
      <c r="E58" s="20"/>
      <c r="F58" s="32" t="s">
        <v>428</v>
      </c>
      <c r="G58" s="33" t="s">
        <v>53</v>
      </c>
      <c r="H58" s="23" t="s">
        <v>429</v>
      </c>
      <c r="I58" s="24" t="s">
        <v>55</v>
      </c>
      <c r="J58" s="1" t="str">
        <f t="shared" si="0"/>
        <v/>
      </c>
      <c r="K58" s="1"/>
      <c r="L58" s="1"/>
      <c r="M58" s="130">
        <v>55</v>
      </c>
      <c r="N58" s="130" t="s">
        <v>4337</v>
      </c>
      <c r="O58" s="131" t="s">
        <v>1743</v>
      </c>
      <c r="P58" s="130" t="s">
        <v>558</v>
      </c>
      <c r="Q58" s="130" t="s">
        <v>1744</v>
      </c>
      <c r="R58" s="130">
        <v>10</v>
      </c>
      <c r="S58" s="129"/>
      <c r="T58" s="130" t="s">
        <v>4427</v>
      </c>
      <c r="U58" s="129"/>
      <c r="V58" s="129"/>
      <c r="W58" s="129"/>
      <c r="X58" s="129" t="s">
        <v>21</v>
      </c>
    </row>
    <row r="59" spans="1:24" ht="26.25" hidden="1" customHeight="1">
      <c r="A59" s="17">
        <f t="shared" si="1"/>
        <v>56</v>
      </c>
      <c r="B59" s="18" t="s">
        <v>27</v>
      </c>
      <c r="C59" s="31" t="s">
        <v>433</v>
      </c>
      <c r="D59" s="19" t="s">
        <v>271</v>
      </c>
      <c r="E59" s="20" t="s">
        <v>434</v>
      </c>
      <c r="F59" s="32" t="s">
        <v>222</v>
      </c>
      <c r="G59" s="22" t="s">
        <v>42</v>
      </c>
      <c r="H59" s="23" t="s">
        <v>435</v>
      </c>
      <c r="I59" s="24" t="s">
        <v>55</v>
      </c>
      <c r="J59" s="1" t="str">
        <f t="shared" si="0"/>
        <v/>
      </c>
      <c r="K59" s="1"/>
      <c r="L59" s="1"/>
      <c r="M59" s="130">
        <v>56</v>
      </c>
      <c r="N59" s="130" t="s">
        <v>4337</v>
      </c>
      <c r="O59" s="131" t="s">
        <v>1748</v>
      </c>
      <c r="P59" s="130" t="s">
        <v>558</v>
      </c>
      <c r="Q59" s="130" t="s">
        <v>1749</v>
      </c>
      <c r="R59" s="130">
        <v>10</v>
      </c>
      <c r="S59" s="129"/>
      <c r="T59" s="130" t="s">
        <v>4428</v>
      </c>
      <c r="U59" s="129"/>
      <c r="V59" s="129"/>
      <c r="W59" s="129"/>
      <c r="X59" s="129" t="s">
        <v>21</v>
      </c>
    </row>
    <row r="60" spans="1:24" ht="26.25" customHeight="1">
      <c r="A60" s="17">
        <f t="shared" si="1"/>
        <v>57</v>
      </c>
      <c r="B60" s="18" t="s">
        <v>132</v>
      </c>
      <c r="C60" s="19" t="s">
        <v>439</v>
      </c>
      <c r="D60" s="39" t="s">
        <v>440</v>
      </c>
      <c r="E60" s="20" t="s">
        <v>441</v>
      </c>
      <c r="F60" s="40" t="s">
        <v>4941</v>
      </c>
      <c r="G60" s="22" t="s">
        <v>53</v>
      </c>
      <c r="H60" s="41" t="s">
        <v>443</v>
      </c>
      <c r="I60" s="24" t="s">
        <v>20</v>
      </c>
      <c r="J60" s="1" t="str">
        <f t="shared" si="0"/>
        <v>FRIC</v>
      </c>
      <c r="K60" s="1"/>
      <c r="L60" s="1"/>
      <c r="M60" s="130">
        <v>57</v>
      </c>
      <c r="N60" s="130" t="s">
        <v>4337</v>
      </c>
      <c r="O60" s="131" t="s">
        <v>4430</v>
      </c>
      <c r="P60" s="130" t="s">
        <v>255</v>
      </c>
      <c r="Q60" s="130" t="s">
        <v>1766</v>
      </c>
      <c r="R60" s="130">
        <v>12</v>
      </c>
      <c r="S60" s="130" t="s">
        <v>4347</v>
      </c>
      <c r="T60" s="130" t="s">
        <v>4431</v>
      </c>
      <c r="U60" s="129"/>
      <c r="V60" s="129"/>
      <c r="W60" s="129"/>
      <c r="X60" s="129" t="s">
        <v>21</v>
      </c>
    </row>
    <row r="61" spans="1:24" ht="26.25" hidden="1" customHeight="1">
      <c r="A61" s="17">
        <f t="shared" si="1"/>
        <v>58</v>
      </c>
      <c r="B61" s="18" t="s">
        <v>132</v>
      </c>
      <c r="C61" s="31" t="s">
        <v>446</v>
      </c>
      <c r="D61" s="19" t="s">
        <v>447</v>
      </c>
      <c r="E61" s="20" t="s">
        <v>448</v>
      </c>
      <c r="F61" s="32" t="s">
        <v>449</v>
      </c>
      <c r="G61" s="22" t="s">
        <v>42</v>
      </c>
      <c r="H61" s="23" t="s">
        <v>450</v>
      </c>
      <c r="I61" s="24" t="s">
        <v>55</v>
      </c>
      <c r="J61" s="1" t="str">
        <f t="shared" si="0"/>
        <v/>
      </c>
      <c r="K61" s="1"/>
      <c r="L61" s="1"/>
      <c r="M61" s="130">
        <v>58</v>
      </c>
      <c r="N61" s="130" t="s">
        <v>4337</v>
      </c>
      <c r="O61" s="131" t="s">
        <v>4432</v>
      </c>
      <c r="P61" s="130" t="s">
        <v>1162</v>
      </c>
      <c r="Q61" s="130" t="s">
        <v>3479</v>
      </c>
      <c r="R61" s="130">
        <v>4</v>
      </c>
      <c r="S61" s="130" t="s">
        <v>4347</v>
      </c>
      <c r="T61" s="130" t="s">
        <v>4433</v>
      </c>
      <c r="U61" s="130" t="s">
        <v>20</v>
      </c>
      <c r="V61" s="129"/>
      <c r="W61" s="129"/>
      <c r="X61" s="129" t="s">
        <v>21</v>
      </c>
    </row>
    <row r="62" spans="1:24" ht="26.25" hidden="1" customHeight="1">
      <c r="A62" s="17">
        <f t="shared" si="1"/>
        <v>59</v>
      </c>
      <c r="B62" s="18" t="s">
        <v>175</v>
      </c>
      <c r="C62" s="31" t="s">
        <v>453</v>
      </c>
      <c r="D62" s="19" t="s">
        <v>196</v>
      </c>
      <c r="E62" s="20" t="s">
        <v>454</v>
      </c>
      <c r="F62" s="32" t="s">
        <v>455</v>
      </c>
      <c r="G62" s="33" t="s">
        <v>42</v>
      </c>
      <c r="H62" s="23" t="s">
        <v>456</v>
      </c>
      <c r="I62" s="24" t="s">
        <v>55</v>
      </c>
      <c r="J62" s="1" t="str">
        <f t="shared" si="0"/>
        <v/>
      </c>
      <c r="K62" s="1"/>
      <c r="L62" s="1"/>
      <c r="M62" s="130">
        <v>59</v>
      </c>
      <c r="N62" s="130" t="s">
        <v>4337</v>
      </c>
      <c r="O62" s="131" t="s">
        <v>4434</v>
      </c>
      <c r="P62" s="130" t="s">
        <v>1042</v>
      </c>
      <c r="Q62" s="130" t="s">
        <v>1790</v>
      </c>
      <c r="R62" s="130">
        <v>8</v>
      </c>
      <c r="S62" s="129"/>
      <c r="T62" s="130" t="s">
        <v>4435</v>
      </c>
      <c r="U62" s="130" t="s">
        <v>20</v>
      </c>
      <c r="V62" s="129"/>
      <c r="W62" s="129"/>
      <c r="X62" s="129" t="s">
        <v>21</v>
      </c>
    </row>
    <row r="63" spans="1:24" ht="26.25" hidden="1" customHeight="1">
      <c r="A63" s="17">
        <f t="shared" si="1"/>
        <v>60</v>
      </c>
      <c r="B63" s="18" t="s">
        <v>105</v>
      </c>
      <c r="C63" s="31" t="s">
        <v>459</v>
      </c>
      <c r="D63" s="19" t="s">
        <v>460</v>
      </c>
      <c r="E63" s="20" t="s">
        <v>461</v>
      </c>
      <c r="F63" s="21" t="s">
        <v>462</v>
      </c>
      <c r="G63" s="33" t="s">
        <v>42</v>
      </c>
      <c r="H63" s="23" t="s">
        <v>463</v>
      </c>
      <c r="I63" s="34" t="s">
        <v>20</v>
      </c>
      <c r="J63" s="1" t="str">
        <f t="shared" si="0"/>
        <v>과기</v>
      </c>
      <c r="K63" s="25"/>
      <c r="L63" s="25"/>
      <c r="M63" s="133">
        <v>60</v>
      </c>
      <c r="N63" s="133" t="s">
        <v>4337</v>
      </c>
      <c r="O63" s="134" t="s">
        <v>1803</v>
      </c>
      <c r="P63" s="133" t="s">
        <v>4436</v>
      </c>
      <c r="Q63" s="133" t="s">
        <v>1805</v>
      </c>
      <c r="R63" s="133">
        <v>4</v>
      </c>
      <c r="S63" s="135"/>
      <c r="T63" s="133" t="s">
        <v>4437</v>
      </c>
      <c r="U63" s="135"/>
      <c r="V63" s="135"/>
      <c r="W63" s="135"/>
      <c r="X63" s="135" t="s">
        <v>21</v>
      </c>
    </row>
    <row r="64" spans="1:24" ht="26.25" hidden="1" customHeight="1">
      <c r="A64" s="17">
        <f t="shared" si="1"/>
        <v>61</v>
      </c>
      <c r="B64" s="18" t="s">
        <v>105</v>
      </c>
      <c r="C64" s="31" t="s">
        <v>467</v>
      </c>
      <c r="D64" s="19" t="s">
        <v>468</v>
      </c>
      <c r="E64" s="20" t="s">
        <v>469</v>
      </c>
      <c r="F64" s="32" t="s">
        <v>170</v>
      </c>
      <c r="G64" s="33" t="s">
        <v>42</v>
      </c>
      <c r="H64" s="23" t="s">
        <v>470</v>
      </c>
      <c r="I64" s="24" t="s">
        <v>55</v>
      </c>
      <c r="J64" s="1" t="str">
        <f t="shared" si="0"/>
        <v/>
      </c>
      <c r="K64" s="1"/>
      <c r="L64" s="1"/>
      <c r="M64" s="130">
        <v>61</v>
      </c>
      <c r="N64" s="130" t="s">
        <v>4337</v>
      </c>
      <c r="O64" s="131" t="s">
        <v>1814</v>
      </c>
      <c r="P64" s="130" t="s">
        <v>1042</v>
      </c>
      <c r="Q64" s="130" t="s">
        <v>1815</v>
      </c>
      <c r="R64" s="130">
        <v>12</v>
      </c>
      <c r="S64" s="129"/>
      <c r="T64" s="130" t="s">
        <v>4435</v>
      </c>
      <c r="U64" s="130" t="s">
        <v>20</v>
      </c>
      <c r="V64" s="129"/>
      <c r="W64" s="129"/>
      <c r="X64" s="129" t="s">
        <v>21</v>
      </c>
    </row>
    <row r="65" spans="1:24" ht="26.25" hidden="1" customHeight="1">
      <c r="A65" s="17">
        <f t="shared" si="1"/>
        <v>62</v>
      </c>
      <c r="B65" s="18" t="s">
        <v>105</v>
      </c>
      <c r="C65" s="31" t="s">
        <v>474</v>
      </c>
      <c r="D65" s="19" t="s">
        <v>124</v>
      </c>
      <c r="E65" s="20" t="s">
        <v>475</v>
      </c>
      <c r="F65" s="21" t="s">
        <v>135</v>
      </c>
      <c r="G65" s="33" t="s">
        <v>42</v>
      </c>
      <c r="H65" s="23" t="s">
        <v>476</v>
      </c>
      <c r="I65" s="24" t="s">
        <v>20</v>
      </c>
      <c r="J65" s="1" t="str">
        <f t="shared" si="0"/>
        <v>과기</v>
      </c>
      <c r="K65" s="1"/>
      <c r="L65" s="1"/>
      <c r="M65" s="130">
        <v>62</v>
      </c>
      <c r="N65" s="130" t="s">
        <v>4337</v>
      </c>
      <c r="O65" s="131" t="s">
        <v>1820</v>
      </c>
      <c r="P65" s="130" t="s">
        <v>4438</v>
      </c>
      <c r="Q65" s="130" t="s">
        <v>1822</v>
      </c>
      <c r="R65" s="130">
        <v>4</v>
      </c>
      <c r="S65" s="129"/>
      <c r="T65" s="130" t="s">
        <v>4439</v>
      </c>
      <c r="U65" s="130" t="s">
        <v>20</v>
      </c>
      <c r="V65" s="129"/>
      <c r="W65" s="129"/>
      <c r="X65" s="129" t="s">
        <v>21</v>
      </c>
    </row>
    <row r="66" spans="1:24" ht="26.25" customHeight="1">
      <c r="A66" s="17">
        <f t="shared" si="1"/>
        <v>63</v>
      </c>
      <c r="B66" s="18" t="s">
        <v>13</v>
      </c>
      <c r="C66" s="31" t="s">
        <v>123</v>
      </c>
      <c r="D66" s="19" t="s">
        <v>480</v>
      </c>
      <c r="E66" s="20" t="s">
        <v>481</v>
      </c>
      <c r="F66" s="21" t="s">
        <v>482</v>
      </c>
      <c r="G66" s="22" t="s">
        <v>18</v>
      </c>
      <c r="H66" s="23" t="s">
        <v>483</v>
      </c>
      <c r="I66" s="24" t="s">
        <v>20</v>
      </c>
      <c r="J66" s="1" t="str">
        <f t="shared" si="0"/>
        <v>FRIC</v>
      </c>
      <c r="K66" s="1"/>
      <c r="L66" s="1"/>
      <c r="M66" s="130">
        <v>63</v>
      </c>
      <c r="N66" s="130" t="s">
        <v>4337</v>
      </c>
      <c r="O66" s="131" t="s">
        <v>4440</v>
      </c>
      <c r="P66" s="130" t="s">
        <v>255</v>
      </c>
      <c r="Q66" s="130" t="s">
        <v>3370</v>
      </c>
      <c r="R66" s="130">
        <v>14</v>
      </c>
      <c r="S66" s="130" t="s">
        <v>4347</v>
      </c>
      <c r="T66" s="130" t="s">
        <v>4441</v>
      </c>
      <c r="U66" s="129"/>
      <c r="V66" s="129"/>
      <c r="W66" s="129"/>
      <c r="X66" s="129" t="s">
        <v>21</v>
      </c>
    </row>
    <row r="67" spans="1:24" ht="26.25" customHeight="1">
      <c r="A67" s="17">
        <f t="shared" si="1"/>
        <v>64</v>
      </c>
      <c r="B67" s="18" t="s">
        <v>13</v>
      </c>
      <c r="C67" s="19" t="s">
        <v>487</v>
      </c>
      <c r="D67" s="19" t="s">
        <v>488</v>
      </c>
      <c r="E67" s="20" t="s">
        <v>489</v>
      </c>
      <c r="F67" s="21" t="s">
        <v>490</v>
      </c>
      <c r="G67" s="22" t="s">
        <v>63</v>
      </c>
      <c r="H67" s="23" t="s">
        <v>491</v>
      </c>
      <c r="I67" s="24" t="s">
        <v>20</v>
      </c>
      <c r="J67" s="1" t="str">
        <f t="shared" si="0"/>
        <v>FRIC</v>
      </c>
      <c r="K67" s="1"/>
      <c r="L67" s="1"/>
      <c r="M67" s="130">
        <v>64</v>
      </c>
      <c r="N67" s="130" t="s">
        <v>4337</v>
      </c>
      <c r="O67" s="131" t="s">
        <v>1831</v>
      </c>
      <c r="P67" s="130" t="s">
        <v>255</v>
      </c>
      <c r="Q67" s="130" t="s">
        <v>1832</v>
      </c>
      <c r="R67" s="130">
        <v>8</v>
      </c>
      <c r="S67" s="130" t="s">
        <v>4347</v>
      </c>
      <c r="T67" s="130" t="s">
        <v>4442</v>
      </c>
      <c r="U67" s="129"/>
      <c r="V67" s="129"/>
      <c r="W67" s="129"/>
      <c r="X67" s="129" t="s">
        <v>21</v>
      </c>
    </row>
    <row r="68" spans="1:24" ht="26.25" hidden="1" customHeight="1">
      <c r="A68" s="17">
        <f t="shared" si="1"/>
        <v>65</v>
      </c>
      <c r="B68" s="18" t="s">
        <v>13</v>
      </c>
      <c r="C68" s="31" t="s">
        <v>494</v>
      </c>
      <c r="D68" s="19" t="s">
        <v>480</v>
      </c>
      <c r="E68" s="20" t="s">
        <v>495</v>
      </c>
      <c r="F68" s="32" t="s">
        <v>496</v>
      </c>
      <c r="G68" s="22" t="s">
        <v>53</v>
      </c>
      <c r="H68" s="23" t="s">
        <v>497</v>
      </c>
      <c r="I68" s="24" t="s">
        <v>55</v>
      </c>
      <c r="J68" s="1" t="str">
        <f t="shared" si="0"/>
        <v/>
      </c>
      <c r="K68" s="1"/>
      <c r="L68" s="1"/>
      <c r="M68" s="130">
        <v>65</v>
      </c>
      <c r="N68" s="130" t="s">
        <v>4337</v>
      </c>
      <c r="O68" s="131" t="s">
        <v>1837</v>
      </c>
      <c r="P68" s="130" t="s">
        <v>4443</v>
      </c>
      <c r="Q68" s="130" t="s">
        <v>1839</v>
      </c>
      <c r="R68" s="130">
        <v>4</v>
      </c>
      <c r="S68" s="129"/>
      <c r="T68" s="130" t="s">
        <v>4444</v>
      </c>
      <c r="U68" s="130" t="s">
        <v>20</v>
      </c>
      <c r="V68" s="129"/>
      <c r="W68" s="129"/>
      <c r="X68" s="129" t="s">
        <v>21</v>
      </c>
    </row>
    <row r="69" spans="1:24" ht="26.25" customHeight="1">
      <c r="A69" s="17">
        <f t="shared" si="1"/>
        <v>66</v>
      </c>
      <c r="B69" s="18" t="s">
        <v>13</v>
      </c>
      <c r="C69" s="19" t="s">
        <v>502</v>
      </c>
      <c r="D69" s="19" t="s">
        <v>503</v>
      </c>
      <c r="E69" s="20" t="s">
        <v>504</v>
      </c>
      <c r="F69" s="21" t="s">
        <v>505</v>
      </c>
      <c r="G69" s="22" t="s">
        <v>18</v>
      </c>
      <c r="H69" s="23" t="s">
        <v>506</v>
      </c>
      <c r="I69" s="24" t="s">
        <v>20</v>
      </c>
      <c r="J69" s="1" t="str">
        <f t="shared" si="0"/>
        <v>FRIC</v>
      </c>
      <c r="K69" s="1"/>
      <c r="L69" s="1"/>
      <c r="M69" s="130">
        <v>66</v>
      </c>
      <c r="N69" s="130" t="s">
        <v>4337</v>
      </c>
      <c r="O69" s="131" t="s">
        <v>1891</v>
      </c>
      <c r="P69" s="130" t="s">
        <v>1042</v>
      </c>
      <c r="Q69" s="130" t="s">
        <v>1892</v>
      </c>
      <c r="R69" s="130">
        <v>12</v>
      </c>
      <c r="S69" s="129"/>
      <c r="T69" s="130" t="s">
        <v>4445</v>
      </c>
      <c r="U69" s="130" t="s">
        <v>20</v>
      </c>
      <c r="V69" s="129"/>
      <c r="W69" s="129"/>
      <c r="X69" s="129" t="s">
        <v>21</v>
      </c>
    </row>
    <row r="70" spans="1:24" ht="26.25" customHeight="1">
      <c r="A70" s="17">
        <f t="shared" si="1"/>
        <v>67</v>
      </c>
      <c r="B70" s="18" t="s">
        <v>13</v>
      </c>
      <c r="C70" s="19" t="s">
        <v>510</v>
      </c>
      <c r="D70" s="19" t="s">
        <v>191</v>
      </c>
      <c r="E70" s="20" t="s">
        <v>511</v>
      </c>
      <c r="F70" s="21" t="s">
        <v>135</v>
      </c>
      <c r="G70" s="22" t="s">
        <v>18</v>
      </c>
      <c r="H70" s="23" t="s">
        <v>512</v>
      </c>
      <c r="I70" s="24" t="s">
        <v>20</v>
      </c>
      <c r="J70" s="1" t="str">
        <f t="shared" si="0"/>
        <v>FRIC</v>
      </c>
      <c r="K70" s="1"/>
      <c r="L70" s="1"/>
      <c r="M70" s="130">
        <v>67</v>
      </c>
      <c r="N70" s="130" t="s">
        <v>4337</v>
      </c>
      <c r="O70" s="131" t="s">
        <v>1895</v>
      </c>
      <c r="P70" s="130" t="s">
        <v>112</v>
      </c>
      <c r="Q70" s="130" t="s">
        <v>1896</v>
      </c>
      <c r="R70" s="130">
        <v>4</v>
      </c>
      <c r="S70" s="129"/>
      <c r="T70" s="130" t="s">
        <v>4446</v>
      </c>
      <c r="U70" s="130" t="s">
        <v>53</v>
      </c>
      <c r="V70" s="129" t="s">
        <v>4342</v>
      </c>
      <c r="W70" s="129"/>
      <c r="X70" s="129" t="s">
        <v>21</v>
      </c>
    </row>
    <row r="71" spans="1:24" ht="26.25" hidden="1" customHeight="1">
      <c r="A71" s="17">
        <f t="shared" si="1"/>
        <v>68</v>
      </c>
      <c r="B71" s="18" t="s">
        <v>105</v>
      </c>
      <c r="C71" s="31" t="s">
        <v>516</v>
      </c>
      <c r="D71" s="19" t="s">
        <v>517</v>
      </c>
      <c r="E71" s="20" t="s">
        <v>518</v>
      </c>
      <c r="F71" s="32" t="s">
        <v>519</v>
      </c>
      <c r="G71" s="33" t="s">
        <v>42</v>
      </c>
      <c r="H71" s="23" t="s">
        <v>520</v>
      </c>
      <c r="I71" s="24" t="s">
        <v>55</v>
      </c>
      <c r="J71" s="1" t="str">
        <f t="shared" si="0"/>
        <v/>
      </c>
      <c r="K71" s="1"/>
      <c r="L71" s="1"/>
      <c r="M71" s="130">
        <v>68</v>
      </c>
      <c r="N71" s="130" t="s">
        <v>4337</v>
      </c>
      <c r="O71" s="131" t="s">
        <v>1898</v>
      </c>
      <c r="P71" s="130" t="s">
        <v>1042</v>
      </c>
      <c r="Q71" s="130" t="s">
        <v>1899</v>
      </c>
      <c r="R71" s="130">
        <v>12</v>
      </c>
      <c r="S71" s="129"/>
      <c r="T71" s="130" t="s">
        <v>4435</v>
      </c>
      <c r="U71" s="130" t="s">
        <v>20</v>
      </c>
      <c r="V71" s="129"/>
      <c r="W71" s="129"/>
      <c r="X71" s="129" t="s">
        <v>21</v>
      </c>
    </row>
    <row r="72" spans="1:24" ht="26.25" hidden="1" customHeight="1">
      <c r="A72" s="17">
        <f t="shared" si="1"/>
        <v>69</v>
      </c>
      <c r="B72" s="18" t="s">
        <v>132</v>
      </c>
      <c r="C72" s="31" t="s">
        <v>524</v>
      </c>
      <c r="D72" s="19" t="s">
        <v>525</v>
      </c>
      <c r="E72" s="20" t="s">
        <v>526</v>
      </c>
      <c r="F72" s="32" t="s">
        <v>170</v>
      </c>
      <c r="G72" s="22" t="s">
        <v>42</v>
      </c>
      <c r="H72" s="23" t="s">
        <v>527</v>
      </c>
      <c r="I72" s="24" t="s">
        <v>55</v>
      </c>
      <c r="J72" s="1" t="str">
        <f t="shared" si="0"/>
        <v/>
      </c>
      <c r="K72" s="1"/>
      <c r="L72" s="1"/>
      <c r="M72" s="130">
        <v>69</v>
      </c>
      <c r="N72" s="130" t="s">
        <v>4337</v>
      </c>
      <c r="O72" s="131" t="s">
        <v>1901</v>
      </c>
      <c r="P72" s="130" t="s">
        <v>361</v>
      </c>
      <c r="Q72" s="130" t="s">
        <v>1902</v>
      </c>
      <c r="R72" s="130">
        <v>4</v>
      </c>
      <c r="S72" s="130" t="s">
        <v>4347</v>
      </c>
      <c r="T72" s="130" t="s">
        <v>4447</v>
      </c>
      <c r="U72" s="129"/>
      <c r="V72" s="129"/>
      <c r="W72" s="129"/>
      <c r="X72" s="129" t="s">
        <v>21</v>
      </c>
    </row>
    <row r="73" spans="1:24" ht="26.25" hidden="1" customHeight="1">
      <c r="A73" s="17">
        <f t="shared" si="1"/>
        <v>70</v>
      </c>
      <c r="B73" s="18" t="s">
        <v>13</v>
      </c>
      <c r="C73" s="33" t="s">
        <v>532</v>
      </c>
      <c r="D73" s="42" t="s">
        <v>533</v>
      </c>
      <c r="E73" s="43" t="s">
        <v>534</v>
      </c>
      <c r="F73" s="44">
        <v>2019</v>
      </c>
      <c r="G73" s="22" t="s">
        <v>53</v>
      </c>
      <c r="H73" s="59" t="s">
        <v>535</v>
      </c>
      <c r="I73" s="24" t="s">
        <v>55</v>
      </c>
      <c r="J73" s="1" t="str">
        <f t="shared" si="0"/>
        <v/>
      </c>
      <c r="K73" s="1"/>
      <c r="L73" s="1"/>
      <c r="M73" s="130">
        <v>70</v>
      </c>
      <c r="N73" s="130" t="s">
        <v>4337</v>
      </c>
      <c r="O73" s="131" t="s">
        <v>1904</v>
      </c>
      <c r="P73" s="130" t="s">
        <v>255</v>
      </c>
      <c r="Q73" s="130" t="s">
        <v>1905</v>
      </c>
      <c r="R73" s="130">
        <v>6</v>
      </c>
      <c r="S73" s="130" t="s">
        <v>4347</v>
      </c>
      <c r="T73" s="130" t="s">
        <v>4448</v>
      </c>
      <c r="U73" s="129"/>
      <c r="V73" s="129"/>
      <c r="W73" s="129"/>
      <c r="X73" s="129" t="s">
        <v>21</v>
      </c>
    </row>
    <row r="74" spans="1:24" ht="26.25" hidden="1" customHeight="1">
      <c r="A74" s="17">
        <f t="shared" si="1"/>
        <v>71</v>
      </c>
      <c r="B74" s="18" t="s">
        <v>175</v>
      </c>
      <c r="C74" s="31" t="s">
        <v>539</v>
      </c>
      <c r="D74" s="19" t="s">
        <v>540</v>
      </c>
      <c r="E74" s="20" t="s">
        <v>541</v>
      </c>
      <c r="F74" s="32" t="s">
        <v>542</v>
      </c>
      <c r="G74" s="33" t="s">
        <v>42</v>
      </c>
      <c r="H74" s="23" t="s">
        <v>543</v>
      </c>
      <c r="I74" s="24" t="s">
        <v>55</v>
      </c>
      <c r="J74" s="1" t="str">
        <f t="shared" si="0"/>
        <v/>
      </c>
      <c r="K74" s="1"/>
      <c r="L74" s="1"/>
      <c r="M74" s="130">
        <v>71</v>
      </c>
      <c r="N74" s="130" t="s">
        <v>4337</v>
      </c>
      <c r="O74" s="131" t="s">
        <v>1907</v>
      </c>
      <c r="P74" s="130" t="s">
        <v>361</v>
      </c>
      <c r="Q74" s="130" t="s">
        <v>1908</v>
      </c>
      <c r="R74" s="130">
        <v>8</v>
      </c>
      <c r="S74" s="130" t="s">
        <v>4347</v>
      </c>
      <c r="T74" s="130" t="s">
        <v>4449</v>
      </c>
      <c r="U74" s="129"/>
      <c r="V74" s="129"/>
      <c r="W74" s="129"/>
      <c r="X74" s="129" t="s">
        <v>21</v>
      </c>
    </row>
    <row r="75" spans="1:24" ht="26.25" hidden="1" customHeight="1">
      <c r="A75" s="17">
        <f t="shared" si="1"/>
        <v>72</v>
      </c>
      <c r="B75" s="18" t="s">
        <v>81</v>
      </c>
      <c r="C75" s="31" t="s">
        <v>547</v>
      </c>
      <c r="D75" s="19" t="s">
        <v>191</v>
      </c>
      <c r="E75" s="20" t="s">
        <v>548</v>
      </c>
      <c r="F75" s="32" t="s">
        <v>222</v>
      </c>
      <c r="G75" s="33" t="s">
        <v>42</v>
      </c>
      <c r="H75" s="23" t="s">
        <v>549</v>
      </c>
      <c r="I75" s="24" t="s">
        <v>55</v>
      </c>
      <c r="J75" s="1" t="str">
        <f t="shared" si="0"/>
        <v/>
      </c>
      <c r="K75" s="1"/>
      <c r="L75" s="1"/>
      <c r="M75" s="130">
        <v>72</v>
      </c>
      <c r="N75" s="130" t="s">
        <v>4337</v>
      </c>
      <c r="O75" s="131" t="s">
        <v>4450</v>
      </c>
      <c r="P75" s="130" t="s">
        <v>255</v>
      </c>
      <c r="Q75" s="130" t="s">
        <v>1916</v>
      </c>
      <c r="R75" s="130">
        <v>12</v>
      </c>
      <c r="S75" s="130" t="s">
        <v>4347</v>
      </c>
      <c r="T75" s="130" t="s">
        <v>4451</v>
      </c>
      <c r="U75" s="129"/>
      <c r="V75" s="129"/>
      <c r="W75" s="129"/>
      <c r="X75" s="129" t="s">
        <v>21</v>
      </c>
    </row>
    <row r="76" spans="1:24" ht="26.25" hidden="1" customHeight="1">
      <c r="A76" s="17">
        <f t="shared" si="1"/>
        <v>73</v>
      </c>
      <c r="B76" s="18" t="s">
        <v>248</v>
      </c>
      <c r="C76" s="31" t="s">
        <v>552</v>
      </c>
      <c r="D76" s="19" t="s">
        <v>553</v>
      </c>
      <c r="E76" s="20" t="s">
        <v>554</v>
      </c>
      <c r="F76" s="32" t="s">
        <v>555</v>
      </c>
      <c r="G76" s="33" t="s">
        <v>53</v>
      </c>
      <c r="H76" s="23" t="s">
        <v>556</v>
      </c>
      <c r="I76" s="24" t="s">
        <v>55</v>
      </c>
      <c r="J76" s="1" t="str">
        <f t="shared" si="0"/>
        <v/>
      </c>
      <c r="K76" s="1"/>
      <c r="L76" s="1"/>
      <c r="M76" s="130">
        <v>73</v>
      </c>
      <c r="N76" s="130" t="s">
        <v>4337</v>
      </c>
      <c r="O76" s="131" t="s">
        <v>4452</v>
      </c>
      <c r="P76" s="130" t="s">
        <v>196</v>
      </c>
      <c r="Q76" s="130" t="s">
        <v>1941</v>
      </c>
      <c r="R76" s="130">
        <v>12</v>
      </c>
      <c r="S76" s="129"/>
      <c r="T76" s="130" t="s">
        <v>4453</v>
      </c>
      <c r="U76" s="129"/>
      <c r="V76" s="129"/>
      <c r="W76" s="129"/>
      <c r="X76" s="129" t="s">
        <v>21</v>
      </c>
    </row>
    <row r="77" spans="1:24" ht="26.25" hidden="1" customHeight="1">
      <c r="A77" s="17">
        <f t="shared" si="1"/>
        <v>74</v>
      </c>
      <c r="B77" s="18" t="s">
        <v>13</v>
      </c>
      <c r="C77" s="31" t="s">
        <v>561</v>
      </c>
      <c r="D77" s="19" t="s">
        <v>562</v>
      </c>
      <c r="E77" s="20" t="s">
        <v>563</v>
      </c>
      <c r="F77" s="32" t="s">
        <v>564</v>
      </c>
      <c r="G77" s="22" t="s">
        <v>42</v>
      </c>
      <c r="H77" s="23" t="s">
        <v>565</v>
      </c>
      <c r="I77" s="24" t="s">
        <v>55</v>
      </c>
      <c r="J77" s="1" t="str">
        <f t="shared" si="0"/>
        <v/>
      </c>
      <c r="K77" s="1"/>
      <c r="L77" s="1"/>
      <c r="M77" s="130">
        <v>74</v>
      </c>
      <c r="N77" s="130" t="s">
        <v>4337</v>
      </c>
      <c r="O77" s="131" t="s">
        <v>4454</v>
      </c>
      <c r="P77" s="130" t="s">
        <v>4455</v>
      </c>
      <c r="Q77" s="130" t="s">
        <v>2430</v>
      </c>
      <c r="R77" s="130">
        <v>12</v>
      </c>
      <c r="S77" s="129"/>
      <c r="T77" s="130" t="s">
        <v>4456</v>
      </c>
      <c r="U77" s="129"/>
      <c r="V77" s="129"/>
      <c r="W77" s="129"/>
      <c r="X77" s="129" t="s">
        <v>21</v>
      </c>
    </row>
    <row r="78" spans="1:24" ht="26.25" hidden="1" customHeight="1">
      <c r="A78" s="17">
        <f t="shared" si="1"/>
        <v>75</v>
      </c>
      <c r="B78" s="18" t="s">
        <v>132</v>
      </c>
      <c r="C78" s="31" t="s">
        <v>569</v>
      </c>
      <c r="D78" s="19" t="s">
        <v>271</v>
      </c>
      <c r="E78" s="20" t="s">
        <v>570</v>
      </c>
      <c r="F78" s="32">
        <v>2010</v>
      </c>
      <c r="G78" s="22" t="s">
        <v>42</v>
      </c>
      <c r="H78" s="23" t="s">
        <v>571</v>
      </c>
      <c r="I78" s="24" t="s">
        <v>55</v>
      </c>
      <c r="J78" s="1" t="str">
        <f t="shared" si="0"/>
        <v/>
      </c>
      <c r="K78" s="1"/>
      <c r="L78" s="1"/>
      <c r="M78" s="130">
        <v>75</v>
      </c>
      <c r="N78" s="130" t="s">
        <v>4337</v>
      </c>
      <c r="O78" s="131" t="s">
        <v>3372</v>
      </c>
      <c r="P78" s="130" t="s">
        <v>255</v>
      </c>
      <c r="Q78" s="130" t="s">
        <v>3373</v>
      </c>
      <c r="R78" s="130">
        <v>16</v>
      </c>
      <c r="S78" s="130" t="s">
        <v>4347</v>
      </c>
      <c r="T78" s="130" t="s">
        <v>4457</v>
      </c>
      <c r="U78" s="129"/>
      <c r="V78" s="129"/>
      <c r="W78" s="129"/>
      <c r="X78" s="129" t="s">
        <v>21</v>
      </c>
    </row>
    <row r="79" spans="1:24" ht="26.25" hidden="1" customHeight="1">
      <c r="A79" s="17">
        <f t="shared" si="1"/>
        <v>76</v>
      </c>
      <c r="B79" s="18" t="s">
        <v>105</v>
      </c>
      <c r="C79" s="31" t="s">
        <v>574</v>
      </c>
      <c r="D79" s="19" t="s">
        <v>575</v>
      </c>
      <c r="E79" s="20" t="s">
        <v>576</v>
      </c>
      <c r="F79" s="32" t="s">
        <v>519</v>
      </c>
      <c r="G79" s="33" t="s">
        <v>42</v>
      </c>
      <c r="H79" s="23" t="s">
        <v>577</v>
      </c>
      <c r="I79" s="24" t="s">
        <v>55</v>
      </c>
      <c r="J79" s="1" t="str">
        <f t="shared" si="0"/>
        <v/>
      </c>
      <c r="K79" s="1"/>
      <c r="L79" s="1"/>
      <c r="M79" s="130">
        <v>76</v>
      </c>
      <c r="N79" s="130" t="s">
        <v>4337</v>
      </c>
      <c r="O79" s="131" t="s">
        <v>4458</v>
      </c>
      <c r="P79" s="130" t="s">
        <v>255</v>
      </c>
      <c r="Q79" s="130" t="s">
        <v>1977</v>
      </c>
      <c r="R79" s="130">
        <v>24</v>
      </c>
      <c r="S79" s="129"/>
      <c r="T79" s="130" t="s">
        <v>4459</v>
      </c>
      <c r="U79" s="129"/>
      <c r="V79" s="129"/>
      <c r="W79" s="129"/>
      <c r="X79" s="129" t="s">
        <v>21</v>
      </c>
    </row>
    <row r="80" spans="1:24" ht="26.25" hidden="1" customHeight="1">
      <c r="A80" s="17">
        <f t="shared" si="1"/>
        <v>77</v>
      </c>
      <c r="B80" s="18" t="s">
        <v>27</v>
      </c>
      <c r="C80" s="31" t="s">
        <v>581</v>
      </c>
      <c r="D80" s="19" t="s">
        <v>582</v>
      </c>
      <c r="E80" s="20" t="s">
        <v>583</v>
      </c>
      <c r="F80" s="32" t="s">
        <v>416</v>
      </c>
      <c r="G80" s="22" t="s">
        <v>42</v>
      </c>
      <c r="H80" s="23" t="s">
        <v>584</v>
      </c>
      <c r="I80" s="24" t="s">
        <v>55</v>
      </c>
      <c r="J80" s="1" t="str">
        <f t="shared" si="0"/>
        <v/>
      </c>
      <c r="K80" s="1"/>
      <c r="L80" s="1"/>
      <c r="M80" s="130">
        <v>77</v>
      </c>
      <c r="N80" s="130" t="s">
        <v>4337</v>
      </c>
      <c r="O80" s="136" t="s">
        <v>2003</v>
      </c>
      <c r="P80" s="137" t="s">
        <v>447</v>
      </c>
      <c r="Q80" s="130" t="s">
        <v>2005</v>
      </c>
      <c r="R80" s="130">
        <v>12</v>
      </c>
      <c r="S80" s="130" t="s">
        <v>4347</v>
      </c>
      <c r="T80" s="130" t="s">
        <v>4460</v>
      </c>
      <c r="U80" s="130" t="s">
        <v>53</v>
      </c>
      <c r="V80" s="129" t="s">
        <v>4342</v>
      </c>
      <c r="W80" s="129"/>
      <c r="X80" s="129" t="s">
        <v>21</v>
      </c>
    </row>
    <row r="81" spans="1:24" ht="26.25" hidden="1" customHeight="1">
      <c r="A81" s="17">
        <f t="shared" si="1"/>
        <v>78</v>
      </c>
      <c r="B81" s="18" t="s">
        <v>27</v>
      </c>
      <c r="C81" s="31" t="s">
        <v>587</v>
      </c>
      <c r="D81" s="19" t="s">
        <v>588</v>
      </c>
      <c r="E81" s="20" t="s">
        <v>589</v>
      </c>
      <c r="F81" s="32" t="s">
        <v>416</v>
      </c>
      <c r="G81" s="22" t="s">
        <v>31</v>
      </c>
      <c r="H81" s="23" t="s">
        <v>590</v>
      </c>
      <c r="I81" s="24" t="s">
        <v>55</v>
      </c>
      <c r="J81" s="1" t="str">
        <f t="shared" si="0"/>
        <v/>
      </c>
      <c r="K81" s="1"/>
      <c r="L81" s="1"/>
      <c r="M81" s="130">
        <v>78</v>
      </c>
      <c r="N81" s="130" t="s">
        <v>4337</v>
      </c>
      <c r="O81" s="131" t="s">
        <v>2025</v>
      </c>
      <c r="P81" s="130" t="s">
        <v>558</v>
      </c>
      <c r="Q81" s="130" t="s">
        <v>2026</v>
      </c>
      <c r="R81" s="130">
        <v>10</v>
      </c>
      <c r="S81" s="129"/>
      <c r="T81" s="130" t="s">
        <v>4461</v>
      </c>
      <c r="U81" s="129"/>
      <c r="V81" s="129"/>
      <c r="W81" s="129"/>
      <c r="X81" s="129" t="s">
        <v>21</v>
      </c>
    </row>
    <row r="82" spans="1:24" ht="26.25" hidden="1" customHeight="1">
      <c r="A82" s="17">
        <f t="shared" si="1"/>
        <v>79</v>
      </c>
      <c r="B82" s="18" t="s">
        <v>105</v>
      </c>
      <c r="C82" s="31" t="s">
        <v>593</v>
      </c>
      <c r="D82" s="19" t="s">
        <v>594</v>
      </c>
      <c r="E82" s="20" t="s">
        <v>595</v>
      </c>
      <c r="F82" s="32" t="s">
        <v>596</v>
      </c>
      <c r="G82" s="33" t="s">
        <v>31</v>
      </c>
      <c r="H82" s="23" t="s">
        <v>597</v>
      </c>
      <c r="I82" s="24" t="s">
        <v>55</v>
      </c>
      <c r="J82" s="1" t="str">
        <f t="shared" si="0"/>
        <v/>
      </c>
      <c r="K82" s="1"/>
      <c r="L82" s="1"/>
      <c r="M82" s="130">
        <v>79</v>
      </c>
      <c r="N82" s="130" t="s">
        <v>4337</v>
      </c>
      <c r="O82" s="136" t="s">
        <v>2031</v>
      </c>
      <c r="P82" s="137" t="s">
        <v>447</v>
      </c>
      <c r="Q82" s="130" t="s">
        <v>2032</v>
      </c>
      <c r="R82" s="130">
        <v>12</v>
      </c>
      <c r="S82" s="130" t="s">
        <v>4347</v>
      </c>
      <c r="T82" s="130" t="s">
        <v>4460</v>
      </c>
      <c r="U82" s="130" t="s">
        <v>53</v>
      </c>
      <c r="V82" s="129" t="s">
        <v>4342</v>
      </c>
      <c r="W82" s="129"/>
      <c r="X82" s="129" t="s">
        <v>21</v>
      </c>
    </row>
    <row r="83" spans="1:24" ht="26.25" hidden="1" customHeight="1">
      <c r="A83" s="17">
        <f t="shared" si="1"/>
        <v>80</v>
      </c>
      <c r="B83" s="18" t="s">
        <v>132</v>
      </c>
      <c r="C83" s="31" t="s">
        <v>600</v>
      </c>
      <c r="D83" s="19" t="s">
        <v>601</v>
      </c>
      <c r="E83" s="20" t="s">
        <v>602</v>
      </c>
      <c r="F83" s="32" t="s">
        <v>603</v>
      </c>
      <c r="G83" s="22" t="s">
        <v>53</v>
      </c>
      <c r="H83" s="23" t="s">
        <v>604</v>
      </c>
      <c r="I83" s="24" t="s">
        <v>55</v>
      </c>
      <c r="J83" s="1" t="str">
        <f t="shared" si="0"/>
        <v/>
      </c>
      <c r="K83" s="1"/>
      <c r="L83" s="1"/>
      <c r="M83" s="130">
        <v>80</v>
      </c>
      <c r="N83" s="130" t="s">
        <v>4337</v>
      </c>
      <c r="O83" s="131" t="s">
        <v>2034</v>
      </c>
      <c r="P83" s="130" t="s">
        <v>840</v>
      </c>
      <c r="Q83" s="130" t="s">
        <v>2035</v>
      </c>
      <c r="R83" s="130">
        <v>12</v>
      </c>
      <c r="S83" s="130" t="s">
        <v>4347</v>
      </c>
      <c r="T83" s="130" t="s">
        <v>4462</v>
      </c>
      <c r="U83" s="130" t="s">
        <v>53</v>
      </c>
      <c r="V83" s="129" t="s">
        <v>4394</v>
      </c>
      <c r="W83" s="129"/>
      <c r="X83" s="129" t="s">
        <v>21</v>
      </c>
    </row>
    <row r="84" spans="1:24" ht="26.25" hidden="1" customHeight="1">
      <c r="A84" s="17">
        <f t="shared" si="1"/>
        <v>81</v>
      </c>
      <c r="B84" s="18" t="s">
        <v>132</v>
      </c>
      <c r="C84" s="31" t="s">
        <v>513</v>
      </c>
      <c r="D84" s="19" t="s">
        <v>607</v>
      </c>
      <c r="E84" s="20" t="s">
        <v>515</v>
      </c>
      <c r="F84" s="32" t="s">
        <v>496</v>
      </c>
      <c r="G84" s="22" t="s">
        <v>53</v>
      </c>
      <c r="H84" s="23" t="s">
        <v>608</v>
      </c>
      <c r="I84" s="24" t="s">
        <v>55</v>
      </c>
      <c r="J84" s="1" t="str">
        <f t="shared" si="0"/>
        <v/>
      </c>
      <c r="K84" s="1"/>
      <c r="L84" s="1"/>
      <c r="M84" s="130">
        <v>81</v>
      </c>
      <c r="N84" s="130" t="s">
        <v>4337</v>
      </c>
      <c r="O84" s="131" t="s">
        <v>2041</v>
      </c>
      <c r="P84" s="130" t="s">
        <v>1078</v>
      </c>
      <c r="Q84" s="130" t="s">
        <v>2042</v>
      </c>
      <c r="R84" s="130">
        <v>12</v>
      </c>
      <c r="S84" s="129"/>
      <c r="T84" s="130" t="s">
        <v>4463</v>
      </c>
      <c r="U84" s="130" t="s">
        <v>53</v>
      </c>
      <c r="V84" s="129" t="s">
        <v>4342</v>
      </c>
      <c r="W84" s="129"/>
      <c r="X84" s="129" t="s">
        <v>21</v>
      </c>
    </row>
    <row r="85" spans="1:24" ht="26.25" hidden="1" customHeight="1">
      <c r="A85" s="17">
        <f t="shared" si="1"/>
        <v>82</v>
      </c>
      <c r="B85" s="18" t="s">
        <v>132</v>
      </c>
      <c r="C85" s="31" t="s">
        <v>611</v>
      </c>
      <c r="D85" s="19" t="s">
        <v>612</v>
      </c>
      <c r="E85" s="20" t="s">
        <v>613</v>
      </c>
      <c r="F85" s="32" t="s">
        <v>614</v>
      </c>
      <c r="G85" s="22" t="s">
        <v>53</v>
      </c>
      <c r="H85" s="23" t="s">
        <v>615</v>
      </c>
      <c r="I85" s="24" t="s">
        <v>55</v>
      </c>
      <c r="J85" s="1" t="str">
        <f t="shared" si="0"/>
        <v/>
      </c>
      <c r="K85" s="1"/>
      <c r="L85" s="1"/>
      <c r="M85" s="130">
        <v>82</v>
      </c>
      <c r="N85" s="130" t="s">
        <v>4337</v>
      </c>
      <c r="O85" s="131" t="s">
        <v>2045</v>
      </c>
      <c r="P85" s="130" t="s">
        <v>558</v>
      </c>
      <c r="Q85" s="130" t="s">
        <v>2046</v>
      </c>
      <c r="R85" s="130">
        <v>6</v>
      </c>
      <c r="S85" s="129"/>
      <c r="T85" s="130" t="s">
        <v>4464</v>
      </c>
      <c r="U85" s="129"/>
      <c r="V85" s="129"/>
      <c r="W85" s="129"/>
      <c r="X85" s="129" t="s">
        <v>21</v>
      </c>
    </row>
    <row r="86" spans="1:24" ht="26.25" hidden="1" customHeight="1">
      <c r="A86" s="17">
        <f t="shared" si="1"/>
        <v>83</v>
      </c>
      <c r="B86" s="18" t="s">
        <v>132</v>
      </c>
      <c r="C86" s="31" t="s">
        <v>617</v>
      </c>
      <c r="D86" s="19" t="s">
        <v>618</v>
      </c>
      <c r="E86" s="20" t="s">
        <v>619</v>
      </c>
      <c r="F86" s="32" t="s">
        <v>170</v>
      </c>
      <c r="G86" s="22" t="s">
        <v>53</v>
      </c>
      <c r="H86" s="23" t="s">
        <v>620</v>
      </c>
      <c r="I86" s="24" t="s">
        <v>55</v>
      </c>
      <c r="J86" s="1" t="str">
        <f t="shared" si="0"/>
        <v/>
      </c>
      <c r="K86" s="1"/>
      <c r="L86" s="1"/>
      <c r="M86" s="130">
        <v>83</v>
      </c>
      <c r="N86" s="130" t="s">
        <v>4337</v>
      </c>
      <c r="O86" s="131" t="s">
        <v>2060</v>
      </c>
      <c r="P86" s="130" t="s">
        <v>558</v>
      </c>
      <c r="Q86" s="130" t="s">
        <v>2061</v>
      </c>
      <c r="R86" s="130">
        <v>30</v>
      </c>
      <c r="S86" s="129"/>
      <c r="T86" s="130" t="s">
        <v>4465</v>
      </c>
      <c r="U86" s="129"/>
      <c r="V86" s="129"/>
      <c r="W86" s="129"/>
      <c r="X86" s="129" t="s">
        <v>21</v>
      </c>
    </row>
    <row r="87" spans="1:24" ht="26.25" hidden="1" customHeight="1">
      <c r="A87" s="17">
        <f t="shared" si="1"/>
        <v>84</v>
      </c>
      <c r="B87" s="18" t="s">
        <v>132</v>
      </c>
      <c r="C87" s="31" t="s">
        <v>624</v>
      </c>
      <c r="D87" s="19" t="s">
        <v>625</v>
      </c>
      <c r="E87" s="20" t="s">
        <v>626</v>
      </c>
      <c r="F87" s="32" t="s">
        <v>222</v>
      </c>
      <c r="G87" s="22" t="s">
        <v>53</v>
      </c>
      <c r="H87" s="23" t="s">
        <v>627</v>
      </c>
      <c r="I87" s="24" t="s">
        <v>55</v>
      </c>
      <c r="J87" s="1" t="str">
        <f t="shared" si="0"/>
        <v/>
      </c>
      <c r="K87" s="1"/>
      <c r="L87" s="1"/>
      <c r="M87" s="130">
        <v>84</v>
      </c>
      <c r="N87" s="130" t="s">
        <v>4337</v>
      </c>
      <c r="O87" s="131" t="s">
        <v>2064</v>
      </c>
      <c r="P87" s="130" t="s">
        <v>1078</v>
      </c>
      <c r="Q87" s="130" t="s">
        <v>2065</v>
      </c>
      <c r="R87" s="130">
        <v>6</v>
      </c>
      <c r="S87" s="129"/>
      <c r="T87" s="130" t="s">
        <v>4466</v>
      </c>
      <c r="U87" s="130" t="s">
        <v>53</v>
      </c>
      <c r="V87" s="129" t="s">
        <v>4342</v>
      </c>
      <c r="W87" s="129"/>
      <c r="X87" s="129" t="s">
        <v>21</v>
      </c>
    </row>
    <row r="88" spans="1:24" ht="26.25" hidden="1" customHeight="1">
      <c r="A88" s="17">
        <f t="shared" si="1"/>
        <v>85</v>
      </c>
      <c r="B88" s="18" t="s">
        <v>132</v>
      </c>
      <c r="C88" s="31" t="s">
        <v>631</v>
      </c>
      <c r="D88" s="19" t="s">
        <v>632</v>
      </c>
      <c r="E88" s="20" t="s">
        <v>633</v>
      </c>
      <c r="F88" s="32" t="s">
        <v>170</v>
      </c>
      <c r="G88" s="22" t="s">
        <v>53</v>
      </c>
      <c r="H88" s="23" t="s">
        <v>634</v>
      </c>
      <c r="I88" s="24" t="s">
        <v>55</v>
      </c>
      <c r="J88" s="1" t="str">
        <f t="shared" si="0"/>
        <v/>
      </c>
      <c r="K88" s="1"/>
      <c r="L88" s="1"/>
      <c r="M88" s="130">
        <v>85</v>
      </c>
      <c r="N88" s="130" t="s">
        <v>4337</v>
      </c>
      <c r="O88" s="136" t="s">
        <v>2067</v>
      </c>
      <c r="P88" s="137" t="s">
        <v>447</v>
      </c>
      <c r="Q88" s="130" t="s">
        <v>2069</v>
      </c>
      <c r="R88" s="130">
        <v>12</v>
      </c>
      <c r="S88" s="130" t="s">
        <v>4347</v>
      </c>
      <c r="T88" s="130" t="s">
        <v>4460</v>
      </c>
      <c r="U88" s="130" t="s">
        <v>53</v>
      </c>
      <c r="V88" s="129" t="s">
        <v>4342</v>
      </c>
      <c r="W88" s="129"/>
      <c r="X88" s="129" t="s">
        <v>21</v>
      </c>
    </row>
    <row r="89" spans="1:24" ht="26.25" hidden="1" customHeight="1">
      <c r="A89" s="17">
        <f t="shared" si="1"/>
        <v>86</v>
      </c>
      <c r="B89" s="18" t="s">
        <v>13</v>
      </c>
      <c r="C89" s="31" t="s">
        <v>637</v>
      </c>
      <c r="D89" s="19" t="s">
        <v>638</v>
      </c>
      <c r="E89" s="20" t="s">
        <v>639</v>
      </c>
      <c r="F89" s="32">
        <v>2019</v>
      </c>
      <c r="G89" s="22" t="s">
        <v>53</v>
      </c>
      <c r="H89" s="23" t="s">
        <v>640</v>
      </c>
      <c r="I89" s="24" t="s">
        <v>55</v>
      </c>
      <c r="J89" s="1" t="str">
        <f t="shared" si="0"/>
        <v/>
      </c>
      <c r="K89" s="1"/>
      <c r="L89" s="1"/>
      <c r="M89" s="130">
        <v>86</v>
      </c>
      <c r="N89" s="130" t="s">
        <v>4337</v>
      </c>
      <c r="O89" s="131" t="s">
        <v>2083</v>
      </c>
      <c r="P89" s="130" t="s">
        <v>1078</v>
      </c>
      <c r="Q89" s="130" t="s">
        <v>2084</v>
      </c>
      <c r="R89" s="130">
        <v>12</v>
      </c>
      <c r="S89" s="129"/>
      <c r="T89" s="130" t="s">
        <v>4467</v>
      </c>
      <c r="U89" s="130" t="s">
        <v>53</v>
      </c>
      <c r="V89" s="129" t="s">
        <v>4342</v>
      </c>
      <c r="W89" s="129"/>
      <c r="X89" s="129" t="s">
        <v>21</v>
      </c>
    </row>
    <row r="90" spans="1:24" ht="26.25" hidden="1" customHeight="1">
      <c r="A90" s="17">
        <f t="shared" si="1"/>
        <v>87</v>
      </c>
      <c r="B90" s="18" t="s">
        <v>642</v>
      </c>
      <c r="C90" s="31" t="s">
        <v>643</v>
      </c>
      <c r="D90" s="19" t="s">
        <v>643</v>
      </c>
      <c r="E90" s="20" t="s">
        <v>644</v>
      </c>
      <c r="F90" s="32" t="s">
        <v>603</v>
      </c>
      <c r="G90" s="33" t="s">
        <v>53</v>
      </c>
      <c r="H90" s="23" t="s">
        <v>645</v>
      </c>
      <c r="I90" s="24" t="s">
        <v>55</v>
      </c>
      <c r="J90" s="1" t="str">
        <f t="shared" si="0"/>
        <v/>
      </c>
      <c r="K90" s="1"/>
      <c r="L90" s="1"/>
      <c r="M90" s="130">
        <v>87</v>
      </c>
      <c r="N90" s="130" t="s">
        <v>4337</v>
      </c>
      <c r="O90" s="131" t="s">
        <v>4468</v>
      </c>
      <c r="P90" s="130" t="s">
        <v>558</v>
      </c>
      <c r="Q90" s="130" t="s">
        <v>3380</v>
      </c>
      <c r="R90" s="130">
        <v>8</v>
      </c>
      <c r="S90" s="129"/>
      <c r="T90" s="130" t="s">
        <v>4469</v>
      </c>
      <c r="U90" s="129"/>
      <c r="V90" s="129"/>
      <c r="W90" s="129"/>
      <c r="X90" s="129" t="s">
        <v>21</v>
      </c>
    </row>
    <row r="91" spans="1:24" ht="26.25" hidden="1" customHeight="1">
      <c r="A91" s="17">
        <f t="shared" si="1"/>
        <v>88</v>
      </c>
      <c r="B91" s="18" t="s">
        <v>13</v>
      </c>
      <c r="C91" s="31" t="s">
        <v>649</v>
      </c>
      <c r="D91" s="19" t="s">
        <v>650</v>
      </c>
      <c r="E91" s="20" t="s">
        <v>651</v>
      </c>
      <c r="F91" s="32" t="s">
        <v>170</v>
      </c>
      <c r="G91" s="22" t="s">
        <v>63</v>
      </c>
      <c r="H91" s="23" t="s">
        <v>652</v>
      </c>
      <c r="I91" s="24" t="s">
        <v>55</v>
      </c>
      <c r="J91" s="1" t="str">
        <f t="shared" si="0"/>
        <v/>
      </c>
      <c r="K91" s="1"/>
      <c r="L91" s="1"/>
      <c r="M91" s="130">
        <v>88</v>
      </c>
      <c r="N91" s="130" t="s">
        <v>4337</v>
      </c>
      <c r="O91" s="131" t="s">
        <v>2105</v>
      </c>
      <c r="P91" s="130" t="s">
        <v>255</v>
      </c>
      <c r="Q91" s="130" t="s">
        <v>2106</v>
      </c>
      <c r="R91" s="130">
        <v>4</v>
      </c>
      <c r="S91" s="130" t="s">
        <v>4347</v>
      </c>
      <c r="T91" s="130" t="s">
        <v>4470</v>
      </c>
      <c r="U91" s="129"/>
      <c r="V91" s="129"/>
      <c r="W91" s="129"/>
      <c r="X91" s="129" t="s">
        <v>21</v>
      </c>
    </row>
    <row r="92" spans="1:24" ht="26.25" hidden="1" customHeight="1">
      <c r="A92" s="17">
        <f t="shared" si="1"/>
        <v>89</v>
      </c>
      <c r="B92" s="18" t="s">
        <v>27</v>
      </c>
      <c r="C92" s="31" t="s">
        <v>656</v>
      </c>
      <c r="D92" s="19" t="s">
        <v>657</v>
      </c>
      <c r="E92" s="20" t="s">
        <v>658</v>
      </c>
      <c r="F92" s="32" t="s">
        <v>659</v>
      </c>
      <c r="G92" s="22" t="s">
        <v>42</v>
      </c>
      <c r="H92" s="23" t="s">
        <v>660</v>
      </c>
      <c r="I92" s="24" t="s">
        <v>55</v>
      </c>
      <c r="J92" s="1" t="str">
        <f t="shared" si="0"/>
        <v/>
      </c>
      <c r="K92" s="1"/>
      <c r="L92" s="1"/>
      <c r="M92" s="130">
        <v>89</v>
      </c>
      <c r="N92" s="130" t="s">
        <v>4337</v>
      </c>
      <c r="O92" s="131" t="s">
        <v>2108</v>
      </c>
      <c r="P92" s="130" t="s">
        <v>1078</v>
      </c>
      <c r="Q92" s="130" t="s">
        <v>2109</v>
      </c>
      <c r="R92" s="130">
        <v>6</v>
      </c>
      <c r="S92" s="129"/>
      <c r="T92" s="130" t="s">
        <v>4471</v>
      </c>
      <c r="U92" s="130" t="s">
        <v>53</v>
      </c>
      <c r="V92" s="129" t="s">
        <v>4342</v>
      </c>
      <c r="W92" s="129"/>
      <c r="X92" s="129" t="s">
        <v>21</v>
      </c>
    </row>
    <row r="93" spans="1:24" ht="26.25" hidden="1" customHeight="1">
      <c r="A93" s="17">
        <f t="shared" si="1"/>
        <v>90</v>
      </c>
      <c r="B93" s="18" t="s">
        <v>27</v>
      </c>
      <c r="C93" s="31" t="s">
        <v>664</v>
      </c>
      <c r="D93" s="19" t="s">
        <v>665</v>
      </c>
      <c r="E93" s="20" t="s">
        <v>666</v>
      </c>
      <c r="F93" s="32" t="s">
        <v>667</v>
      </c>
      <c r="G93" s="22" t="s">
        <v>42</v>
      </c>
      <c r="H93" s="23" t="s">
        <v>668</v>
      </c>
      <c r="I93" s="24" t="s">
        <v>55</v>
      </c>
      <c r="J93" s="1" t="str">
        <f t="shared" si="0"/>
        <v/>
      </c>
      <c r="K93" s="1"/>
      <c r="L93" s="1"/>
      <c r="M93" s="130">
        <v>90</v>
      </c>
      <c r="N93" s="130" t="s">
        <v>4337</v>
      </c>
      <c r="O93" s="136" t="s">
        <v>2112</v>
      </c>
      <c r="P93" s="137" t="s">
        <v>447</v>
      </c>
      <c r="Q93" s="130" t="s">
        <v>2113</v>
      </c>
      <c r="R93" s="130">
        <v>12</v>
      </c>
      <c r="S93" s="130" t="s">
        <v>4347</v>
      </c>
      <c r="T93" s="130" t="s">
        <v>4460</v>
      </c>
      <c r="U93" s="130" t="s">
        <v>53</v>
      </c>
      <c r="V93" s="129" t="s">
        <v>4342</v>
      </c>
      <c r="W93" s="129"/>
      <c r="X93" s="129" t="s">
        <v>21</v>
      </c>
    </row>
    <row r="94" spans="1:24" ht="26.25" hidden="1" customHeight="1">
      <c r="A94" s="17">
        <f t="shared" si="1"/>
        <v>91</v>
      </c>
      <c r="B94" s="18" t="s">
        <v>27</v>
      </c>
      <c r="C94" s="31" t="s">
        <v>672</v>
      </c>
      <c r="D94" s="19" t="s">
        <v>673</v>
      </c>
      <c r="E94" s="20" t="s">
        <v>674</v>
      </c>
      <c r="F94" s="21" t="s">
        <v>675</v>
      </c>
      <c r="G94" s="22" t="s">
        <v>42</v>
      </c>
      <c r="H94" s="23" t="s">
        <v>676</v>
      </c>
      <c r="I94" s="34" t="s">
        <v>20</v>
      </c>
      <c r="J94" s="1" t="str">
        <f t="shared" si="0"/>
        <v>과기</v>
      </c>
      <c r="K94" s="25"/>
      <c r="L94" s="25"/>
      <c r="M94" s="133">
        <v>91</v>
      </c>
      <c r="N94" s="133" t="s">
        <v>4337</v>
      </c>
      <c r="O94" s="138" t="s">
        <v>4472</v>
      </c>
      <c r="P94" s="139" t="s">
        <v>447</v>
      </c>
      <c r="Q94" s="133" t="s">
        <v>2117</v>
      </c>
      <c r="R94" s="140">
        <v>12</v>
      </c>
      <c r="S94" s="133" t="s">
        <v>4347</v>
      </c>
      <c r="T94" s="133" t="s">
        <v>4460</v>
      </c>
      <c r="U94" s="133" t="s">
        <v>53</v>
      </c>
      <c r="V94" s="135" t="s">
        <v>4342</v>
      </c>
      <c r="W94" s="135"/>
      <c r="X94" s="135" t="s">
        <v>21</v>
      </c>
    </row>
    <row r="95" spans="1:24" ht="26.25" hidden="1" customHeight="1">
      <c r="A95" s="17">
        <f t="shared" si="1"/>
        <v>92</v>
      </c>
      <c r="B95" s="18" t="s">
        <v>175</v>
      </c>
      <c r="C95" s="31" t="s">
        <v>679</v>
      </c>
      <c r="D95" s="19" t="s">
        <v>374</v>
      </c>
      <c r="E95" s="20" t="s">
        <v>680</v>
      </c>
      <c r="F95" s="32" t="s">
        <v>681</v>
      </c>
      <c r="G95" s="33" t="s">
        <v>42</v>
      </c>
      <c r="H95" s="23" t="s">
        <v>682</v>
      </c>
      <c r="I95" s="24" t="s">
        <v>55</v>
      </c>
      <c r="J95" s="1" t="str">
        <f t="shared" si="0"/>
        <v/>
      </c>
      <c r="K95" s="1"/>
      <c r="L95" s="1"/>
      <c r="M95" s="130">
        <v>92</v>
      </c>
      <c r="N95" s="130" t="s">
        <v>4337</v>
      </c>
      <c r="O95" s="136" t="s">
        <v>4473</v>
      </c>
      <c r="P95" s="137" t="s">
        <v>447</v>
      </c>
      <c r="Q95" s="130" t="s">
        <v>2120</v>
      </c>
      <c r="R95" s="130">
        <v>4</v>
      </c>
      <c r="S95" s="130" t="s">
        <v>4347</v>
      </c>
      <c r="T95" s="130" t="s">
        <v>4474</v>
      </c>
      <c r="U95" s="130" t="s">
        <v>53</v>
      </c>
      <c r="V95" s="129" t="s">
        <v>4342</v>
      </c>
      <c r="W95" s="129"/>
      <c r="X95" s="129" t="s">
        <v>21</v>
      </c>
    </row>
    <row r="96" spans="1:24" ht="26.25" hidden="1" customHeight="1">
      <c r="A96" s="17">
        <f t="shared" si="1"/>
        <v>93</v>
      </c>
      <c r="B96" s="18" t="s">
        <v>175</v>
      </c>
      <c r="C96" s="31" t="s">
        <v>685</v>
      </c>
      <c r="D96" s="19" t="s">
        <v>277</v>
      </c>
      <c r="E96" s="20" t="s">
        <v>686</v>
      </c>
      <c r="F96" s="32" t="s">
        <v>687</v>
      </c>
      <c r="G96" s="33" t="s">
        <v>63</v>
      </c>
      <c r="H96" s="23" t="s">
        <v>688</v>
      </c>
      <c r="I96" s="24" t="s">
        <v>55</v>
      </c>
      <c r="J96" s="1" t="str">
        <f t="shared" si="0"/>
        <v/>
      </c>
      <c r="K96" s="1"/>
      <c r="L96" s="1"/>
      <c r="M96" s="130">
        <v>93</v>
      </c>
      <c r="N96" s="130" t="s">
        <v>4337</v>
      </c>
      <c r="O96" s="131" t="s">
        <v>2123</v>
      </c>
      <c r="P96" s="130" t="s">
        <v>1078</v>
      </c>
      <c r="Q96" s="130" t="s">
        <v>2124</v>
      </c>
      <c r="R96" s="130">
        <v>12</v>
      </c>
      <c r="S96" s="129"/>
      <c r="T96" s="130" t="s">
        <v>4475</v>
      </c>
      <c r="U96" s="130" t="s">
        <v>53</v>
      </c>
      <c r="V96" s="129" t="s">
        <v>4342</v>
      </c>
      <c r="W96" s="129"/>
      <c r="X96" s="129" t="s">
        <v>21</v>
      </c>
    </row>
    <row r="97" spans="1:24" ht="26.25" hidden="1" customHeight="1">
      <c r="A97" s="17">
        <f t="shared" si="1"/>
        <v>94</v>
      </c>
      <c r="B97" s="18" t="s">
        <v>175</v>
      </c>
      <c r="C97" s="31" t="s">
        <v>691</v>
      </c>
      <c r="D97" s="19" t="s">
        <v>692</v>
      </c>
      <c r="E97" s="20" t="s">
        <v>66</v>
      </c>
      <c r="F97" s="32" t="s">
        <v>693</v>
      </c>
      <c r="G97" s="33" t="s">
        <v>42</v>
      </c>
      <c r="H97" s="23" t="s">
        <v>694</v>
      </c>
      <c r="I97" s="24" t="s">
        <v>55</v>
      </c>
      <c r="J97" s="1" t="str">
        <f t="shared" si="0"/>
        <v/>
      </c>
      <c r="K97" s="1"/>
      <c r="L97" s="1"/>
      <c r="M97" s="130">
        <v>94</v>
      </c>
      <c r="N97" s="130" t="s">
        <v>4337</v>
      </c>
      <c r="O97" s="131" t="s">
        <v>4476</v>
      </c>
      <c r="P97" s="130" t="s">
        <v>1078</v>
      </c>
      <c r="Q97" s="130" t="s">
        <v>2128</v>
      </c>
      <c r="R97" s="130">
        <v>12</v>
      </c>
      <c r="S97" s="129"/>
      <c r="T97" s="130" t="s">
        <v>4477</v>
      </c>
      <c r="U97" s="130" t="s">
        <v>53</v>
      </c>
      <c r="V97" s="129" t="s">
        <v>4342</v>
      </c>
      <c r="W97" s="129"/>
      <c r="X97" s="129" t="s">
        <v>21</v>
      </c>
    </row>
    <row r="98" spans="1:24" ht="26.25" hidden="1" customHeight="1">
      <c r="A98" s="17">
        <f t="shared" si="1"/>
        <v>95</v>
      </c>
      <c r="B98" s="18" t="s">
        <v>175</v>
      </c>
      <c r="C98" s="31" t="s">
        <v>697</v>
      </c>
      <c r="D98" s="19" t="s">
        <v>698</v>
      </c>
      <c r="E98" s="20" t="s">
        <v>699</v>
      </c>
      <c r="F98" s="32" t="s">
        <v>700</v>
      </c>
      <c r="G98" s="33" t="s">
        <v>42</v>
      </c>
      <c r="H98" s="23" t="s">
        <v>701</v>
      </c>
      <c r="I98" s="24" t="s">
        <v>55</v>
      </c>
      <c r="J98" s="1" t="str">
        <f t="shared" si="0"/>
        <v/>
      </c>
      <c r="K98" s="1"/>
      <c r="L98" s="1"/>
      <c r="M98" s="130">
        <v>95</v>
      </c>
      <c r="N98" s="130" t="s">
        <v>4337</v>
      </c>
      <c r="O98" s="136" t="s">
        <v>2149</v>
      </c>
      <c r="P98" s="137" t="s">
        <v>447</v>
      </c>
      <c r="Q98" s="130" t="s">
        <v>2150</v>
      </c>
      <c r="R98" s="130">
        <v>12</v>
      </c>
      <c r="S98" s="130" t="s">
        <v>4347</v>
      </c>
      <c r="T98" s="130" t="s">
        <v>4460</v>
      </c>
      <c r="U98" s="130" t="s">
        <v>53</v>
      </c>
      <c r="V98" s="129" t="s">
        <v>4342</v>
      </c>
      <c r="W98" s="129"/>
      <c r="X98" s="129" t="s">
        <v>21</v>
      </c>
    </row>
    <row r="99" spans="1:24" ht="26.25" hidden="1" customHeight="1">
      <c r="A99" s="17">
        <f t="shared" si="1"/>
        <v>96</v>
      </c>
      <c r="B99" s="18" t="s">
        <v>175</v>
      </c>
      <c r="C99" s="31" t="s">
        <v>702</v>
      </c>
      <c r="D99" s="19" t="s">
        <v>374</v>
      </c>
      <c r="E99" s="20" t="s">
        <v>703</v>
      </c>
      <c r="F99" s="32" t="s">
        <v>704</v>
      </c>
      <c r="G99" s="33" t="s">
        <v>42</v>
      </c>
      <c r="H99" s="23" t="s">
        <v>705</v>
      </c>
      <c r="I99" s="24" t="s">
        <v>55</v>
      </c>
      <c r="J99" s="1" t="str">
        <f t="shared" si="0"/>
        <v/>
      </c>
      <c r="K99" s="1"/>
      <c r="L99" s="1"/>
      <c r="M99" s="130">
        <v>96</v>
      </c>
      <c r="N99" s="130" t="s">
        <v>4337</v>
      </c>
      <c r="O99" s="131" t="s">
        <v>2153</v>
      </c>
      <c r="P99" s="130" t="s">
        <v>1078</v>
      </c>
      <c r="Q99" s="130" t="s">
        <v>2154</v>
      </c>
      <c r="R99" s="130">
        <v>12</v>
      </c>
      <c r="S99" s="129"/>
      <c r="T99" s="130" t="s">
        <v>4477</v>
      </c>
      <c r="U99" s="130" t="s">
        <v>53</v>
      </c>
      <c r="V99" s="129" t="s">
        <v>4342</v>
      </c>
      <c r="W99" s="129"/>
      <c r="X99" s="129" t="s">
        <v>21</v>
      </c>
    </row>
    <row r="100" spans="1:24" ht="26.25" hidden="1" customHeight="1">
      <c r="A100" s="17">
        <f t="shared" si="1"/>
        <v>97</v>
      </c>
      <c r="B100" s="18" t="s">
        <v>175</v>
      </c>
      <c r="C100" s="31" t="s">
        <v>706</v>
      </c>
      <c r="D100" s="19" t="s">
        <v>124</v>
      </c>
      <c r="E100" s="20" t="s">
        <v>707</v>
      </c>
      <c r="F100" s="32" t="s">
        <v>708</v>
      </c>
      <c r="G100" s="33" t="s">
        <v>42</v>
      </c>
      <c r="H100" s="23" t="s">
        <v>709</v>
      </c>
      <c r="I100" s="24" t="s">
        <v>55</v>
      </c>
      <c r="J100" s="1" t="str">
        <f t="shared" si="0"/>
        <v/>
      </c>
      <c r="K100" s="1"/>
      <c r="L100" s="1"/>
      <c r="M100" s="130">
        <v>97</v>
      </c>
      <c r="N100" s="130" t="s">
        <v>4337</v>
      </c>
      <c r="O100" s="136" t="s">
        <v>2159</v>
      </c>
      <c r="P100" s="137" t="s">
        <v>447</v>
      </c>
      <c r="Q100" s="130" t="s">
        <v>2160</v>
      </c>
      <c r="R100" s="130">
        <v>12</v>
      </c>
      <c r="S100" s="130" t="s">
        <v>4347</v>
      </c>
      <c r="T100" s="130" t="s">
        <v>4460</v>
      </c>
      <c r="U100" s="130" t="s">
        <v>53</v>
      </c>
      <c r="V100" s="129" t="s">
        <v>4342</v>
      </c>
      <c r="W100" s="129"/>
      <c r="X100" s="129" t="s">
        <v>21</v>
      </c>
    </row>
    <row r="101" spans="1:24" ht="26.25" hidden="1" customHeight="1">
      <c r="A101" s="17">
        <f t="shared" si="1"/>
        <v>98</v>
      </c>
      <c r="B101" s="18" t="s">
        <v>175</v>
      </c>
      <c r="C101" s="31" t="s">
        <v>710</v>
      </c>
      <c r="D101" s="19" t="s">
        <v>374</v>
      </c>
      <c r="E101" s="20" t="s">
        <v>711</v>
      </c>
      <c r="F101" s="32" t="s">
        <v>712</v>
      </c>
      <c r="G101" s="33" t="s">
        <v>42</v>
      </c>
      <c r="H101" s="23" t="s">
        <v>713</v>
      </c>
      <c r="I101" s="24" t="s">
        <v>55</v>
      </c>
      <c r="J101" s="1" t="str">
        <f t="shared" si="0"/>
        <v/>
      </c>
      <c r="K101" s="1"/>
      <c r="L101" s="1"/>
      <c r="M101" s="130">
        <v>98</v>
      </c>
      <c r="N101" s="130" t="s">
        <v>4337</v>
      </c>
      <c r="O101" s="131" t="s">
        <v>2168</v>
      </c>
      <c r="P101" s="130" t="s">
        <v>1078</v>
      </c>
      <c r="Q101" s="130" t="s">
        <v>2169</v>
      </c>
      <c r="R101" s="130">
        <v>12</v>
      </c>
      <c r="S101" s="129"/>
      <c r="T101" s="130" t="s">
        <v>4478</v>
      </c>
      <c r="U101" s="130" t="s">
        <v>53</v>
      </c>
      <c r="V101" s="129" t="s">
        <v>4342</v>
      </c>
      <c r="W101" s="129"/>
      <c r="X101" s="129" t="s">
        <v>21</v>
      </c>
    </row>
    <row r="102" spans="1:24" ht="26.25" hidden="1" customHeight="1">
      <c r="A102" s="17">
        <f t="shared" si="1"/>
        <v>99</v>
      </c>
      <c r="B102" s="18" t="s">
        <v>175</v>
      </c>
      <c r="C102" s="31" t="s">
        <v>714</v>
      </c>
      <c r="D102" s="19" t="s">
        <v>308</v>
      </c>
      <c r="E102" s="20" t="s">
        <v>715</v>
      </c>
      <c r="F102" s="32" t="s">
        <v>716</v>
      </c>
      <c r="G102" s="33" t="s">
        <v>42</v>
      </c>
      <c r="H102" s="23" t="s">
        <v>717</v>
      </c>
      <c r="I102" s="24" t="s">
        <v>55</v>
      </c>
      <c r="J102" s="1" t="str">
        <f t="shared" si="0"/>
        <v/>
      </c>
      <c r="K102" s="1"/>
      <c r="L102" s="1"/>
      <c r="M102" s="130">
        <v>99</v>
      </c>
      <c r="N102" s="130" t="s">
        <v>4337</v>
      </c>
      <c r="O102" s="131" t="s">
        <v>2171</v>
      </c>
      <c r="P102" s="130" t="s">
        <v>255</v>
      </c>
      <c r="Q102" s="130" t="s">
        <v>2172</v>
      </c>
      <c r="R102" s="130">
        <v>6</v>
      </c>
      <c r="S102" s="130" t="s">
        <v>4347</v>
      </c>
      <c r="T102" s="130" t="s">
        <v>4479</v>
      </c>
      <c r="U102" s="129"/>
      <c r="V102" s="129"/>
      <c r="W102" s="129"/>
      <c r="X102" s="129" t="s">
        <v>21</v>
      </c>
    </row>
    <row r="103" spans="1:24" ht="26.25" hidden="1" customHeight="1">
      <c r="A103" s="17">
        <f t="shared" si="1"/>
        <v>100</v>
      </c>
      <c r="B103" s="18" t="s">
        <v>175</v>
      </c>
      <c r="C103" s="31" t="s">
        <v>721</v>
      </c>
      <c r="D103" s="19" t="s">
        <v>722</v>
      </c>
      <c r="E103" s="20" t="s">
        <v>723</v>
      </c>
      <c r="F103" s="32" t="s">
        <v>252</v>
      </c>
      <c r="G103" s="33" t="s">
        <v>42</v>
      </c>
      <c r="H103" s="23" t="s">
        <v>724</v>
      </c>
      <c r="I103" s="24" t="s">
        <v>55</v>
      </c>
      <c r="J103" s="1" t="str">
        <f t="shared" si="0"/>
        <v/>
      </c>
      <c r="K103" s="1"/>
      <c r="L103" s="1"/>
      <c r="M103" s="130">
        <v>100</v>
      </c>
      <c r="N103" s="130" t="s">
        <v>4337</v>
      </c>
      <c r="O103" s="131" t="s">
        <v>2178</v>
      </c>
      <c r="P103" s="130" t="s">
        <v>1078</v>
      </c>
      <c r="Q103" s="130" t="s">
        <v>2179</v>
      </c>
      <c r="R103" s="130">
        <v>12</v>
      </c>
      <c r="S103" s="129"/>
      <c r="T103" s="130" t="s">
        <v>4480</v>
      </c>
      <c r="U103" s="130" t="s">
        <v>53</v>
      </c>
      <c r="V103" s="129" t="s">
        <v>4342</v>
      </c>
      <c r="W103" s="129"/>
      <c r="X103" s="129" t="s">
        <v>21</v>
      </c>
    </row>
    <row r="104" spans="1:24" ht="26.25" hidden="1" customHeight="1">
      <c r="A104" s="17">
        <f t="shared" si="1"/>
        <v>101</v>
      </c>
      <c r="B104" s="18" t="s">
        <v>175</v>
      </c>
      <c r="C104" s="31" t="s">
        <v>728</v>
      </c>
      <c r="D104" s="19" t="s">
        <v>729</v>
      </c>
      <c r="E104" s="20" t="s">
        <v>730</v>
      </c>
      <c r="F104" s="21" t="s">
        <v>135</v>
      </c>
      <c r="G104" s="33" t="s">
        <v>42</v>
      </c>
      <c r="H104" s="23" t="s">
        <v>731</v>
      </c>
      <c r="I104" s="34" t="s">
        <v>20</v>
      </c>
      <c r="J104" s="1" t="str">
        <f t="shared" si="0"/>
        <v>과기</v>
      </c>
      <c r="K104" s="25"/>
      <c r="L104" s="25"/>
      <c r="M104" s="133">
        <v>101</v>
      </c>
      <c r="N104" s="133" t="s">
        <v>4337</v>
      </c>
      <c r="O104" s="134" t="s">
        <v>4481</v>
      </c>
      <c r="P104" s="133" t="s">
        <v>558</v>
      </c>
      <c r="Q104" s="133" t="s">
        <v>2187</v>
      </c>
      <c r="R104" s="133">
        <v>20</v>
      </c>
      <c r="S104" s="135"/>
      <c r="T104" s="133" t="s">
        <v>4482</v>
      </c>
      <c r="U104" s="135"/>
      <c r="V104" s="135"/>
      <c r="W104" s="135"/>
      <c r="X104" s="135" t="s">
        <v>21</v>
      </c>
    </row>
    <row r="105" spans="1:24" ht="26.25" hidden="1" customHeight="1">
      <c r="A105" s="17">
        <f t="shared" si="1"/>
        <v>102</v>
      </c>
      <c r="B105" s="18" t="s">
        <v>175</v>
      </c>
      <c r="C105" s="31" t="s">
        <v>735</v>
      </c>
      <c r="D105" s="19" t="s">
        <v>736</v>
      </c>
      <c r="E105" s="20" t="s">
        <v>737</v>
      </c>
      <c r="F105" s="32" t="s">
        <v>738</v>
      </c>
      <c r="G105" s="33" t="s">
        <v>42</v>
      </c>
      <c r="H105" s="23" t="s">
        <v>739</v>
      </c>
      <c r="I105" s="24" t="s">
        <v>55</v>
      </c>
      <c r="J105" s="1" t="str">
        <f t="shared" si="0"/>
        <v/>
      </c>
      <c r="K105" s="1"/>
      <c r="L105" s="1"/>
      <c r="M105" s="130">
        <v>102</v>
      </c>
      <c r="N105" s="130" t="s">
        <v>4337</v>
      </c>
      <c r="O105" s="131" t="s">
        <v>2202</v>
      </c>
      <c r="P105" s="130" t="s">
        <v>1078</v>
      </c>
      <c r="Q105" s="130" t="s">
        <v>2203</v>
      </c>
      <c r="R105" s="130">
        <v>6</v>
      </c>
      <c r="S105" s="129"/>
      <c r="T105" s="130" t="s">
        <v>4483</v>
      </c>
      <c r="U105" s="130" t="s">
        <v>53</v>
      </c>
      <c r="V105" s="129" t="s">
        <v>4342</v>
      </c>
      <c r="W105" s="129"/>
      <c r="X105" s="129" t="s">
        <v>21</v>
      </c>
    </row>
    <row r="106" spans="1:24" ht="26.25" hidden="1" customHeight="1">
      <c r="A106" s="17">
        <f t="shared" si="1"/>
        <v>103</v>
      </c>
      <c r="B106" s="18" t="s">
        <v>233</v>
      </c>
      <c r="C106" s="31" t="s">
        <v>742</v>
      </c>
      <c r="D106" s="19" t="s">
        <v>743</v>
      </c>
      <c r="E106" s="20" t="s">
        <v>744</v>
      </c>
      <c r="F106" s="32" t="s">
        <v>52</v>
      </c>
      <c r="G106" s="22" t="s">
        <v>53</v>
      </c>
      <c r="H106" s="23" t="s">
        <v>745</v>
      </c>
      <c r="I106" s="34" t="s">
        <v>55</v>
      </c>
      <c r="J106" s="1" t="str">
        <f t="shared" si="0"/>
        <v/>
      </c>
      <c r="K106" s="25"/>
      <c r="L106" s="25"/>
      <c r="M106" s="133">
        <v>103</v>
      </c>
      <c r="N106" s="133" t="s">
        <v>4337</v>
      </c>
      <c r="O106" s="138" t="s">
        <v>4484</v>
      </c>
      <c r="P106" s="139" t="s">
        <v>447</v>
      </c>
      <c r="Q106" s="133" t="s">
        <v>2206</v>
      </c>
      <c r="R106" s="133">
        <v>12</v>
      </c>
      <c r="S106" s="133" t="s">
        <v>4347</v>
      </c>
      <c r="T106" s="133" t="s">
        <v>4460</v>
      </c>
      <c r="U106" s="133" t="s">
        <v>53</v>
      </c>
      <c r="V106" s="135" t="s">
        <v>4342</v>
      </c>
      <c r="W106" s="135"/>
      <c r="X106" s="135" t="s">
        <v>21</v>
      </c>
    </row>
    <row r="107" spans="1:24" ht="26.25" hidden="1" customHeight="1">
      <c r="A107" s="17">
        <f t="shared" si="1"/>
        <v>104</v>
      </c>
      <c r="B107" s="18" t="s">
        <v>13</v>
      </c>
      <c r="C107" s="31" t="s">
        <v>747</v>
      </c>
      <c r="D107" s="19" t="s">
        <v>748</v>
      </c>
      <c r="E107" s="20" t="s">
        <v>749</v>
      </c>
      <c r="F107" s="32" t="s">
        <v>209</v>
      </c>
      <c r="G107" s="22" t="s">
        <v>42</v>
      </c>
      <c r="H107" s="23" t="s">
        <v>750</v>
      </c>
      <c r="I107" s="24" t="s">
        <v>55</v>
      </c>
      <c r="J107" s="1" t="str">
        <f t="shared" si="0"/>
        <v/>
      </c>
      <c r="K107" s="1"/>
      <c r="L107" s="1"/>
      <c r="M107" s="130">
        <v>104</v>
      </c>
      <c r="N107" s="130" t="s">
        <v>4337</v>
      </c>
      <c r="O107" s="131" t="s">
        <v>2231</v>
      </c>
      <c r="P107" s="130" t="s">
        <v>1078</v>
      </c>
      <c r="Q107" s="130" t="s">
        <v>2232</v>
      </c>
      <c r="R107" s="130">
        <v>12</v>
      </c>
      <c r="S107" s="129"/>
      <c r="T107" s="130" t="s">
        <v>4485</v>
      </c>
      <c r="U107" s="130" t="s">
        <v>53</v>
      </c>
      <c r="V107" s="129" t="s">
        <v>4342</v>
      </c>
      <c r="W107" s="129"/>
      <c r="X107" s="129" t="s">
        <v>21</v>
      </c>
    </row>
    <row r="108" spans="1:24" ht="26.25" customHeight="1">
      <c r="A108" s="17">
        <f t="shared" si="1"/>
        <v>105</v>
      </c>
      <c r="B108" s="18" t="s">
        <v>13</v>
      </c>
      <c r="C108" s="19" t="s">
        <v>752</v>
      </c>
      <c r="D108" s="19" t="s">
        <v>753</v>
      </c>
      <c r="E108" s="20" t="s">
        <v>754</v>
      </c>
      <c r="F108" s="21" t="s">
        <v>135</v>
      </c>
      <c r="G108" s="22" t="s">
        <v>63</v>
      </c>
      <c r="H108" s="23" t="s">
        <v>755</v>
      </c>
      <c r="I108" s="24" t="s">
        <v>20</v>
      </c>
      <c r="J108" s="1" t="str">
        <f t="shared" si="0"/>
        <v>FRIC</v>
      </c>
      <c r="K108" s="1"/>
      <c r="L108" s="1"/>
      <c r="M108" s="130">
        <v>105</v>
      </c>
      <c r="N108" s="130" t="s">
        <v>4337</v>
      </c>
      <c r="O108" s="131" t="s">
        <v>2234</v>
      </c>
      <c r="P108" s="130" t="s">
        <v>4436</v>
      </c>
      <c r="Q108" s="130" t="s">
        <v>2235</v>
      </c>
      <c r="R108" s="130">
        <v>24</v>
      </c>
      <c r="S108" s="130" t="s">
        <v>4347</v>
      </c>
      <c r="T108" s="130" t="s">
        <v>4486</v>
      </c>
      <c r="U108" s="129"/>
      <c r="V108" s="129"/>
      <c r="W108" s="129"/>
      <c r="X108" s="129" t="s">
        <v>21</v>
      </c>
    </row>
    <row r="109" spans="1:24" ht="26.25" hidden="1" customHeight="1">
      <c r="A109" s="17">
        <f t="shared" si="1"/>
        <v>106</v>
      </c>
      <c r="B109" s="18" t="s">
        <v>105</v>
      </c>
      <c r="C109" s="31" t="s">
        <v>760</v>
      </c>
      <c r="D109" s="19" t="s">
        <v>761</v>
      </c>
      <c r="E109" s="20" t="s">
        <v>762</v>
      </c>
      <c r="F109" s="32" t="s">
        <v>763</v>
      </c>
      <c r="G109" s="33" t="s">
        <v>42</v>
      </c>
      <c r="H109" s="23" t="s">
        <v>764</v>
      </c>
      <c r="I109" s="24" t="s">
        <v>55</v>
      </c>
      <c r="J109" s="1" t="str">
        <f t="shared" si="0"/>
        <v/>
      </c>
      <c r="K109" s="1"/>
      <c r="L109" s="1"/>
      <c r="M109" s="130">
        <v>106</v>
      </c>
      <c r="N109" s="130" t="s">
        <v>4337</v>
      </c>
      <c r="O109" s="131" t="s">
        <v>4487</v>
      </c>
      <c r="P109" s="130" t="s">
        <v>196</v>
      </c>
      <c r="Q109" s="130" t="s">
        <v>2239</v>
      </c>
      <c r="R109" s="130">
        <v>72</v>
      </c>
      <c r="S109" s="130" t="s">
        <v>4347</v>
      </c>
      <c r="T109" s="130" t="s">
        <v>4488</v>
      </c>
      <c r="U109" s="129"/>
      <c r="V109" s="129"/>
      <c r="W109" s="129"/>
      <c r="X109" s="129" t="s">
        <v>21</v>
      </c>
    </row>
    <row r="110" spans="1:24" ht="26.25" hidden="1" customHeight="1">
      <c r="A110" s="17">
        <f t="shared" si="1"/>
        <v>107</v>
      </c>
      <c r="B110" s="18" t="s">
        <v>27</v>
      </c>
      <c r="C110" s="31" t="s">
        <v>550</v>
      </c>
      <c r="D110" s="19" t="s">
        <v>768</v>
      </c>
      <c r="E110" s="20" t="s">
        <v>551</v>
      </c>
      <c r="F110" s="32" t="s">
        <v>769</v>
      </c>
      <c r="G110" s="22" t="s">
        <v>42</v>
      </c>
      <c r="H110" s="23" t="s">
        <v>770</v>
      </c>
      <c r="I110" s="24" t="s">
        <v>55</v>
      </c>
      <c r="J110" s="1" t="str">
        <f t="shared" si="0"/>
        <v/>
      </c>
      <c r="K110" s="1"/>
      <c r="L110" s="1"/>
      <c r="M110" s="130">
        <v>107</v>
      </c>
      <c r="N110" s="130" t="s">
        <v>4337</v>
      </c>
      <c r="O110" s="131" t="s">
        <v>2262</v>
      </c>
      <c r="P110" s="130" t="s">
        <v>4489</v>
      </c>
      <c r="Q110" s="130" t="s">
        <v>2264</v>
      </c>
      <c r="R110" s="130">
        <v>5</v>
      </c>
      <c r="S110" s="130" t="s">
        <v>4347</v>
      </c>
      <c r="T110" s="130" t="s">
        <v>4490</v>
      </c>
      <c r="U110" s="130" t="s">
        <v>20</v>
      </c>
      <c r="V110" s="129"/>
      <c r="W110" s="129"/>
      <c r="X110" s="129" t="s">
        <v>21</v>
      </c>
    </row>
    <row r="111" spans="1:24" ht="26.25" hidden="1" customHeight="1">
      <c r="A111" s="17">
        <f t="shared" si="1"/>
        <v>108</v>
      </c>
      <c r="B111" s="18" t="s">
        <v>105</v>
      </c>
      <c r="C111" s="31" t="s">
        <v>774</v>
      </c>
      <c r="D111" s="19" t="s">
        <v>196</v>
      </c>
      <c r="E111" s="20" t="s">
        <v>775</v>
      </c>
      <c r="F111" s="32" t="s">
        <v>776</v>
      </c>
      <c r="G111" s="33" t="s">
        <v>42</v>
      </c>
      <c r="H111" s="23" t="s">
        <v>777</v>
      </c>
      <c r="I111" s="24" t="s">
        <v>55</v>
      </c>
      <c r="J111" s="1" t="str">
        <f t="shared" si="0"/>
        <v/>
      </c>
      <c r="K111" s="1"/>
      <c r="L111" s="1"/>
      <c r="M111" s="130">
        <v>108</v>
      </c>
      <c r="N111" s="130" t="s">
        <v>4337</v>
      </c>
      <c r="O111" s="131" t="s">
        <v>2282</v>
      </c>
      <c r="P111" s="130" t="s">
        <v>840</v>
      </c>
      <c r="Q111" s="130" t="s">
        <v>2283</v>
      </c>
      <c r="R111" s="130">
        <v>12</v>
      </c>
      <c r="S111" s="130" t="s">
        <v>4347</v>
      </c>
      <c r="T111" s="130" t="s">
        <v>4491</v>
      </c>
      <c r="U111" s="130" t="s">
        <v>53</v>
      </c>
      <c r="V111" s="129" t="s">
        <v>4394</v>
      </c>
      <c r="W111" s="129"/>
      <c r="X111" s="129" t="s">
        <v>21</v>
      </c>
    </row>
    <row r="112" spans="1:24" ht="26.25" customHeight="1">
      <c r="A112" s="17">
        <f t="shared" si="1"/>
        <v>109</v>
      </c>
      <c r="B112" s="18" t="s">
        <v>27</v>
      </c>
      <c r="C112" s="19" t="s">
        <v>781</v>
      </c>
      <c r="D112" s="19" t="s">
        <v>782</v>
      </c>
      <c r="E112" s="20" t="s">
        <v>783</v>
      </c>
      <c r="F112" s="21" t="s">
        <v>784</v>
      </c>
      <c r="G112" s="22" t="s">
        <v>42</v>
      </c>
      <c r="H112" s="23" t="s">
        <v>785</v>
      </c>
      <c r="I112" s="24" t="s">
        <v>20</v>
      </c>
      <c r="J112" s="1" t="str">
        <f t="shared" si="0"/>
        <v>FRIC</v>
      </c>
      <c r="K112" s="1"/>
      <c r="L112" s="1"/>
      <c r="M112" s="130">
        <v>109</v>
      </c>
      <c r="N112" s="130" t="s">
        <v>4337</v>
      </c>
      <c r="O112" s="131" t="s">
        <v>2286</v>
      </c>
      <c r="P112" s="130" t="s">
        <v>255</v>
      </c>
      <c r="Q112" s="130" t="s">
        <v>2288</v>
      </c>
      <c r="R112" s="130">
        <v>12</v>
      </c>
      <c r="S112" s="130" t="s">
        <v>4347</v>
      </c>
      <c r="T112" s="130" t="s">
        <v>4492</v>
      </c>
      <c r="U112" s="129"/>
      <c r="V112" s="129"/>
      <c r="W112" s="129"/>
      <c r="X112" s="129" t="s">
        <v>21</v>
      </c>
    </row>
    <row r="113" spans="1:24" ht="26.25" hidden="1" customHeight="1">
      <c r="A113" s="17">
        <f t="shared" si="1"/>
        <v>110</v>
      </c>
      <c r="B113" s="18" t="s">
        <v>105</v>
      </c>
      <c r="C113" s="31" t="s">
        <v>789</v>
      </c>
      <c r="D113" s="19" t="s">
        <v>790</v>
      </c>
      <c r="E113" s="20" t="s">
        <v>791</v>
      </c>
      <c r="F113" s="32" t="s">
        <v>170</v>
      </c>
      <c r="G113" s="33" t="s">
        <v>53</v>
      </c>
      <c r="H113" s="23" t="s">
        <v>792</v>
      </c>
      <c r="I113" s="24" t="s">
        <v>55</v>
      </c>
      <c r="J113" s="1" t="str">
        <f t="shared" si="0"/>
        <v/>
      </c>
      <c r="K113" s="1"/>
      <c r="L113" s="1"/>
      <c r="M113" s="130">
        <v>110</v>
      </c>
      <c r="N113" s="130" t="s">
        <v>4337</v>
      </c>
      <c r="O113" s="136" t="s">
        <v>4493</v>
      </c>
      <c r="P113" s="137" t="s">
        <v>447</v>
      </c>
      <c r="Q113" s="130" t="s">
        <v>2297</v>
      </c>
      <c r="R113" s="130">
        <v>6</v>
      </c>
      <c r="S113" s="130" t="s">
        <v>4347</v>
      </c>
      <c r="T113" s="130" t="s">
        <v>4494</v>
      </c>
      <c r="U113" s="130" t="s">
        <v>53</v>
      </c>
      <c r="V113" s="129" t="s">
        <v>4342</v>
      </c>
      <c r="W113" s="129"/>
      <c r="X113" s="129" t="s">
        <v>21</v>
      </c>
    </row>
    <row r="114" spans="1:24" ht="26.25" hidden="1" customHeight="1">
      <c r="A114" s="17">
        <f t="shared" si="1"/>
        <v>111</v>
      </c>
      <c r="B114" s="18" t="s">
        <v>105</v>
      </c>
      <c r="C114" s="31" t="s">
        <v>796</v>
      </c>
      <c r="D114" s="19" t="s">
        <v>797</v>
      </c>
      <c r="E114" s="20" t="s">
        <v>798</v>
      </c>
      <c r="F114" s="32" t="s">
        <v>252</v>
      </c>
      <c r="G114" s="33" t="s">
        <v>42</v>
      </c>
      <c r="H114" s="23" t="s">
        <v>799</v>
      </c>
      <c r="I114" s="24" t="s">
        <v>55</v>
      </c>
      <c r="J114" s="1" t="str">
        <f t="shared" si="0"/>
        <v/>
      </c>
      <c r="K114" s="1"/>
      <c r="L114" s="1"/>
      <c r="M114" s="130">
        <v>111</v>
      </c>
      <c r="N114" s="130" t="s">
        <v>4337</v>
      </c>
      <c r="O114" s="131" t="s">
        <v>2314</v>
      </c>
      <c r="P114" s="130" t="s">
        <v>1078</v>
      </c>
      <c r="Q114" s="130" t="s">
        <v>2315</v>
      </c>
      <c r="R114" s="130">
        <v>6</v>
      </c>
      <c r="S114" s="129"/>
      <c r="T114" s="130" t="s">
        <v>4495</v>
      </c>
      <c r="U114" s="130" t="s">
        <v>53</v>
      </c>
      <c r="V114" s="129" t="s">
        <v>4342</v>
      </c>
      <c r="W114" s="129"/>
      <c r="X114" s="129" t="s">
        <v>21</v>
      </c>
    </row>
    <row r="115" spans="1:24" ht="26.25" hidden="1" customHeight="1">
      <c r="A115" s="17">
        <f t="shared" si="1"/>
        <v>112</v>
      </c>
      <c r="B115" s="64" t="s">
        <v>27</v>
      </c>
      <c r="C115" s="31" t="s">
        <v>804</v>
      </c>
      <c r="D115" s="19" t="s">
        <v>797</v>
      </c>
      <c r="E115" s="20" t="s">
        <v>805</v>
      </c>
      <c r="F115" s="32" t="s">
        <v>681</v>
      </c>
      <c r="G115" s="22" t="s">
        <v>42</v>
      </c>
      <c r="H115" s="23" t="s">
        <v>806</v>
      </c>
      <c r="I115" s="24" t="s">
        <v>55</v>
      </c>
      <c r="J115" s="1" t="str">
        <f t="shared" si="0"/>
        <v/>
      </c>
      <c r="K115" s="1"/>
      <c r="L115" s="1"/>
      <c r="M115" s="130">
        <v>112</v>
      </c>
      <c r="N115" s="130" t="s">
        <v>4337</v>
      </c>
      <c r="O115" s="131" t="s">
        <v>2344</v>
      </c>
      <c r="P115" s="130" t="s">
        <v>112</v>
      </c>
      <c r="Q115" s="130" t="s">
        <v>2345</v>
      </c>
      <c r="R115" s="130">
        <v>10</v>
      </c>
      <c r="S115" s="129"/>
      <c r="T115" s="130" t="s">
        <v>4423</v>
      </c>
      <c r="U115" s="130" t="s">
        <v>53</v>
      </c>
      <c r="V115" s="129" t="s">
        <v>4342</v>
      </c>
      <c r="W115" s="129"/>
      <c r="X115" s="129" t="s">
        <v>21</v>
      </c>
    </row>
    <row r="116" spans="1:24" ht="26.25" customHeight="1">
      <c r="A116" s="17">
        <f t="shared" si="1"/>
        <v>113</v>
      </c>
      <c r="B116" s="18" t="s">
        <v>13</v>
      </c>
      <c r="C116" s="66" t="s">
        <v>810</v>
      </c>
      <c r="D116" s="19" t="s">
        <v>797</v>
      </c>
      <c r="E116" s="20" t="s">
        <v>811</v>
      </c>
      <c r="F116" s="21" t="s">
        <v>135</v>
      </c>
      <c r="G116" s="22" t="s">
        <v>42</v>
      </c>
      <c r="H116" s="23" t="s">
        <v>812</v>
      </c>
      <c r="I116" s="24" t="s">
        <v>20</v>
      </c>
      <c r="J116" s="1" t="str">
        <f t="shared" si="0"/>
        <v>FRIC</v>
      </c>
      <c r="K116" s="1"/>
      <c r="L116" s="1"/>
      <c r="M116" s="130">
        <v>113</v>
      </c>
      <c r="N116" s="130" t="s">
        <v>4337</v>
      </c>
      <c r="O116" s="136" t="s">
        <v>2348</v>
      </c>
      <c r="P116" s="137" t="s">
        <v>447</v>
      </c>
      <c r="Q116" s="130" t="s">
        <v>2349</v>
      </c>
      <c r="R116" s="130">
        <v>6</v>
      </c>
      <c r="S116" s="130" t="s">
        <v>4347</v>
      </c>
      <c r="T116" s="130" t="s">
        <v>4494</v>
      </c>
      <c r="U116" s="130" t="s">
        <v>53</v>
      </c>
      <c r="V116" s="129" t="s">
        <v>4342</v>
      </c>
      <c r="W116" s="129"/>
      <c r="X116" s="129" t="s">
        <v>21</v>
      </c>
    </row>
    <row r="117" spans="1:24" ht="26.25" hidden="1" customHeight="1">
      <c r="A117" s="17">
        <f t="shared" si="1"/>
        <v>114</v>
      </c>
      <c r="B117" s="67" t="s">
        <v>105</v>
      </c>
      <c r="C117" s="31" t="s">
        <v>815</v>
      </c>
      <c r="D117" s="19" t="s">
        <v>45</v>
      </c>
      <c r="E117" s="20" t="s">
        <v>816</v>
      </c>
      <c r="F117" s="21" t="s">
        <v>817</v>
      </c>
      <c r="G117" s="33" t="s">
        <v>42</v>
      </c>
      <c r="H117" s="23" t="s">
        <v>818</v>
      </c>
      <c r="I117" s="34" t="s">
        <v>20</v>
      </c>
      <c r="J117" s="1" t="str">
        <f t="shared" si="0"/>
        <v>과기</v>
      </c>
      <c r="K117" s="25"/>
      <c r="L117" s="25"/>
      <c r="M117" s="133">
        <v>114</v>
      </c>
      <c r="N117" s="133" t="s">
        <v>4337</v>
      </c>
      <c r="O117" s="134" t="s">
        <v>2356</v>
      </c>
      <c r="P117" s="133" t="s">
        <v>255</v>
      </c>
      <c r="Q117" s="133" t="s">
        <v>2357</v>
      </c>
      <c r="R117" s="133">
        <v>4</v>
      </c>
      <c r="S117" s="133" t="s">
        <v>4347</v>
      </c>
      <c r="T117" s="133" t="s">
        <v>4406</v>
      </c>
      <c r="U117" s="135"/>
      <c r="V117" s="135"/>
      <c r="W117" s="135"/>
      <c r="X117" s="135" t="s">
        <v>21</v>
      </c>
    </row>
    <row r="118" spans="1:24" ht="26.25" hidden="1" customHeight="1">
      <c r="A118" s="17">
        <f t="shared" si="1"/>
        <v>115</v>
      </c>
      <c r="B118" s="18" t="s">
        <v>175</v>
      </c>
      <c r="C118" s="31" t="s">
        <v>821</v>
      </c>
      <c r="D118" s="19" t="s">
        <v>797</v>
      </c>
      <c r="E118" s="20" t="s">
        <v>822</v>
      </c>
      <c r="F118" s="32" t="s">
        <v>519</v>
      </c>
      <c r="G118" s="33" t="s">
        <v>42</v>
      </c>
      <c r="H118" s="23" t="s">
        <v>823</v>
      </c>
      <c r="I118" s="24" t="s">
        <v>55</v>
      </c>
      <c r="J118" s="1" t="str">
        <f t="shared" si="0"/>
        <v/>
      </c>
      <c r="K118" s="1"/>
      <c r="L118" s="1"/>
      <c r="M118" s="130">
        <v>115</v>
      </c>
      <c r="N118" s="130" t="s">
        <v>4337</v>
      </c>
      <c r="O118" s="131" t="s">
        <v>2376</v>
      </c>
      <c r="P118" s="130" t="s">
        <v>2377</v>
      </c>
      <c r="Q118" s="130" t="s">
        <v>2378</v>
      </c>
      <c r="R118" s="130">
        <v>4</v>
      </c>
      <c r="S118" s="130" t="s">
        <v>4347</v>
      </c>
      <c r="T118" s="130" t="s">
        <v>4496</v>
      </c>
      <c r="U118" s="130" t="s">
        <v>53</v>
      </c>
      <c r="V118" s="129" t="s">
        <v>4497</v>
      </c>
      <c r="W118" s="129"/>
      <c r="X118" s="129" t="s">
        <v>21</v>
      </c>
    </row>
    <row r="119" spans="1:24" ht="26.25" customHeight="1">
      <c r="A119" s="17">
        <f t="shared" si="1"/>
        <v>116</v>
      </c>
      <c r="B119" s="18" t="s">
        <v>37</v>
      </c>
      <c r="C119" s="19" t="s">
        <v>827</v>
      </c>
      <c r="D119" s="19" t="s">
        <v>124</v>
      </c>
      <c r="E119" s="20" t="s">
        <v>828</v>
      </c>
      <c r="F119" s="21" t="s">
        <v>17</v>
      </c>
      <c r="G119" s="22" t="s">
        <v>42</v>
      </c>
      <c r="H119" s="23" t="s">
        <v>829</v>
      </c>
      <c r="I119" s="24" t="s">
        <v>20</v>
      </c>
      <c r="J119" s="1" t="str">
        <f t="shared" si="0"/>
        <v>FRIC</v>
      </c>
      <c r="K119" s="1"/>
      <c r="L119" s="1"/>
      <c r="M119" s="130">
        <v>116</v>
      </c>
      <c r="N119" s="130" t="s">
        <v>4337</v>
      </c>
      <c r="O119" s="131" t="s">
        <v>2380</v>
      </c>
      <c r="P119" s="130" t="s">
        <v>2377</v>
      </c>
      <c r="Q119" s="130" t="s">
        <v>2381</v>
      </c>
      <c r="R119" s="130">
        <v>4</v>
      </c>
      <c r="S119" s="130" t="s">
        <v>4347</v>
      </c>
      <c r="T119" s="130" t="s">
        <v>4496</v>
      </c>
      <c r="U119" s="130" t="s">
        <v>53</v>
      </c>
      <c r="V119" s="129" t="s">
        <v>4497</v>
      </c>
      <c r="W119" s="129"/>
      <c r="X119" s="129" t="s">
        <v>21</v>
      </c>
    </row>
    <row r="120" spans="1:24" ht="26.25" hidden="1" customHeight="1">
      <c r="A120" s="17">
        <f t="shared" si="1"/>
        <v>117</v>
      </c>
      <c r="B120" s="18" t="s">
        <v>132</v>
      </c>
      <c r="C120" s="31" t="s">
        <v>646</v>
      </c>
      <c r="D120" s="19" t="s">
        <v>647</v>
      </c>
      <c r="E120" s="20" t="s">
        <v>648</v>
      </c>
      <c r="F120" s="32" t="s">
        <v>496</v>
      </c>
      <c r="G120" s="22" t="s">
        <v>53</v>
      </c>
      <c r="H120" s="23" t="s">
        <v>830</v>
      </c>
      <c r="I120" s="24" t="s">
        <v>55</v>
      </c>
      <c r="J120" s="1" t="str">
        <f t="shared" si="0"/>
        <v/>
      </c>
      <c r="K120" s="1"/>
      <c r="L120" s="1"/>
      <c r="M120" s="130">
        <v>117</v>
      </c>
      <c r="N120" s="130" t="s">
        <v>4337</v>
      </c>
      <c r="O120" s="136" t="s">
        <v>2384</v>
      </c>
      <c r="P120" s="137" t="s">
        <v>447</v>
      </c>
      <c r="Q120" s="130" t="s">
        <v>2385</v>
      </c>
      <c r="R120" s="130">
        <v>6</v>
      </c>
      <c r="S120" s="130" t="s">
        <v>4347</v>
      </c>
      <c r="T120" s="130" t="s">
        <v>4494</v>
      </c>
      <c r="U120" s="130" t="s">
        <v>53</v>
      </c>
      <c r="V120" s="129" t="s">
        <v>4342</v>
      </c>
      <c r="W120" s="129"/>
      <c r="X120" s="129" t="s">
        <v>21</v>
      </c>
    </row>
    <row r="121" spans="1:24" ht="26.25" hidden="1" customHeight="1">
      <c r="A121" s="17">
        <f t="shared" si="1"/>
        <v>118</v>
      </c>
      <c r="B121" s="18" t="s">
        <v>132</v>
      </c>
      <c r="C121" s="31" t="s">
        <v>834</v>
      </c>
      <c r="D121" s="19" t="s">
        <v>835</v>
      </c>
      <c r="E121" s="20" t="s">
        <v>836</v>
      </c>
      <c r="F121" s="32" t="s">
        <v>837</v>
      </c>
      <c r="G121" s="22" t="s">
        <v>53</v>
      </c>
      <c r="H121" s="23" t="s">
        <v>838</v>
      </c>
      <c r="I121" s="34" t="s">
        <v>55</v>
      </c>
      <c r="J121" s="1" t="str">
        <f t="shared" si="0"/>
        <v/>
      </c>
      <c r="K121" s="25"/>
      <c r="L121" s="25"/>
      <c r="M121" s="133">
        <v>118</v>
      </c>
      <c r="N121" s="133" t="s">
        <v>4337</v>
      </c>
      <c r="O121" s="134" t="s">
        <v>4498</v>
      </c>
      <c r="P121" s="133" t="s">
        <v>1078</v>
      </c>
      <c r="Q121" s="133" t="s">
        <v>2393</v>
      </c>
      <c r="R121" s="133">
        <v>12</v>
      </c>
      <c r="S121" s="135"/>
      <c r="T121" s="133" t="s">
        <v>4499</v>
      </c>
      <c r="U121" s="133" t="s">
        <v>53</v>
      </c>
      <c r="V121" s="135" t="s">
        <v>4342</v>
      </c>
      <c r="W121" s="135"/>
      <c r="X121" s="135" t="s">
        <v>21</v>
      </c>
    </row>
    <row r="122" spans="1:24" ht="26.25" hidden="1" customHeight="1">
      <c r="A122" s="17">
        <f t="shared" si="1"/>
        <v>119</v>
      </c>
      <c r="B122" s="18" t="s">
        <v>27</v>
      </c>
      <c r="C122" s="19" t="s">
        <v>841</v>
      </c>
      <c r="D122" s="19" t="s">
        <v>141</v>
      </c>
      <c r="E122" s="20" t="s">
        <v>842</v>
      </c>
      <c r="F122" s="21" t="s">
        <v>135</v>
      </c>
      <c r="G122" s="22" t="s">
        <v>42</v>
      </c>
      <c r="H122" s="23" t="s">
        <v>843</v>
      </c>
      <c r="I122" s="24" t="s">
        <v>20</v>
      </c>
      <c r="J122" s="1" t="str">
        <f t="shared" si="0"/>
        <v>과기</v>
      </c>
      <c r="K122" s="1"/>
      <c r="L122" s="1"/>
      <c r="M122" s="130">
        <v>119</v>
      </c>
      <c r="N122" s="130" t="s">
        <v>4337</v>
      </c>
      <c r="O122" s="131" t="s">
        <v>4500</v>
      </c>
      <c r="P122" s="130" t="s">
        <v>255</v>
      </c>
      <c r="Q122" s="130" t="s">
        <v>3412</v>
      </c>
      <c r="R122" s="130">
        <v>12</v>
      </c>
      <c r="S122" s="130" t="s">
        <v>4347</v>
      </c>
      <c r="T122" s="130" t="s">
        <v>4501</v>
      </c>
      <c r="U122" s="129"/>
      <c r="V122" s="129"/>
      <c r="W122" s="129"/>
      <c r="X122" s="129" t="s">
        <v>21</v>
      </c>
    </row>
    <row r="123" spans="1:24" ht="26.25" hidden="1" customHeight="1">
      <c r="A123" s="17">
        <f t="shared" si="1"/>
        <v>120</v>
      </c>
      <c r="B123" s="18" t="s">
        <v>27</v>
      </c>
      <c r="C123" s="31" t="s">
        <v>846</v>
      </c>
      <c r="D123" s="19" t="s">
        <v>847</v>
      </c>
      <c r="E123" s="20" t="s">
        <v>848</v>
      </c>
      <c r="F123" s="32" t="s">
        <v>170</v>
      </c>
      <c r="G123" s="22" t="s">
        <v>42</v>
      </c>
      <c r="H123" s="23" t="s">
        <v>849</v>
      </c>
      <c r="I123" s="24" t="s">
        <v>55</v>
      </c>
      <c r="J123" s="1" t="str">
        <f t="shared" si="0"/>
        <v/>
      </c>
      <c r="K123" s="1"/>
      <c r="L123" s="1"/>
      <c r="M123" s="130">
        <v>120</v>
      </c>
      <c r="N123" s="130" t="s">
        <v>4337</v>
      </c>
      <c r="O123" s="131" t="s">
        <v>4502</v>
      </c>
      <c r="P123" s="130" t="s">
        <v>4503</v>
      </c>
      <c r="Q123" s="130" t="s">
        <v>2412</v>
      </c>
      <c r="R123" s="130">
        <v>12</v>
      </c>
      <c r="S123" s="129"/>
      <c r="T123" s="130" t="s">
        <v>4504</v>
      </c>
      <c r="U123" s="130" t="s">
        <v>20</v>
      </c>
      <c r="V123" s="129"/>
      <c r="W123" s="129"/>
      <c r="X123" s="129" t="s">
        <v>21</v>
      </c>
    </row>
    <row r="124" spans="1:24" ht="26.25" hidden="1" customHeight="1">
      <c r="A124" s="17">
        <f t="shared" si="1"/>
        <v>121</v>
      </c>
      <c r="B124" s="18" t="s">
        <v>37</v>
      </c>
      <c r="C124" s="31" t="s">
        <v>853</v>
      </c>
      <c r="D124" s="19" t="s">
        <v>854</v>
      </c>
      <c r="E124" s="20" t="s">
        <v>855</v>
      </c>
      <c r="F124" s="32" t="s">
        <v>170</v>
      </c>
      <c r="G124" s="22" t="s">
        <v>53</v>
      </c>
      <c r="H124" s="23" t="s">
        <v>856</v>
      </c>
      <c r="I124" s="24" t="s">
        <v>55</v>
      </c>
      <c r="J124" s="1" t="str">
        <f t="shared" si="0"/>
        <v/>
      </c>
      <c r="K124" s="1"/>
      <c r="L124" s="1"/>
      <c r="M124" s="130">
        <v>121</v>
      </c>
      <c r="N124" s="130" t="s">
        <v>4337</v>
      </c>
      <c r="O124" s="131" t="s">
        <v>4505</v>
      </c>
      <c r="P124" s="130" t="s">
        <v>255</v>
      </c>
      <c r="Q124" s="130" t="s">
        <v>2481</v>
      </c>
      <c r="R124" s="130">
        <v>8</v>
      </c>
      <c r="S124" s="130" t="s">
        <v>4347</v>
      </c>
      <c r="T124" s="130" t="s">
        <v>4506</v>
      </c>
      <c r="U124" s="129"/>
      <c r="V124" s="129"/>
      <c r="W124" s="129"/>
      <c r="X124" s="129" t="s">
        <v>21</v>
      </c>
    </row>
    <row r="125" spans="1:24" ht="26.25" customHeight="1">
      <c r="A125" s="17">
        <f t="shared" si="1"/>
        <v>122</v>
      </c>
      <c r="B125" s="18" t="s">
        <v>37</v>
      </c>
      <c r="C125" s="19" t="s">
        <v>860</v>
      </c>
      <c r="D125" s="19" t="s">
        <v>861</v>
      </c>
      <c r="E125" s="20" t="s">
        <v>862</v>
      </c>
      <c r="F125" s="21" t="s">
        <v>863</v>
      </c>
      <c r="G125" s="22" t="s">
        <v>53</v>
      </c>
      <c r="H125" s="23" t="s">
        <v>864</v>
      </c>
      <c r="I125" s="24" t="s">
        <v>20</v>
      </c>
      <c r="J125" s="1" t="str">
        <f t="shared" si="0"/>
        <v>FRIC</v>
      </c>
      <c r="K125" s="1"/>
      <c r="L125" s="1"/>
      <c r="M125" s="130">
        <v>122</v>
      </c>
      <c r="N125" s="130" t="s">
        <v>4337</v>
      </c>
      <c r="O125" s="136" t="s">
        <v>2487</v>
      </c>
      <c r="P125" s="137" t="s">
        <v>447</v>
      </c>
      <c r="Q125" s="130" t="s">
        <v>2488</v>
      </c>
      <c r="R125" s="130">
        <v>12</v>
      </c>
      <c r="S125" s="130" t="s">
        <v>4347</v>
      </c>
      <c r="T125" s="130" t="s">
        <v>4460</v>
      </c>
      <c r="U125" s="130" t="s">
        <v>53</v>
      </c>
      <c r="V125" s="129" t="s">
        <v>4342</v>
      </c>
      <c r="W125" s="129"/>
      <c r="X125" s="129" t="s">
        <v>21</v>
      </c>
    </row>
    <row r="126" spans="1:24" ht="26.25" hidden="1" customHeight="1">
      <c r="A126" s="17">
        <f t="shared" si="1"/>
        <v>123</v>
      </c>
      <c r="B126" s="18" t="s">
        <v>867</v>
      </c>
      <c r="C126" s="31" t="s">
        <v>868</v>
      </c>
      <c r="D126" s="19" t="s">
        <v>869</v>
      </c>
      <c r="E126" s="20" t="s">
        <v>870</v>
      </c>
      <c r="F126" s="32">
        <v>1964</v>
      </c>
      <c r="G126" s="33" t="s">
        <v>42</v>
      </c>
      <c r="H126" s="23" t="s">
        <v>871</v>
      </c>
      <c r="I126" s="24" t="s">
        <v>55</v>
      </c>
      <c r="J126" s="1" t="str">
        <f t="shared" si="0"/>
        <v/>
      </c>
      <c r="K126" s="1"/>
      <c r="L126" s="1"/>
      <c r="M126" s="130">
        <v>123</v>
      </c>
      <c r="N126" s="130" t="s">
        <v>4337</v>
      </c>
      <c r="O126" s="136" t="s">
        <v>2490</v>
      </c>
      <c r="P126" s="137" t="s">
        <v>447</v>
      </c>
      <c r="Q126" s="130" t="s">
        <v>2491</v>
      </c>
      <c r="R126" s="130">
        <v>12</v>
      </c>
      <c r="S126" s="130" t="s">
        <v>4347</v>
      </c>
      <c r="T126" s="130" t="s">
        <v>4460</v>
      </c>
      <c r="U126" s="130" t="s">
        <v>53</v>
      </c>
      <c r="V126" s="129" t="s">
        <v>4342</v>
      </c>
      <c r="W126" s="129"/>
      <c r="X126" s="129" t="s">
        <v>21</v>
      </c>
    </row>
    <row r="127" spans="1:24" ht="26.25" hidden="1" customHeight="1">
      <c r="A127" s="17">
        <f t="shared" si="1"/>
        <v>124</v>
      </c>
      <c r="B127" s="18" t="s">
        <v>27</v>
      </c>
      <c r="C127" s="31" t="s">
        <v>874</v>
      </c>
      <c r="D127" s="19" t="s">
        <v>673</v>
      </c>
      <c r="E127" s="20" t="s">
        <v>875</v>
      </c>
      <c r="F127" s="21" t="s">
        <v>876</v>
      </c>
      <c r="G127" s="22" t="s">
        <v>42</v>
      </c>
      <c r="H127" s="23" t="s">
        <v>877</v>
      </c>
      <c r="I127" s="34" t="s">
        <v>20</v>
      </c>
      <c r="J127" s="1" t="str">
        <f t="shared" si="0"/>
        <v>과기</v>
      </c>
      <c r="K127" s="25"/>
      <c r="L127" s="25"/>
      <c r="M127" s="133">
        <v>124</v>
      </c>
      <c r="N127" s="133" t="s">
        <v>4337</v>
      </c>
      <c r="O127" s="134" t="s">
        <v>2493</v>
      </c>
      <c r="P127" s="133" t="s">
        <v>255</v>
      </c>
      <c r="Q127" s="133" t="s">
        <v>2494</v>
      </c>
      <c r="R127" s="133">
        <v>6</v>
      </c>
      <c r="S127" s="133" t="s">
        <v>4347</v>
      </c>
      <c r="T127" s="133" t="s">
        <v>4507</v>
      </c>
      <c r="U127" s="135"/>
      <c r="V127" s="135"/>
      <c r="W127" s="135"/>
      <c r="X127" s="135" t="s">
        <v>21</v>
      </c>
    </row>
    <row r="128" spans="1:24" ht="26.25" customHeight="1">
      <c r="A128" s="17">
        <f t="shared" si="1"/>
        <v>125</v>
      </c>
      <c r="B128" s="18" t="s">
        <v>27</v>
      </c>
      <c r="C128" s="19" t="s">
        <v>880</v>
      </c>
      <c r="D128" s="19" t="s">
        <v>665</v>
      </c>
      <c r="E128" s="20" t="s">
        <v>881</v>
      </c>
      <c r="F128" s="21" t="s">
        <v>882</v>
      </c>
      <c r="G128" s="22" t="s">
        <v>31</v>
      </c>
      <c r="H128" s="23" t="s">
        <v>883</v>
      </c>
      <c r="I128" s="24" t="s">
        <v>20</v>
      </c>
      <c r="J128" s="1" t="str">
        <f t="shared" si="0"/>
        <v>FRIC</v>
      </c>
      <c r="K128" s="1"/>
      <c r="L128" s="1"/>
      <c r="M128" s="130">
        <v>125</v>
      </c>
      <c r="N128" s="130" t="s">
        <v>4337</v>
      </c>
      <c r="O128" s="131" t="s">
        <v>2496</v>
      </c>
      <c r="P128" s="130" t="s">
        <v>1078</v>
      </c>
      <c r="Q128" s="130" t="s">
        <v>2497</v>
      </c>
      <c r="R128" s="130">
        <v>4</v>
      </c>
      <c r="S128" s="129"/>
      <c r="T128" s="130" t="s">
        <v>4508</v>
      </c>
      <c r="U128" s="130" t="s">
        <v>53</v>
      </c>
      <c r="V128" s="129" t="s">
        <v>4342</v>
      </c>
      <c r="W128" s="129"/>
      <c r="X128" s="129" t="s">
        <v>21</v>
      </c>
    </row>
    <row r="129" spans="1:24" ht="26.25" hidden="1" customHeight="1">
      <c r="A129" s="17">
        <f t="shared" si="1"/>
        <v>126</v>
      </c>
      <c r="B129" s="18" t="s">
        <v>27</v>
      </c>
      <c r="C129" s="31" t="s">
        <v>886</v>
      </c>
      <c r="D129" s="19" t="s">
        <v>808</v>
      </c>
      <c r="E129" s="20" t="s">
        <v>887</v>
      </c>
      <c r="F129" s="32" t="s">
        <v>252</v>
      </c>
      <c r="G129" s="22" t="s">
        <v>42</v>
      </c>
      <c r="H129" s="23" t="s">
        <v>888</v>
      </c>
      <c r="I129" s="24" t="s">
        <v>55</v>
      </c>
      <c r="J129" s="1" t="str">
        <f t="shared" si="0"/>
        <v/>
      </c>
      <c r="K129" s="1"/>
      <c r="L129" s="1"/>
      <c r="M129" s="130">
        <v>126</v>
      </c>
      <c r="N129" s="130" t="s">
        <v>4337</v>
      </c>
      <c r="O129" s="136" t="s">
        <v>4509</v>
      </c>
      <c r="P129" s="137" t="s">
        <v>447</v>
      </c>
      <c r="Q129" s="130" t="s">
        <v>2510</v>
      </c>
      <c r="R129" s="130">
        <v>6</v>
      </c>
      <c r="S129" s="130" t="s">
        <v>4347</v>
      </c>
      <c r="T129" s="130" t="s">
        <v>4494</v>
      </c>
      <c r="U129" s="130" t="s">
        <v>53</v>
      </c>
      <c r="V129" s="129" t="s">
        <v>4342</v>
      </c>
      <c r="W129" s="129"/>
      <c r="X129" s="129" t="s">
        <v>21</v>
      </c>
    </row>
    <row r="130" spans="1:24" ht="26.25" customHeight="1">
      <c r="A130" s="17">
        <f t="shared" si="1"/>
        <v>127</v>
      </c>
      <c r="B130" s="18" t="s">
        <v>27</v>
      </c>
      <c r="C130" s="19" t="s">
        <v>890</v>
      </c>
      <c r="D130" s="19" t="s">
        <v>891</v>
      </c>
      <c r="E130" s="20" t="s">
        <v>892</v>
      </c>
      <c r="F130" s="21" t="s">
        <v>893</v>
      </c>
      <c r="G130" s="22" t="s">
        <v>31</v>
      </c>
      <c r="H130" s="23" t="s">
        <v>894</v>
      </c>
      <c r="I130" s="24" t="s">
        <v>20</v>
      </c>
      <c r="J130" s="1" t="str">
        <f t="shared" si="0"/>
        <v>FRIC</v>
      </c>
      <c r="K130" s="1"/>
      <c r="L130" s="1"/>
      <c r="M130" s="130">
        <v>127</v>
      </c>
      <c r="N130" s="130" t="s">
        <v>4337</v>
      </c>
      <c r="O130" s="131" t="s">
        <v>2515</v>
      </c>
      <c r="P130" s="130" t="s">
        <v>1078</v>
      </c>
      <c r="Q130" s="130" t="s">
        <v>2516</v>
      </c>
      <c r="R130" s="130">
        <v>12</v>
      </c>
      <c r="S130" s="129"/>
      <c r="T130" s="130" t="s">
        <v>4510</v>
      </c>
      <c r="U130" s="130" t="s">
        <v>53</v>
      </c>
      <c r="V130" s="129" t="s">
        <v>4342</v>
      </c>
      <c r="W130" s="129"/>
      <c r="X130" s="129" t="s">
        <v>21</v>
      </c>
    </row>
    <row r="131" spans="1:24" ht="26.25" customHeight="1">
      <c r="A131" s="17">
        <f t="shared" si="1"/>
        <v>128</v>
      </c>
      <c r="B131" s="18" t="s">
        <v>27</v>
      </c>
      <c r="C131" s="19" t="s">
        <v>898</v>
      </c>
      <c r="D131" s="19" t="s">
        <v>227</v>
      </c>
      <c r="E131" s="20" t="s">
        <v>899</v>
      </c>
      <c r="F131" s="21" t="s">
        <v>900</v>
      </c>
      <c r="G131" s="22" t="s">
        <v>42</v>
      </c>
      <c r="H131" s="23" t="s">
        <v>901</v>
      </c>
      <c r="I131" s="24" t="s">
        <v>20</v>
      </c>
      <c r="J131" s="1" t="str">
        <f t="shared" si="0"/>
        <v>FRIC</v>
      </c>
      <c r="K131" s="1"/>
      <c r="L131" s="1"/>
      <c r="M131" s="130">
        <v>128</v>
      </c>
      <c r="N131" s="130" t="s">
        <v>4337</v>
      </c>
      <c r="O131" s="131" t="s">
        <v>2521</v>
      </c>
      <c r="P131" s="130" t="s">
        <v>1078</v>
      </c>
      <c r="Q131" s="130" t="s">
        <v>2522</v>
      </c>
      <c r="R131" s="130">
        <v>6</v>
      </c>
      <c r="S131" s="129"/>
      <c r="T131" s="130" t="s">
        <v>4511</v>
      </c>
      <c r="U131" s="130" t="s">
        <v>53</v>
      </c>
      <c r="V131" s="129" t="s">
        <v>4342</v>
      </c>
      <c r="W131" s="129"/>
      <c r="X131" s="129" t="s">
        <v>21</v>
      </c>
    </row>
    <row r="132" spans="1:24" ht="26.25" customHeight="1">
      <c r="A132" s="17">
        <f t="shared" si="1"/>
        <v>129</v>
      </c>
      <c r="B132" s="18" t="s">
        <v>27</v>
      </c>
      <c r="C132" s="19" t="s">
        <v>902</v>
      </c>
      <c r="D132" s="19" t="s">
        <v>903</v>
      </c>
      <c r="E132" s="20" t="s">
        <v>904</v>
      </c>
      <c r="F132" s="21" t="s">
        <v>905</v>
      </c>
      <c r="G132" s="22" t="s">
        <v>53</v>
      </c>
      <c r="H132" s="23" t="s">
        <v>906</v>
      </c>
      <c r="I132" s="24" t="s">
        <v>20</v>
      </c>
      <c r="J132" s="1" t="str">
        <f t="shared" si="0"/>
        <v>FRIC</v>
      </c>
      <c r="K132" s="1"/>
      <c r="L132" s="1"/>
      <c r="M132" s="130">
        <v>129</v>
      </c>
      <c r="N132" s="130" t="s">
        <v>4337</v>
      </c>
      <c r="O132" s="131" t="s">
        <v>2525</v>
      </c>
      <c r="P132" s="130" t="s">
        <v>255</v>
      </c>
      <c r="Q132" s="130" t="s">
        <v>2526</v>
      </c>
      <c r="R132" s="130">
        <v>6</v>
      </c>
      <c r="S132" s="130" t="s">
        <v>4347</v>
      </c>
      <c r="T132" s="130" t="s">
        <v>4512</v>
      </c>
      <c r="U132" s="129"/>
      <c r="V132" s="129"/>
      <c r="W132" s="129"/>
      <c r="X132" s="129" t="s">
        <v>21</v>
      </c>
    </row>
    <row r="133" spans="1:24" ht="26.25" customHeight="1">
      <c r="A133" s="17">
        <f t="shared" si="1"/>
        <v>130</v>
      </c>
      <c r="B133" s="18" t="s">
        <v>27</v>
      </c>
      <c r="C133" s="19" t="s">
        <v>908</v>
      </c>
      <c r="D133" s="19" t="s">
        <v>909</v>
      </c>
      <c r="E133" s="20" t="s">
        <v>910</v>
      </c>
      <c r="F133" s="21" t="s">
        <v>17</v>
      </c>
      <c r="G133" s="22" t="s">
        <v>53</v>
      </c>
      <c r="H133" s="23" t="s">
        <v>911</v>
      </c>
      <c r="I133" s="24" t="s">
        <v>20</v>
      </c>
      <c r="J133" s="1" t="str">
        <f t="shared" si="0"/>
        <v>FRIC</v>
      </c>
      <c r="K133" s="1"/>
      <c r="L133" s="1"/>
      <c r="M133" s="130">
        <v>130</v>
      </c>
      <c r="N133" s="130" t="s">
        <v>4337</v>
      </c>
      <c r="O133" s="131" t="s">
        <v>4513</v>
      </c>
      <c r="P133" s="130" t="s">
        <v>1068</v>
      </c>
      <c r="Q133" s="130" t="s">
        <v>2529</v>
      </c>
      <c r="R133" s="130">
        <v>6</v>
      </c>
      <c r="S133" s="130" t="s">
        <v>4347</v>
      </c>
      <c r="T133" s="130" t="s">
        <v>4514</v>
      </c>
      <c r="U133" s="130" t="s">
        <v>53</v>
      </c>
      <c r="V133" s="129" t="s">
        <v>4342</v>
      </c>
      <c r="W133" s="129"/>
      <c r="X133" s="129" t="s">
        <v>21</v>
      </c>
    </row>
    <row r="134" spans="1:24" ht="26.25" hidden="1" customHeight="1">
      <c r="A134" s="17">
        <f t="shared" si="1"/>
        <v>131</v>
      </c>
      <c r="B134" s="18" t="s">
        <v>27</v>
      </c>
      <c r="C134" s="31" t="s">
        <v>912</v>
      </c>
      <c r="D134" s="19" t="s">
        <v>913</v>
      </c>
      <c r="E134" s="20" t="s">
        <v>914</v>
      </c>
      <c r="F134" s="32" t="s">
        <v>915</v>
      </c>
      <c r="G134" s="22" t="s">
        <v>53</v>
      </c>
      <c r="H134" s="23" t="s">
        <v>916</v>
      </c>
      <c r="I134" s="24" t="s">
        <v>55</v>
      </c>
      <c r="J134" s="1" t="str">
        <f t="shared" si="0"/>
        <v/>
      </c>
      <c r="K134" s="1"/>
      <c r="L134" s="1"/>
      <c r="M134" s="130">
        <v>131</v>
      </c>
      <c r="N134" s="130" t="s">
        <v>4337</v>
      </c>
      <c r="O134" s="131" t="s">
        <v>2540</v>
      </c>
      <c r="P134" s="130" t="s">
        <v>196</v>
      </c>
      <c r="Q134" s="130" t="s">
        <v>2541</v>
      </c>
      <c r="R134" s="130">
        <v>12</v>
      </c>
      <c r="S134" s="130" t="s">
        <v>4347</v>
      </c>
      <c r="T134" s="130" t="s">
        <v>4515</v>
      </c>
      <c r="U134" s="129"/>
      <c r="V134" s="129"/>
      <c r="W134" s="129"/>
      <c r="X134" s="129" t="s">
        <v>21</v>
      </c>
    </row>
    <row r="135" spans="1:24" ht="26.25" hidden="1" customHeight="1">
      <c r="A135" s="17">
        <f t="shared" si="1"/>
        <v>132</v>
      </c>
      <c r="B135" s="18" t="s">
        <v>27</v>
      </c>
      <c r="C135" s="31" t="s">
        <v>544</v>
      </c>
      <c r="D135" s="19" t="s">
        <v>768</v>
      </c>
      <c r="E135" s="20" t="s">
        <v>546</v>
      </c>
      <c r="F135" s="32" t="s">
        <v>918</v>
      </c>
      <c r="G135" s="22" t="s">
        <v>42</v>
      </c>
      <c r="H135" s="23" t="s">
        <v>919</v>
      </c>
      <c r="I135" s="24" t="s">
        <v>55</v>
      </c>
      <c r="J135" s="1" t="str">
        <f t="shared" si="0"/>
        <v/>
      </c>
      <c r="K135" s="1"/>
      <c r="L135" s="1"/>
      <c r="M135" s="130">
        <v>132</v>
      </c>
      <c r="N135" s="130" t="s">
        <v>4337</v>
      </c>
      <c r="O135" s="131" t="s">
        <v>2566</v>
      </c>
      <c r="P135" s="130" t="s">
        <v>1028</v>
      </c>
      <c r="Q135" s="130" t="s">
        <v>2567</v>
      </c>
      <c r="R135" s="130">
        <v>12</v>
      </c>
      <c r="S135" s="129"/>
      <c r="T135" s="130" t="s">
        <v>4357</v>
      </c>
      <c r="U135" s="129"/>
      <c r="V135" s="129"/>
      <c r="W135" s="129"/>
      <c r="X135" s="129" t="s">
        <v>21</v>
      </c>
    </row>
    <row r="136" spans="1:24" ht="26.25" hidden="1" customHeight="1">
      <c r="A136" s="17">
        <f t="shared" si="1"/>
        <v>133</v>
      </c>
      <c r="B136" s="18" t="s">
        <v>175</v>
      </c>
      <c r="C136" s="31" t="s">
        <v>921</v>
      </c>
      <c r="D136" s="19" t="s">
        <v>196</v>
      </c>
      <c r="E136" s="20" t="s">
        <v>922</v>
      </c>
      <c r="F136" s="32" t="s">
        <v>738</v>
      </c>
      <c r="G136" s="33" t="s">
        <v>42</v>
      </c>
      <c r="H136" s="23" t="s">
        <v>923</v>
      </c>
      <c r="I136" s="24" t="s">
        <v>55</v>
      </c>
      <c r="J136" s="1" t="str">
        <f t="shared" si="0"/>
        <v/>
      </c>
      <c r="K136" s="1"/>
      <c r="L136" s="1"/>
      <c r="M136" s="130">
        <v>133</v>
      </c>
      <c r="N136" s="130" t="s">
        <v>4337</v>
      </c>
      <c r="O136" s="131" t="s">
        <v>4516</v>
      </c>
      <c r="P136" s="130" t="s">
        <v>255</v>
      </c>
      <c r="Q136" s="130" t="s">
        <v>2572</v>
      </c>
      <c r="R136" s="130">
        <v>6</v>
      </c>
      <c r="S136" s="130" t="s">
        <v>4347</v>
      </c>
      <c r="T136" s="130" t="s">
        <v>4517</v>
      </c>
      <c r="U136" s="129"/>
      <c r="V136" s="129"/>
      <c r="W136" s="129"/>
      <c r="X136" s="129" t="s">
        <v>21</v>
      </c>
    </row>
    <row r="137" spans="1:24" ht="26.25" hidden="1" customHeight="1">
      <c r="A137" s="17">
        <f t="shared" si="1"/>
        <v>134</v>
      </c>
      <c r="B137" s="18" t="s">
        <v>132</v>
      </c>
      <c r="C137" s="31" t="s">
        <v>925</v>
      </c>
      <c r="D137" s="19" t="s">
        <v>271</v>
      </c>
      <c r="E137" s="20" t="s">
        <v>926</v>
      </c>
      <c r="F137" s="32" t="s">
        <v>222</v>
      </c>
      <c r="G137" s="22" t="s">
        <v>42</v>
      </c>
      <c r="H137" s="23" t="s">
        <v>927</v>
      </c>
      <c r="I137" s="24" t="s">
        <v>55</v>
      </c>
      <c r="J137" s="1" t="str">
        <f t="shared" si="0"/>
        <v/>
      </c>
      <c r="K137" s="1"/>
      <c r="L137" s="1"/>
      <c r="M137" s="130">
        <v>134</v>
      </c>
      <c r="N137" s="130" t="s">
        <v>4337</v>
      </c>
      <c r="O137" s="131" t="s">
        <v>2574</v>
      </c>
      <c r="P137" s="130" t="s">
        <v>199</v>
      </c>
      <c r="Q137" s="130" t="s">
        <v>2575</v>
      </c>
      <c r="R137" s="130">
        <v>24</v>
      </c>
      <c r="S137" s="130" t="s">
        <v>4347</v>
      </c>
      <c r="T137" s="130" t="s">
        <v>4518</v>
      </c>
      <c r="U137" s="130" t="s">
        <v>53</v>
      </c>
      <c r="V137" s="129" t="s">
        <v>4394</v>
      </c>
      <c r="W137" s="129"/>
      <c r="X137" s="129" t="s">
        <v>21</v>
      </c>
    </row>
    <row r="138" spans="1:24" ht="26.25" customHeight="1">
      <c r="A138" s="17">
        <f t="shared" si="1"/>
        <v>135</v>
      </c>
      <c r="B138" s="18" t="s">
        <v>132</v>
      </c>
      <c r="C138" s="19" t="s">
        <v>931</v>
      </c>
      <c r="D138" s="19" t="s">
        <v>227</v>
      </c>
      <c r="E138" s="20" t="s">
        <v>932</v>
      </c>
      <c r="F138" s="21" t="s">
        <v>933</v>
      </c>
      <c r="G138" s="22" t="s">
        <v>42</v>
      </c>
      <c r="H138" s="23" t="s">
        <v>934</v>
      </c>
      <c r="I138" s="24" t="s">
        <v>20</v>
      </c>
      <c r="J138" s="1" t="str">
        <f t="shared" si="0"/>
        <v>FRIC</v>
      </c>
      <c r="K138" s="1"/>
      <c r="L138" s="1"/>
      <c r="M138" s="130">
        <v>135</v>
      </c>
      <c r="N138" s="130" t="s">
        <v>4337</v>
      </c>
      <c r="O138" s="131" t="s">
        <v>2595</v>
      </c>
      <c r="P138" s="130" t="s">
        <v>2377</v>
      </c>
      <c r="Q138" s="130" t="s">
        <v>2596</v>
      </c>
      <c r="R138" s="130">
        <v>4</v>
      </c>
      <c r="S138" s="130" t="s">
        <v>4347</v>
      </c>
      <c r="T138" s="130" t="s">
        <v>4519</v>
      </c>
      <c r="U138" s="130" t="s">
        <v>53</v>
      </c>
      <c r="V138" s="129" t="s">
        <v>4497</v>
      </c>
      <c r="W138" s="129"/>
      <c r="X138" s="129" t="s">
        <v>21</v>
      </c>
    </row>
    <row r="139" spans="1:24" ht="26.25" hidden="1" customHeight="1">
      <c r="A139" s="17">
        <f t="shared" si="1"/>
        <v>136</v>
      </c>
      <c r="B139" s="18" t="s">
        <v>13</v>
      </c>
      <c r="C139" s="31" t="s">
        <v>938</v>
      </c>
      <c r="D139" s="19" t="s">
        <v>939</v>
      </c>
      <c r="E139" s="20" t="s">
        <v>940</v>
      </c>
      <c r="F139" s="32" t="s">
        <v>941</v>
      </c>
      <c r="G139" s="22" t="s">
        <v>31</v>
      </c>
      <c r="H139" s="23" t="s">
        <v>942</v>
      </c>
      <c r="I139" s="24" t="s">
        <v>55</v>
      </c>
      <c r="J139" s="1" t="str">
        <f t="shared" si="0"/>
        <v/>
      </c>
      <c r="K139" s="1"/>
      <c r="L139" s="1"/>
      <c r="M139" s="130">
        <v>136</v>
      </c>
      <c r="N139" s="130" t="s">
        <v>4337</v>
      </c>
      <c r="O139" s="131" t="s">
        <v>2606</v>
      </c>
      <c r="P139" s="130" t="s">
        <v>255</v>
      </c>
      <c r="Q139" s="130" t="s">
        <v>2607</v>
      </c>
      <c r="R139" s="130">
        <v>16</v>
      </c>
      <c r="S139" s="130" t="s">
        <v>4347</v>
      </c>
      <c r="T139" s="130" t="s">
        <v>4520</v>
      </c>
      <c r="U139" s="129"/>
      <c r="V139" s="129"/>
      <c r="W139" s="129"/>
      <c r="X139" s="129" t="s">
        <v>21</v>
      </c>
    </row>
    <row r="140" spans="1:24" ht="26.25" hidden="1" customHeight="1">
      <c r="A140" s="17">
        <f t="shared" si="1"/>
        <v>137</v>
      </c>
      <c r="B140" s="18" t="s">
        <v>13</v>
      </c>
      <c r="C140" s="31" t="s">
        <v>844</v>
      </c>
      <c r="D140" s="19" t="s">
        <v>124</v>
      </c>
      <c r="E140" s="20" t="s">
        <v>845</v>
      </c>
      <c r="F140" s="32" t="s">
        <v>170</v>
      </c>
      <c r="G140" s="22" t="s">
        <v>42</v>
      </c>
      <c r="H140" s="23" t="s">
        <v>943</v>
      </c>
      <c r="I140" s="24" t="s">
        <v>55</v>
      </c>
      <c r="J140" s="1" t="str">
        <f t="shared" si="0"/>
        <v/>
      </c>
      <c r="K140" s="1"/>
      <c r="L140" s="1"/>
      <c r="M140" s="130">
        <v>137</v>
      </c>
      <c r="N140" s="130" t="s">
        <v>4337</v>
      </c>
      <c r="O140" s="131" t="s">
        <v>2613</v>
      </c>
      <c r="P140" s="130" t="s">
        <v>361</v>
      </c>
      <c r="Q140" s="130" t="s">
        <v>2614</v>
      </c>
      <c r="R140" s="130">
        <v>6</v>
      </c>
      <c r="S140" s="130" t="s">
        <v>4347</v>
      </c>
      <c r="T140" s="130" t="s">
        <v>4521</v>
      </c>
      <c r="U140" s="129"/>
      <c r="V140" s="129"/>
      <c r="W140" s="129"/>
      <c r="X140" s="129" t="s">
        <v>21</v>
      </c>
    </row>
    <row r="141" spans="1:24" ht="26.25" hidden="1" customHeight="1">
      <c r="A141" s="17">
        <f t="shared" si="1"/>
        <v>138</v>
      </c>
      <c r="B141" s="18" t="s">
        <v>105</v>
      </c>
      <c r="C141" s="31" t="s">
        <v>946</v>
      </c>
      <c r="D141" s="19" t="s">
        <v>45</v>
      </c>
      <c r="E141" s="20" t="s">
        <v>947</v>
      </c>
      <c r="F141" s="32" t="s">
        <v>948</v>
      </c>
      <c r="G141" s="33" t="s">
        <v>31</v>
      </c>
      <c r="H141" s="23" t="s">
        <v>949</v>
      </c>
      <c r="I141" s="24" t="s">
        <v>55</v>
      </c>
      <c r="J141" s="1" t="str">
        <f t="shared" si="0"/>
        <v/>
      </c>
      <c r="K141" s="1"/>
      <c r="L141" s="1"/>
      <c r="M141" s="130">
        <v>138</v>
      </c>
      <c r="N141" s="130" t="s">
        <v>4337</v>
      </c>
      <c r="O141" s="131" t="s">
        <v>2616</v>
      </c>
      <c r="P141" s="130" t="s">
        <v>4522</v>
      </c>
      <c r="Q141" s="130" t="s">
        <v>2618</v>
      </c>
      <c r="R141" s="130">
        <v>12</v>
      </c>
      <c r="S141" s="129"/>
      <c r="T141" s="130" t="s">
        <v>4523</v>
      </c>
      <c r="U141" s="130" t="s">
        <v>20</v>
      </c>
      <c r="V141" s="129"/>
      <c r="W141" s="129"/>
      <c r="X141" s="129" t="s">
        <v>21</v>
      </c>
    </row>
    <row r="142" spans="1:24" ht="26.25" hidden="1" customHeight="1">
      <c r="A142" s="17">
        <f t="shared" si="1"/>
        <v>139</v>
      </c>
      <c r="B142" s="18" t="s">
        <v>105</v>
      </c>
      <c r="C142" s="31" t="s">
        <v>951</v>
      </c>
      <c r="D142" s="19" t="s">
        <v>722</v>
      </c>
      <c r="E142" s="20" t="s">
        <v>952</v>
      </c>
      <c r="F142" s="32" t="s">
        <v>953</v>
      </c>
      <c r="G142" s="33" t="s">
        <v>42</v>
      </c>
      <c r="H142" s="23" t="s">
        <v>954</v>
      </c>
      <c r="I142" s="24" t="s">
        <v>55</v>
      </c>
      <c r="J142" s="1" t="str">
        <f t="shared" si="0"/>
        <v/>
      </c>
      <c r="K142" s="1"/>
      <c r="L142" s="1"/>
      <c r="M142" s="130">
        <v>139</v>
      </c>
      <c r="N142" s="130" t="s">
        <v>4337</v>
      </c>
      <c r="O142" s="131" t="s">
        <v>4524</v>
      </c>
      <c r="P142" s="130" t="s">
        <v>361</v>
      </c>
      <c r="Q142" s="130" t="s">
        <v>2622</v>
      </c>
      <c r="R142" s="130">
        <v>18</v>
      </c>
      <c r="S142" s="130" t="s">
        <v>4347</v>
      </c>
      <c r="T142" s="130" t="s">
        <v>4525</v>
      </c>
      <c r="U142" s="129"/>
      <c r="V142" s="129"/>
      <c r="W142" s="129"/>
      <c r="X142" s="129" t="s">
        <v>21</v>
      </c>
    </row>
    <row r="143" spans="1:24" ht="26.25" customHeight="1">
      <c r="A143" s="17">
        <f t="shared" si="1"/>
        <v>140</v>
      </c>
      <c r="B143" s="18" t="s">
        <v>37</v>
      </c>
      <c r="C143" s="19" t="s">
        <v>956</v>
      </c>
      <c r="D143" s="19" t="s">
        <v>957</v>
      </c>
      <c r="E143" s="20" t="s">
        <v>958</v>
      </c>
      <c r="F143" s="21" t="s">
        <v>959</v>
      </c>
      <c r="G143" s="22" t="s">
        <v>350</v>
      </c>
      <c r="H143" s="23" t="s">
        <v>960</v>
      </c>
      <c r="I143" s="24" t="s">
        <v>20</v>
      </c>
      <c r="J143" s="1" t="str">
        <f t="shared" si="0"/>
        <v>FRIC</v>
      </c>
      <c r="K143" s="1"/>
      <c r="L143" s="1"/>
      <c r="M143" s="130">
        <v>140</v>
      </c>
      <c r="N143" s="130" t="s">
        <v>4337</v>
      </c>
      <c r="O143" s="131" t="s">
        <v>4526</v>
      </c>
      <c r="P143" s="130" t="s">
        <v>4345</v>
      </c>
      <c r="Q143" s="130" t="s">
        <v>2625</v>
      </c>
      <c r="R143" s="130">
        <v>32</v>
      </c>
      <c r="S143" s="129"/>
      <c r="T143" s="130" t="s">
        <v>4527</v>
      </c>
      <c r="U143" s="130" t="s">
        <v>20</v>
      </c>
      <c r="V143" s="129"/>
      <c r="W143" s="129"/>
      <c r="X143" s="129" t="s">
        <v>21</v>
      </c>
    </row>
    <row r="144" spans="1:24" ht="26.25" hidden="1" customHeight="1">
      <c r="A144" s="17">
        <f t="shared" si="1"/>
        <v>141</v>
      </c>
      <c r="B144" s="18" t="s">
        <v>81</v>
      </c>
      <c r="C144" s="22" t="s">
        <v>961</v>
      </c>
      <c r="D144" s="19" t="s">
        <v>181</v>
      </c>
      <c r="E144" s="20" t="s">
        <v>232</v>
      </c>
      <c r="F144" s="32" t="s">
        <v>962</v>
      </c>
      <c r="G144" s="33" t="s">
        <v>42</v>
      </c>
      <c r="H144" s="23" t="s">
        <v>963</v>
      </c>
      <c r="I144" s="24" t="s">
        <v>55</v>
      </c>
      <c r="J144" s="1" t="str">
        <f t="shared" si="0"/>
        <v/>
      </c>
      <c r="K144" s="1"/>
      <c r="L144" s="1"/>
      <c r="M144" s="130">
        <v>141</v>
      </c>
      <c r="N144" s="130" t="s">
        <v>4337</v>
      </c>
      <c r="O144" s="131" t="s">
        <v>2627</v>
      </c>
      <c r="P144" s="130" t="s">
        <v>361</v>
      </c>
      <c r="Q144" s="130" t="s">
        <v>2628</v>
      </c>
      <c r="R144" s="130">
        <v>14</v>
      </c>
      <c r="S144" s="130" t="s">
        <v>4347</v>
      </c>
      <c r="T144" s="130" t="s">
        <v>4528</v>
      </c>
      <c r="U144" s="129"/>
      <c r="V144" s="129"/>
      <c r="W144" s="129"/>
      <c r="X144" s="129" t="s">
        <v>21</v>
      </c>
    </row>
    <row r="145" spans="1:24" ht="26.25" hidden="1" customHeight="1">
      <c r="A145" s="17">
        <f t="shared" si="1"/>
        <v>142</v>
      </c>
      <c r="B145" s="18" t="s">
        <v>248</v>
      </c>
      <c r="C145" s="31" t="s">
        <v>967</v>
      </c>
      <c r="D145" s="19" t="s">
        <v>227</v>
      </c>
      <c r="E145" s="20" t="s">
        <v>968</v>
      </c>
      <c r="F145" s="32" t="s">
        <v>969</v>
      </c>
      <c r="G145" s="33" t="s">
        <v>42</v>
      </c>
      <c r="H145" s="23" t="s">
        <v>970</v>
      </c>
      <c r="I145" s="24" t="s">
        <v>55</v>
      </c>
      <c r="J145" s="1" t="str">
        <f t="shared" si="0"/>
        <v/>
      </c>
      <c r="K145" s="1"/>
      <c r="L145" s="1"/>
      <c r="M145" s="130">
        <v>142</v>
      </c>
      <c r="N145" s="130" t="s">
        <v>4337</v>
      </c>
      <c r="O145" s="131" t="s">
        <v>2658</v>
      </c>
      <c r="P145" s="130" t="s">
        <v>255</v>
      </c>
      <c r="Q145" s="130" t="s">
        <v>2659</v>
      </c>
      <c r="R145" s="130">
        <v>24</v>
      </c>
      <c r="S145" s="130" t="s">
        <v>4347</v>
      </c>
      <c r="T145" s="130" t="s">
        <v>4529</v>
      </c>
      <c r="U145" s="129"/>
      <c r="V145" s="129"/>
      <c r="W145" s="129"/>
      <c r="X145" s="129" t="s">
        <v>21</v>
      </c>
    </row>
    <row r="146" spans="1:24" ht="26.25" hidden="1" customHeight="1">
      <c r="A146" s="17">
        <f t="shared" si="1"/>
        <v>143</v>
      </c>
      <c r="B146" s="18" t="s">
        <v>248</v>
      </c>
      <c r="C146" s="31" t="s">
        <v>336</v>
      </c>
      <c r="D146" s="19" t="s">
        <v>124</v>
      </c>
      <c r="E146" s="20" t="s">
        <v>974</v>
      </c>
      <c r="F146" s="32" t="s">
        <v>163</v>
      </c>
      <c r="G146" s="33" t="s">
        <v>31</v>
      </c>
      <c r="H146" s="59" t="s">
        <v>975</v>
      </c>
      <c r="I146" s="24" t="s">
        <v>55</v>
      </c>
      <c r="J146" s="1" t="str">
        <f t="shared" si="0"/>
        <v/>
      </c>
      <c r="K146" s="1"/>
      <c r="L146" s="1"/>
      <c r="M146" s="130">
        <v>143</v>
      </c>
      <c r="N146" s="130" t="s">
        <v>4337</v>
      </c>
      <c r="O146" s="131" t="s">
        <v>2666</v>
      </c>
      <c r="P146" s="130" t="s">
        <v>2667</v>
      </c>
      <c r="Q146" s="130" t="s">
        <v>2668</v>
      </c>
      <c r="R146" s="130">
        <v>4</v>
      </c>
      <c r="S146" s="129"/>
      <c r="T146" s="130" t="s">
        <v>4530</v>
      </c>
      <c r="U146" s="129"/>
      <c r="V146" s="129"/>
      <c r="W146" s="129"/>
      <c r="X146" s="129" t="s">
        <v>21</v>
      </c>
    </row>
    <row r="147" spans="1:24" ht="26.25" hidden="1" customHeight="1">
      <c r="A147" s="17">
        <f t="shared" si="1"/>
        <v>144</v>
      </c>
      <c r="B147" s="18" t="s">
        <v>27</v>
      </c>
      <c r="C147" s="31" t="s">
        <v>979</v>
      </c>
      <c r="D147" s="19" t="s">
        <v>196</v>
      </c>
      <c r="E147" s="20" t="s">
        <v>980</v>
      </c>
      <c r="F147" s="32" t="s">
        <v>981</v>
      </c>
      <c r="G147" s="22" t="s">
        <v>42</v>
      </c>
      <c r="H147" s="23" t="s">
        <v>982</v>
      </c>
      <c r="I147" s="24" t="s">
        <v>55</v>
      </c>
      <c r="J147" s="1" t="str">
        <f t="shared" si="0"/>
        <v/>
      </c>
      <c r="K147" s="1"/>
      <c r="L147" s="1"/>
      <c r="M147" s="130">
        <v>144</v>
      </c>
      <c r="N147" s="130" t="s">
        <v>4337</v>
      </c>
      <c r="O147" s="131" t="s">
        <v>2671</v>
      </c>
      <c r="P147" s="130" t="s">
        <v>2667</v>
      </c>
      <c r="Q147" s="130" t="s">
        <v>2672</v>
      </c>
      <c r="R147" s="130">
        <v>4</v>
      </c>
      <c r="S147" s="129"/>
      <c r="T147" s="130" t="s">
        <v>4531</v>
      </c>
      <c r="U147" s="129"/>
      <c r="V147" s="129"/>
      <c r="W147" s="129"/>
      <c r="X147" s="129" t="s">
        <v>21</v>
      </c>
    </row>
    <row r="148" spans="1:24" ht="26.25" hidden="1" customHeight="1">
      <c r="A148" s="17">
        <f t="shared" si="1"/>
        <v>145</v>
      </c>
      <c r="B148" s="18" t="s">
        <v>27</v>
      </c>
      <c r="C148" s="31" t="s">
        <v>986</v>
      </c>
      <c r="D148" s="19" t="s">
        <v>124</v>
      </c>
      <c r="E148" s="20" t="s">
        <v>987</v>
      </c>
      <c r="F148" s="32">
        <v>2010</v>
      </c>
      <c r="G148" s="22" t="s">
        <v>42</v>
      </c>
      <c r="H148" s="23" t="s">
        <v>988</v>
      </c>
      <c r="I148" s="24" t="s">
        <v>55</v>
      </c>
      <c r="J148" s="1" t="str">
        <f t="shared" si="0"/>
        <v/>
      </c>
      <c r="K148" s="1"/>
      <c r="L148" s="1"/>
      <c r="M148" s="130">
        <v>145</v>
      </c>
      <c r="N148" s="130" t="s">
        <v>4337</v>
      </c>
      <c r="O148" s="131" t="s">
        <v>2698</v>
      </c>
      <c r="P148" s="130" t="s">
        <v>255</v>
      </c>
      <c r="Q148" s="130" t="s">
        <v>2699</v>
      </c>
      <c r="R148" s="130">
        <v>6</v>
      </c>
      <c r="S148" s="130" t="s">
        <v>4347</v>
      </c>
      <c r="T148" s="130" t="s">
        <v>4532</v>
      </c>
      <c r="U148" s="129"/>
      <c r="V148" s="129"/>
      <c r="W148" s="129"/>
      <c r="X148" s="129" t="s">
        <v>21</v>
      </c>
    </row>
    <row r="149" spans="1:24" ht="26.25" hidden="1" customHeight="1">
      <c r="A149" s="17">
        <f t="shared" si="1"/>
        <v>146</v>
      </c>
      <c r="B149" s="18" t="s">
        <v>105</v>
      </c>
      <c r="C149" s="31" t="s">
        <v>992</v>
      </c>
      <c r="D149" s="19" t="s">
        <v>124</v>
      </c>
      <c r="E149" s="20" t="s">
        <v>993</v>
      </c>
      <c r="F149" s="32" t="s">
        <v>519</v>
      </c>
      <c r="G149" s="33" t="s">
        <v>42</v>
      </c>
      <c r="H149" s="23" t="s">
        <v>994</v>
      </c>
      <c r="I149" s="24" t="s">
        <v>55</v>
      </c>
      <c r="J149" s="1" t="str">
        <f t="shared" si="0"/>
        <v/>
      </c>
      <c r="K149" s="1"/>
      <c r="L149" s="1"/>
      <c r="M149" s="130">
        <v>146</v>
      </c>
      <c r="N149" s="130" t="s">
        <v>4337</v>
      </c>
      <c r="O149" s="131" t="s">
        <v>2707</v>
      </c>
      <c r="P149" s="130" t="s">
        <v>896</v>
      </c>
      <c r="Q149" s="130" t="s">
        <v>2708</v>
      </c>
      <c r="R149" s="130">
        <v>12</v>
      </c>
      <c r="S149" s="129"/>
      <c r="T149" s="130" t="s">
        <v>4533</v>
      </c>
      <c r="U149" s="130" t="s">
        <v>20</v>
      </c>
      <c r="V149" s="129"/>
      <c r="W149" s="129"/>
      <c r="X149" s="129" t="s">
        <v>21</v>
      </c>
    </row>
    <row r="150" spans="1:24" ht="26.25" hidden="1" customHeight="1">
      <c r="A150" s="17">
        <f t="shared" si="1"/>
        <v>147</v>
      </c>
      <c r="B150" s="18" t="s">
        <v>105</v>
      </c>
      <c r="C150" s="31" t="s">
        <v>997</v>
      </c>
      <c r="D150" s="19" t="s">
        <v>196</v>
      </c>
      <c r="E150" s="20" t="s">
        <v>998</v>
      </c>
      <c r="F150" s="32" t="s">
        <v>953</v>
      </c>
      <c r="G150" s="33" t="s">
        <v>42</v>
      </c>
      <c r="H150" s="23" t="s">
        <v>999</v>
      </c>
      <c r="I150" s="24" t="s">
        <v>55</v>
      </c>
      <c r="J150" s="1" t="str">
        <f t="shared" si="0"/>
        <v/>
      </c>
      <c r="K150" s="1"/>
      <c r="L150" s="1"/>
      <c r="M150" s="130">
        <v>147</v>
      </c>
      <c r="N150" s="130" t="s">
        <v>4337</v>
      </c>
      <c r="O150" s="131" t="s">
        <v>4534</v>
      </c>
      <c r="P150" s="130" t="s">
        <v>4436</v>
      </c>
      <c r="Q150" s="130" t="s">
        <v>2723</v>
      </c>
      <c r="R150" s="130">
        <v>12</v>
      </c>
      <c r="S150" s="130" t="s">
        <v>4347</v>
      </c>
      <c r="T150" s="130" t="s">
        <v>4535</v>
      </c>
      <c r="U150" s="129"/>
      <c r="V150" s="129"/>
      <c r="W150" s="129"/>
      <c r="X150" s="129" t="s">
        <v>21</v>
      </c>
    </row>
    <row r="151" spans="1:24" ht="26.25" hidden="1" customHeight="1">
      <c r="A151" s="17">
        <f t="shared" si="1"/>
        <v>148</v>
      </c>
      <c r="B151" s="18" t="s">
        <v>105</v>
      </c>
      <c r="C151" s="31" t="s">
        <v>1003</v>
      </c>
      <c r="D151" s="19" t="s">
        <v>124</v>
      </c>
      <c r="E151" s="20" t="s">
        <v>1004</v>
      </c>
      <c r="F151" s="21" t="s">
        <v>1005</v>
      </c>
      <c r="G151" s="33" t="s">
        <v>42</v>
      </c>
      <c r="H151" s="23" t="s">
        <v>1006</v>
      </c>
      <c r="I151" s="34" t="s">
        <v>20</v>
      </c>
      <c r="J151" s="1" t="str">
        <f t="shared" si="0"/>
        <v>과기</v>
      </c>
      <c r="K151" s="25"/>
      <c r="L151" s="25"/>
      <c r="M151" s="133">
        <v>148</v>
      </c>
      <c r="N151" s="133" t="s">
        <v>4337</v>
      </c>
      <c r="O151" s="134" t="s">
        <v>4536</v>
      </c>
      <c r="P151" s="133" t="s">
        <v>255</v>
      </c>
      <c r="Q151" s="133" t="s">
        <v>2781</v>
      </c>
      <c r="R151" s="133">
        <v>24</v>
      </c>
      <c r="S151" s="133" t="s">
        <v>4347</v>
      </c>
      <c r="T151" s="133" t="s">
        <v>4537</v>
      </c>
      <c r="U151" s="135"/>
      <c r="V151" s="135"/>
      <c r="W151" s="135"/>
      <c r="X151" s="135" t="s">
        <v>21</v>
      </c>
    </row>
    <row r="152" spans="1:24" ht="26.25" hidden="1" customHeight="1">
      <c r="A152" s="17">
        <f t="shared" si="1"/>
        <v>149</v>
      </c>
      <c r="B152" s="18" t="s">
        <v>105</v>
      </c>
      <c r="C152" s="31" t="s">
        <v>1009</v>
      </c>
      <c r="D152" s="19" t="s">
        <v>124</v>
      </c>
      <c r="E152" s="20" t="s">
        <v>1010</v>
      </c>
      <c r="F152" s="21" t="s">
        <v>1011</v>
      </c>
      <c r="G152" s="33" t="s">
        <v>42</v>
      </c>
      <c r="H152" s="23" t="s">
        <v>1012</v>
      </c>
      <c r="I152" s="34" t="s">
        <v>20</v>
      </c>
      <c r="J152" s="1" t="str">
        <f t="shared" si="0"/>
        <v>과기</v>
      </c>
      <c r="K152" s="25"/>
      <c r="L152" s="25"/>
      <c r="M152" s="133">
        <v>149</v>
      </c>
      <c r="N152" s="133" t="s">
        <v>4337</v>
      </c>
      <c r="O152" s="134" t="s">
        <v>4538</v>
      </c>
      <c r="P152" s="133" t="s">
        <v>255</v>
      </c>
      <c r="Q152" s="133" t="s">
        <v>2784</v>
      </c>
      <c r="R152" s="133">
        <v>12</v>
      </c>
      <c r="S152" s="133" t="s">
        <v>4347</v>
      </c>
      <c r="T152" s="133" t="s">
        <v>4539</v>
      </c>
      <c r="U152" s="135"/>
      <c r="V152" s="135"/>
      <c r="W152" s="135"/>
      <c r="X152" s="135" t="s">
        <v>21</v>
      </c>
    </row>
    <row r="153" spans="1:24" ht="26.25" hidden="1" customHeight="1">
      <c r="A153" s="17">
        <f t="shared" si="1"/>
        <v>150</v>
      </c>
      <c r="B153" s="18" t="s">
        <v>81</v>
      </c>
      <c r="C153" s="31" t="s">
        <v>1016</v>
      </c>
      <c r="D153" s="19" t="s">
        <v>83</v>
      </c>
      <c r="E153" s="20" t="s">
        <v>1017</v>
      </c>
      <c r="F153" s="21" t="s">
        <v>1018</v>
      </c>
      <c r="G153" s="33" t="s">
        <v>42</v>
      </c>
      <c r="H153" s="23" t="s">
        <v>1019</v>
      </c>
      <c r="I153" s="24" t="s">
        <v>20</v>
      </c>
      <c r="J153" s="1" t="str">
        <f t="shared" si="0"/>
        <v>과기</v>
      </c>
      <c r="K153" s="1"/>
      <c r="L153" s="1"/>
      <c r="M153" s="130">
        <v>150</v>
      </c>
      <c r="N153" s="130" t="s">
        <v>4337</v>
      </c>
      <c r="O153" s="131" t="s">
        <v>2844</v>
      </c>
      <c r="P153" s="130" t="s">
        <v>255</v>
      </c>
      <c r="Q153" s="130" t="s">
        <v>2845</v>
      </c>
      <c r="R153" s="130">
        <v>6</v>
      </c>
      <c r="S153" s="130" t="s">
        <v>4347</v>
      </c>
      <c r="T153" s="130" t="s">
        <v>4540</v>
      </c>
      <c r="U153" s="129"/>
      <c r="V153" s="129"/>
      <c r="W153" s="129"/>
      <c r="X153" s="129" t="s">
        <v>21</v>
      </c>
    </row>
    <row r="154" spans="1:24" ht="26.25" hidden="1" customHeight="1">
      <c r="A154" s="17">
        <f t="shared" si="1"/>
        <v>151</v>
      </c>
      <c r="B154" s="18" t="s">
        <v>105</v>
      </c>
      <c r="C154" s="31" t="s">
        <v>1023</v>
      </c>
      <c r="D154" s="19" t="s">
        <v>124</v>
      </c>
      <c r="E154" s="20" t="s">
        <v>1024</v>
      </c>
      <c r="F154" s="32" t="s">
        <v>1025</v>
      </c>
      <c r="G154" s="33" t="s">
        <v>42</v>
      </c>
      <c r="H154" s="23" t="s">
        <v>1026</v>
      </c>
      <c r="I154" s="24" t="s">
        <v>55</v>
      </c>
      <c r="J154" s="1" t="str">
        <f t="shared" si="0"/>
        <v/>
      </c>
      <c r="K154" s="1"/>
      <c r="L154" s="1"/>
      <c r="M154" s="130">
        <v>151</v>
      </c>
      <c r="N154" s="130" t="s">
        <v>4337</v>
      </c>
      <c r="O154" s="131" t="s">
        <v>4541</v>
      </c>
      <c r="P154" s="130" t="s">
        <v>1320</v>
      </c>
      <c r="Q154" s="130" t="s">
        <v>1326</v>
      </c>
      <c r="R154" s="130">
        <v>6</v>
      </c>
      <c r="S154" s="129"/>
      <c r="T154" s="130" t="s">
        <v>4542</v>
      </c>
      <c r="U154" s="130" t="s">
        <v>20</v>
      </c>
      <c r="V154" s="129"/>
      <c r="W154" s="129"/>
      <c r="X154" s="129" t="s">
        <v>21</v>
      </c>
    </row>
    <row r="155" spans="1:24" ht="26.25" hidden="1" customHeight="1">
      <c r="A155" s="17">
        <f t="shared" si="1"/>
        <v>152</v>
      </c>
      <c r="B155" s="18" t="s">
        <v>81</v>
      </c>
      <c r="C155" s="31" t="s">
        <v>1030</v>
      </c>
      <c r="D155" s="19" t="s">
        <v>1031</v>
      </c>
      <c r="E155" s="20" t="s">
        <v>1032</v>
      </c>
      <c r="F155" s="32" t="s">
        <v>1033</v>
      </c>
      <c r="G155" s="33" t="s">
        <v>53</v>
      </c>
      <c r="H155" s="23" t="s">
        <v>1034</v>
      </c>
      <c r="I155" s="24" t="s">
        <v>55</v>
      </c>
      <c r="J155" s="1" t="str">
        <f t="shared" si="0"/>
        <v/>
      </c>
      <c r="K155" s="1"/>
      <c r="L155" s="1"/>
      <c r="M155" s="130">
        <v>152</v>
      </c>
      <c r="N155" s="130" t="s">
        <v>4337</v>
      </c>
      <c r="O155" s="131" t="s">
        <v>4543</v>
      </c>
      <c r="P155" s="130" t="s">
        <v>361</v>
      </c>
      <c r="Q155" s="130" t="s">
        <v>2874</v>
      </c>
      <c r="R155" s="130">
        <v>10</v>
      </c>
      <c r="S155" s="130" t="s">
        <v>4347</v>
      </c>
      <c r="T155" s="130" t="s">
        <v>4544</v>
      </c>
      <c r="U155" s="129"/>
      <c r="V155" s="129"/>
      <c r="W155" s="129"/>
      <c r="X155" s="129" t="s">
        <v>21</v>
      </c>
    </row>
    <row r="156" spans="1:24" ht="26.25" hidden="1" customHeight="1">
      <c r="A156" s="17">
        <f t="shared" si="1"/>
        <v>153</v>
      </c>
      <c r="B156" s="18" t="s">
        <v>81</v>
      </c>
      <c r="C156" s="31" t="s">
        <v>1038</v>
      </c>
      <c r="D156" s="19" t="s">
        <v>1031</v>
      </c>
      <c r="E156" s="20" t="s">
        <v>852</v>
      </c>
      <c r="F156" s="32" t="s">
        <v>1039</v>
      </c>
      <c r="G156" s="33" t="s">
        <v>53</v>
      </c>
      <c r="H156" s="23" t="s">
        <v>1040</v>
      </c>
      <c r="I156" s="24" t="s">
        <v>55</v>
      </c>
      <c r="J156" s="1" t="str">
        <f t="shared" si="0"/>
        <v/>
      </c>
      <c r="K156" s="1"/>
      <c r="L156" s="1"/>
      <c r="M156" s="130">
        <v>153</v>
      </c>
      <c r="N156" s="130" t="s">
        <v>4337</v>
      </c>
      <c r="O156" s="131" t="s">
        <v>4545</v>
      </c>
      <c r="P156" s="130" t="s">
        <v>196</v>
      </c>
      <c r="Q156" s="130" t="s">
        <v>2877</v>
      </c>
      <c r="R156" s="130">
        <v>12</v>
      </c>
      <c r="S156" s="130" t="s">
        <v>4347</v>
      </c>
      <c r="T156" s="130" t="s">
        <v>4546</v>
      </c>
      <c r="U156" s="129"/>
      <c r="V156" s="129"/>
      <c r="W156" s="129"/>
      <c r="X156" s="129" t="s">
        <v>21</v>
      </c>
    </row>
    <row r="157" spans="1:24" ht="26.25" hidden="1" customHeight="1">
      <c r="A157" s="17">
        <f t="shared" si="1"/>
        <v>154</v>
      </c>
      <c r="B157" s="18" t="s">
        <v>81</v>
      </c>
      <c r="C157" s="31" t="s">
        <v>1044</v>
      </c>
      <c r="D157" s="19" t="s">
        <v>1045</v>
      </c>
      <c r="E157" s="20" t="s">
        <v>225</v>
      </c>
      <c r="F157" s="32" t="s">
        <v>962</v>
      </c>
      <c r="G157" s="33" t="s">
        <v>42</v>
      </c>
      <c r="H157" s="23" t="s">
        <v>1046</v>
      </c>
      <c r="I157" s="24" t="s">
        <v>55</v>
      </c>
      <c r="J157" s="1" t="str">
        <f t="shared" si="0"/>
        <v/>
      </c>
      <c r="K157" s="1"/>
      <c r="L157" s="1"/>
      <c r="M157" s="130">
        <v>154</v>
      </c>
      <c r="N157" s="130" t="s">
        <v>4337</v>
      </c>
      <c r="O157" s="131" t="s">
        <v>2887</v>
      </c>
      <c r="P157" s="130" t="s">
        <v>255</v>
      </c>
      <c r="Q157" s="130" t="s">
        <v>2888</v>
      </c>
      <c r="R157" s="130">
        <v>18</v>
      </c>
      <c r="S157" s="130" t="s">
        <v>4347</v>
      </c>
      <c r="T157" s="130" t="s">
        <v>4547</v>
      </c>
      <c r="U157" s="129"/>
      <c r="V157" s="129"/>
      <c r="W157" s="129"/>
      <c r="X157" s="129" t="s">
        <v>21</v>
      </c>
    </row>
    <row r="158" spans="1:24" ht="26.25" hidden="1" customHeight="1">
      <c r="A158" s="17">
        <f t="shared" si="1"/>
        <v>155</v>
      </c>
      <c r="B158" s="18" t="s">
        <v>81</v>
      </c>
      <c r="C158" s="31" t="s">
        <v>1049</v>
      </c>
      <c r="D158" s="19" t="s">
        <v>1050</v>
      </c>
      <c r="E158" s="20" t="s">
        <v>1051</v>
      </c>
      <c r="F158" s="32" t="s">
        <v>1052</v>
      </c>
      <c r="G158" s="33" t="s">
        <v>53</v>
      </c>
      <c r="H158" s="23" t="s">
        <v>1053</v>
      </c>
      <c r="I158" s="24" t="s">
        <v>55</v>
      </c>
      <c r="J158" s="1" t="str">
        <f t="shared" si="0"/>
        <v/>
      </c>
      <c r="K158" s="1"/>
      <c r="L158" s="1"/>
      <c r="M158" s="130">
        <v>155</v>
      </c>
      <c r="N158" s="130" t="s">
        <v>4337</v>
      </c>
      <c r="O158" s="131" t="s">
        <v>4548</v>
      </c>
      <c r="P158" s="130" t="s">
        <v>1456</v>
      </c>
      <c r="Q158" s="130" t="s">
        <v>2893</v>
      </c>
      <c r="R158" s="130">
        <v>9</v>
      </c>
      <c r="S158" s="130" t="s">
        <v>4347</v>
      </c>
      <c r="T158" s="130" t="s">
        <v>4549</v>
      </c>
      <c r="U158" s="129"/>
      <c r="V158" s="129"/>
      <c r="W158" s="129"/>
      <c r="X158" s="129" t="s">
        <v>21</v>
      </c>
    </row>
    <row r="159" spans="1:24" ht="26.25" customHeight="1">
      <c r="A159" s="17">
        <f t="shared" si="1"/>
        <v>156</v>
      </c>
      <c r="B159" s="18" t="s">
        <v>81</v>
      </c>
      <c r="C159" s="19" t="s">
        <v>1057</v>
      </c>
      <c r="D159" s="19" t="s">
        <v>1058</v>
      </c>
      <c r="E159" s="20" t="s">
        <v>1059</v>
      </c>
      <c r="F159" s="21" t="s">
        <v>135</v>
      </c>
      <c r="G159" s="33" t="s">
        <v>42</v>
      </c>
      <c r="H159" s="23" t="s">
        <v>1060</v>
      </c>
      <c r="I159" s="24" t="s">
        <v>20</v>
      </c>
      <c r="J159" s="1" t="str">
        <f t="shared" si="0"/>
        <v>FRIC</v>
      </c>
      <c r="K159" s="1"/>
      <c r="L159" s="1"/>
      <c r="M159" s="130">
        <v>156</v>
      </c>
      <c r="N159" s="130" t="s">
        <v>4337</v>
      </c>
      <c r="O159" s="131" t="s">
        <v>4550</v>
      </c>
      <c r="P159" s="130" t="s">
        <v>558</v>
      </c>
      <c r="Q159" s="130" t="s">
        <v>2921</v>
      </c>
      <c r="R159" s="132">
        <v>14</v>
      </c>
      <c r="S159" s="129"/>
      <c r="T159" s="130" t="s">
        <v>4551</v>
      </c>
      <c r="U159" s="129"/>
      <c r="V159" s="129"/>
      <c r="W159" s="129"/>
      <c r="X159" s="129" t="s">
        <v>21</v>
      </c>
    </row>
    <row r="160" spans="1:24" ht="26.25" hidden="1" customHeight="1">
      <c r="A160" s="17">
        <f t="shared" si="1"/>
        <v>157</v>
      </c>
      <c r="B160" s="18" t="s">
        <v>81</v>
      </c>
      <c r="C160" s="31" t="s">
        <v>1063</v>
      </c>
      <c r="D160" s="19" t="s">
        <v>83</v>
      </c>
      <c r="E160" s="20" t="s">
        <v>1064</v>
      </c>
      <c r="F160" s="32" t="s">
        <v>1065</v>
      </c>
      <c r="G160" s="33" t="s">
        <v>53</v>
      </c>
      <c r="H160" s="23" t="s">
        <v>1066</v>
      </c>
      <c r="I160" s="24" t="s">
        <v>55</v>
      </c>
      <c r="J160" s="1" t="str">
        <f t="shared" si="0"/>
        <v/>
      </c>
      <c r="K160" s="1"/>
      <c r="L160" s="1"/>
      <c r="M160" s="130">
        <v>157</v>
      </c>
      <c r="N160" s="130" t="s">
        <v>4337</v>
      </c>
      <c r="O160" s="131" t="s">
        <v>4552</v>
      </c>
      <c r="P160" s="130" t="s">
        <v>558</v>
      </c>
      <c r="Q160" s="130" t="s">
        <v>2925</v>
      </c>
      <c r="R160" s="130">
        <v>24</v>
      </c>
      <c r="S160" s="129"/>
      <c r="T160" s="130" t="s">
        <v>4553</v>
      </c>
      <c r="U160" s="129"/>
      <c r="V160" s="129"/>
      <c r="W160" s="129"/>
      <c r="X160" s="129" t="s">
        <v>21</v>
      </c>
    </row>
    <row r="161" spans="1:24" ht="26.25" hidden="1" customHeight="1">
      <c r="A161" s="17">
        <f t="shared" si="1"/>
        <v>158</v>
      </c>
      <c r="B161" s="18" t="s">
        <v>13</v>
      </c>
      <c r="C161" s="31" t="s">
        <v>971</v>
      </c>
      <c r="D161" s="19" t="s">
        <v>972</v>
      </c>
      <c r="E161" s="20" t="s">
        <v>973</v>
      </c>
      <c r="F161" s="32" t="s">
        <v>170</v>
      </c>
      <c r="G161" s="22" t="s">
        <v>53</v>
      </c>
      <c r="H161" s="23" t="s">
        <v>1070</v>
      </c>
      <c r="I161" s="24" t="s">
        <v>55</v>
      </c>
      <c r="J161" s="1" t="str">
        <f t="shared" si="0"/>
        <v/>
      </c>
      <c r="K161" s="1"/>
      <c r="L161" s="1"/>
      <c r="M161" s="130">
        <v>158</v>
      </c>
      <c r="N161" s="130" t="s">
        <v>4337</v>
      </c>
      <c r="O161" s="131" t="s">
        <v>4554</v>
      </c>
      <c r="P161" s="130" t="s">
        <v>558</v>
      </c>
      <c r="Q161" s="130" t="s">
        <v>2929</v>
      </c>
      <c r="R161" s="130">
        <v>14</v>
      </c>
      <c r="S161" s="129"/>
      <c r="T161" s="130" t="s">
        <v>4555</v>
      </c>
      <c r="U161" s="129"/>
      <c r="V161" s="129"/>
      <c r="W161" s="129"/>
      <c r="X161" s="129" t="s">
        <v>21</v>
      </c>
    </row>
    <row r="162" spans="1:24" ht="26.25" customHeight="1">
      <c r="A162" s="17">
        <f t="shared" si="1"/>
        <v>159</v>
      </c>
      <c r="B162" s="18" t="s">
        <v>13</v>
      </c>
      <c r="C162" s="19" t="s">
        <v>1073</v>
      </c>
      <c r="D162" s="19" t="s">
        <v>60</v>
      </c>
      <c r="E162" s="20" t="s">
        <v>1074</v>
      </c>
      <c r="F162" s="21" t="s">
        <v>1075</v>
      </c>
      <c r="G162" s="22" t="s">
        <v>53</v>
      </c>
      <c r="H162" s="23" t="s">
        <v>1076</v>
      </c>
      <c r="I162" s="24" t="s">
        <v>20</v>
      </c>
      <c r="J162" s="1" t="str">
        <f t="shared" si="0"/>
        <v>FRIC</v>
      </c>
      <c r="K162" s="1"/>
      <c r="L162" s="1"/>
      <c r="M162" s="130">
        <v>159</v>
      </c>
      <c r="N162" s="130" t="s">
        <v>4337</v>
      </c>
      <c r="O162" s="131" t="s">
        <v>4556</v>
      </c>
      <c r="P162" s="130" t="s">
        <v>558</v>
      </c>
      <c r="Q162" s="130" t="s">
        <v>2937</v>
      </c>
      <c r="R162" s="130">
        <v>10</v>
      </c>
      <c r="S162" s="129"/>
      <c r="T162" s="130" t="s">
        <v>4557</v>
      </c>
      <c r="U162" s="129"/>
      <c r="V162" s="129"/>
      <c r="W162" s="129"/>
      <c r="X162" s="129" t="s">
        <v>21</v>
      </c>
    </row>
    <row r="163" spans="1:24" ht="26.25" customHeight="1">
      <c r="A163" s="17">
        <f t="shared" si="1"/>
        <v>160</v>
      </c>
      <c r="B163" s="18" t="s">
        <v>81</v>
      </c>
      <c r="C163" s="19" t="s">
        <v>1080</v>
      </c>
      <c r="D163" s="19" t="s">
        <v>141</v>
      </c>
      <c r="E163" s="20" t="s">
        <v>1081</v>
      </c>
      <c r="F163" s="21" t="s">
        <v>905</v>
      </c>
      <c r="G163" s="33" t="s">
        <v>42</v>
      </c>
      <c r="H163" s="23" t="s">
        <v>1082</v>
      </c>
      <c r="I163" s="24" t="s">
        <v>20</v>
      </c>
      <c r="J163" s="1" t="str">
        <f t="shared" si="0"/>
        <v>FRIC</v>
      </c>
      <c r="K163" s="1"/>
      <c r="L163" s="1"/>
      <c r="M163" s="130">
        <v>160</v>
      </c>
      <c r="N163" s="130" t="s">
        <v>4337</v>
      </c>
      <c r="O163" s="131" t="s">
        <v>4558</v>
      </c>
      <c r="P163" s="130" t="s">
        <v>558</v>
      </c>
      <c r="Q163" s="130" t="s">
        <v>2941</v>
      </c>
      <c r="R163" s="130">
        <v>16</v>
      </c>
      <c r="S163" s="129"/>
      <c r="T163" s="130" t="s">
        <v>4559</v>
      </c>
      <c r="U163" s="129"/>
      <c r="V163" s="129"/>
      <c r="W163" s="129"/>
      <c r="X163" s="129" t="s">
        <v>21</v>
      </c>
    </row>
    <row r="164" spans="1:24" ht="26.25" hidden="1" customHeight="1">
      <c r="A164" s="17">
        <f t="shared" si="1"/>
        <v>161</v>
      </c>
      <c r="B164" s="18" t="s">
        <v>13</v>
      </c>
      <c r="C164" s="31" t="s">
        <v>360</v>
      </c>
      <c r="D164" s="19" t="s">
        <v>499</v>
      </c>
      <c r="E164" s="20" t="s">
        <v>362</v>
      </c>
      <c r="F164" s="32" t="s">
        <v>163</v>
      </c>
      <c r="G164" s="22" t="s">
        <v>1086</v>
      </c>
      <c r="H164" s="23" t="s">
        <v>1087</v>
      </c>
      <c r="I164" s="24" t="s">
        <v>55</v>
      </c>
      <c r="J164" s="1" t="str">
        <f t="shared" si="0"/>
        <v/>
      </c>
      <c r="K164" s="1"/>
      <c r="L164" s="1"/>
      <c r="M164" s="130">
        <v>161</v>
      </c>
      <c r="N164" s="130" t="s">
        <v>4337</v>
      </c>
      <c r="O164" s="131" t="s">
        <v>4560</v>
      </c>
      <c r="P164" s="130" t="s">
        <v>558</v>
      </c>
      <c r="Q164" s="130" t="s">
        <v>2944</v>
      </c>
      <c r="R164" s="130">
        <v>12</v>
      </c>
      <c r="S164" s="129"/>
      <c r="T164" s="130" t="s">
        <v>4561</v>
      </c>
      <c r="U164" s="129"/>
      <c r="V164" s="129"/>
      <c r="W164" s="129"/>
      <c r="X164" s="129" t="s">
        <v>21</v>
      </c>
    </row>
    <row r="165" spans="1:24" ht="26.25" hidden="1" customHeight="1">
      <c r="A165" s="17">
        <f t="shared" si="1"/>
        <v>162</v>
      </c>
      <c r="B165" s="18" t="s">
        <v>13</v>
      </c>
      <c r="C165" s="31" t="s">
        <v>976</v>
      </c>
      <c r="D165" s="19" t="s">
        <v>1090</v>
      </c>
      <c r="E165" s="20" t="s">
        <v>978</v>
      </c>
      <c r="F165" s="32" t="s">
        <v>170</v>
      </c>
      <c r="G165" s="22" t="s">
        <v>53</v>
      </c>
      <c r="H165" s="23" t="s">
        <v>1091</v>
      </c>
      <c r="I165" s="24" t="s">
        <v>55</v>
      </c>
      <c r="J165" s="1" t="str">
        <f t="shared" si="0"/>
        <v/>
      </c>
      <c r="K165" s="1"/>
      <c r="L165" s="1"/>
      <c r="M165" s="130">
        <v>162</v>
      </c>
      <c r="N165" s="130" t="s">
        <v>4337</v>
      </c>
      <c r="O165" s="131" t="s">
        <v>4562</v>
      </c>
      <c r="P165" s="130" t="s">
        <v>558</v>
      </c>
      <c r="Q165" s="130" t="s">
        <v>2947</v>
      </c>
      <c r="R165" s="130">
        <v>10</v>
      </c>
      <c r="S165" s="129"/>
      <c r="T165" s="130" t="s">
        <v>4563</v>
      </c>
      <c r="U165" s="129"/>
      <c r="V165" s="129"/>
      <c r="W165" s="129"/>
      <c r="X165" s="129" t="s">
        <v>21</v>
      </c>
    </row>
    <row r="166" spans="1:24" ht="26.25" hidden="1" customHeight="1">
      <c r="A166" s="17">
        <f t="shared" si="1"/>
        <v>163</v>
      </c>
      <c r="B166" s="18" t="s">
        <v>13</v>
      </c>
      <c r="C166" s="31" t="s">
        <v>983</v>
      </c>
      <c r="D166" s="19" t="s">
        <v>1094</v>
      </c>
      <c r="E166" s="20" t="s">
        <v>985</v>
      </c>
      <c r="F166" s="32" t="s">
        <v>170</v>
      </c>
      <c r="G166" s="22" t="s">
        <v>53</v>
      </c>
      <c r="H166" s="23" t="s">
        <v>1095</v>
      </c>
      <c r="I166" s="24" t="s">
        <v>55</v>
      </c>
      <c r="J166" s="1" t="str">
        <f t="shared" si="0"/>
        <v/>
      </c>
      <c r="K166" s="1"/>
      <c r="L166" s="1"/>
      <c r="M166" s="130">
        <v>163</v>
      </c>
      <c r="N166" s="130" t="s">
        <v>4337</v>
      </c>
      <c r="O166" s="131" t="s">
        <v>4564</v>
      </c>
      <c r="P166" s="130" t="s">
        <v>558</v>
      </c>
      <c r="Q166" s="130" t="s">
        <v>2954</v>
      </c>
      <c r="R166" s="130">
        <v>4</v>
      </c>
      <c r="S166" s="129"/>
      <c r="T166" s="130" t="s">
        <v>4565</v>
      </c>
      <c r="U166" s="129"/>
      <c r="V166" s="129"/>
      <c r="W166" s="129"/>
      <c r="X166" s="129" t="s">
        <v>21</v>
      </c>
    </row>
    <row r="167" spans="1:24" ht="26.25" hidden="1" customHeight="1">
      <c r="A167" s="17">
        <f t="shared" si="1"/>
        <v>164</v>
      </c>
      <c r="B167" s="18" t="s">
        <v>105</v>
      </c>
      <c r="C167" s="31" t="s">
        <v>1099</v>
      </c>
      <c r="D167" s="19" t="s">
        <v>196</v>
      </c>
      <c r="E167" s="20" t="s">
        <v>1100</v>
      </c>
      <c r="F167" s="32" t="s">
        <v>1101</v>
      </c>
      <c r="G167" s="33" t="s">
        <v>42</v>
      </c>
      <c r="H167" s="23" t="s">
        <v>1102</v>
      </c>
      <c r="I167" s="24" t="s">
        <v>55</v>
      </c>
      <c r="J167" s="1" t="str">
        <f t="shared" si="0"/>
        <v/>
      </c>
      <c r="K167" s="1"/>
      <c r="L167" s="1"/>
      <c r="M167" s="130">
        <v>164</v>
      </c>
      <c r="N167" s="130" t="s">
        <v>4337</v>
      </c>
      <c r="O167" s="131" t="s">
        <v>4566</v>
      </c>
      <c r="P167" s="130" t="s">
        <v>558</v>
      </c>
      <c r="Q167" s="130" t="s">
        <v>2966</v>
      </c>
      <c r="R167" s="130">
        <v>4</v>
      </c>
      <c r="S167" s="129"/>
      <c r="T167" s="130" t="s">
        <v>4567</v>
      </c>
      <c r="U167" s="129"/>
      <c r="V167" s="129"/>
      <c r="W167" s="129"/>
      <c r="X167" s="129" t="s">
        <v>21</v>
      </c>
    </row>
    <row r="168" spans="1:24" ht="26.25" customHeight="1">
      <c r="A168" s="17">
        <f t="shared" si="1"/>
        <v>165</v>
      </c>
      <c r="B168" s="18" t="s">
        <v>132</v>
      </c>
      <c r="C168" s="19" t="s">
        <v>1105</v>
      </c>
      <c r="D168" s="19" t="s">
        <v>1106</v>
      </c>
      <c r="E168" s="20" t="s">
        <v>1107</v>
      </c>
      <c r="F168" s="21" t="s">
        <v>1108</v>
      </c>
      <c r="G168" s="22" t="s">
        <v>42</v>
      </c>
      <c r="H168" s="23" t="s">
        <v>1109</v>
      </c>
      <c r="I168" s="24" t="s">
        <v>20</v>
      </c>
      <c r="J168" s="1" t="str">
        <f t="shared" si="0"/>
        <v>FRIC</v>
      </c>
      <c r="K168" s="1"/>
      <c r="L168" s="1"/>
      <c r="M168" s="130">
        <v>165</v>
      </c>
      <c r="N168" s="130" t="s">
        <v>4337</v>
      </c>
      <c r="O168" s="131" t="s">
        <v>4568</v>
      </c>
      <c r="P168" s="130" t="s">
        <v>558</v>
      </c>
      <c r="Q168" s="130" t="s">
        <v>2962</v>
      </c>
      <c r="R168" s="130">
        <v>4</v>
      </c>
      <c r="S168" s="129"/>
      <c r="T168" s="130" t="s">
        <v>4569</v>
      </c>
      <c r="U168" s="129"/>
      <c r="V168" s="129"/>
      <c r="W168" s="129"/>
      <c r="X168" s="129" t="s">
        <v>21</v>
      </c>
    </row>
    <row r="169" spans="1:24" ht="26.25" hidden="1" customHeight="1">
      <c r="A169" s="17">
        <f t="shared" si="1"/>
        <v>166</v>
      </c>
      <c r="B169" s="18" t="s">
        <v>48</v>
      </c>
      <c r="C169" s="31" t="s">
        <v>1113</v>
      </c>
      <c r="D169" s="19" t="s">
        <v>1114</v>
      </c>
      <c r="E169" s="20" t="s">
        <v>1115</v>
      </c>
      <c r="F169" s="32" t="s">
        <v>222</v>
      </c>
      <c r="G169" s="33" t="s">
        <v>53</v>
      </c>
      <c r="H169" s="23" t="s">
        <v>1116</v>
      </c>
      <c r="I169" s="24" t="s">
        <v>55</v>
      </c>
      <c r="J169" s="1" t="str">
        <f t="shared" si="0"/>
        <v/>
      </c>
      <c r="K169" s="1"/>
      <c r="L169" s="1"/>
      <c r="M169" s="130">
        <v>166</v>
      </c>
      <c r="N169" s="130" t="s">
        <v>4337</v>
      </c>
      <c r="O169" s="131" t="s">
        <v>4570</v>
      </c>
      <c r="P169" s="130" t="s">
        <v>255</v>
      </c>
      <c r="Q169" s="130" t="s">
        <v>2982</v>
      </c>
      <c r="R169" s="130">
        <v>16</v>
      </c>
      <c r="S169" s="130" t="s">
        <v>4347</v>
      </c>
      <c r="T169" s="130" t="s">
        <v>4571</v>
      </c>
      <c r="U169" s="129"/>
      <c r="V169" s="129"/>
      <c r="W169" s="129"/>
      <c r="X169" s="129" t="s">
        <v>21</v>
      </c>
    </row>
    <row r="170" spans="1:24" ht="26.25" hidden="1" customHeight="1">
      <c r="A170" s="17">
        <f t="shared" si="1"/>
        <v>167</v>
      </c>
      <c r="B170" s="18" t="s">
        <v>175</v>
      </c>
      <c r="C170" s="31" t="s">
        <v>1120</v>
      </c>
      <c r="D170" s="19" t="s">
        <v>588</v>
      </c>
      <c r="E170" s="20" t="s">
        <v>1121</v>
      </c>
      <c r="F170" s="32" t="s">
        <v>1122</v>
      </c>
      <c r="G170" s="70" t="s">
        <v>42</v>
      </c>
      <c r="H170" s="23" t="s">
        <v>1123</v>
      </c>
      <c r="I170" s="24" t="s">
        <v>55</v>
      </c>
      <c r="J170" s="1" t="str">
        <f t="shared" si="0"/>
        <v/>
      </c>
      <c r="K170" s="1"/>
      <c r="L170" s="1"/>
      <c r="M170" s="130">
        <v>167</v>
      </c>
      <c r="N170" s="130" t="s">
        <v>4337</v>
      </c>
      <c r="O170" s="131" t="s">
        <v>4572</v>
      </c>
      <c r="P170" s="130" t="s">
        <v>1042</v>
      </c>
      <c r="Q170" s="130" t="s">
        <v>2988</v>
      </c>
      <c r="R170" s="130">
        <v>6</v>
      </c>
      <c r="S170" s="129"/>
      <c r="T170" s="130" t="s">
        <v>4573</v>
      </c>
      <c r="U170" s="130" t="s">
        <v>20</v>
      </c>
      <c r="V170" s="129"/>
      <c r="W170" s="129"/>
      <c r="X170" s="129" t="s">
        <v>21</v>
      </c>
    </row>
    <row r="171" spans="1:24" ht="26.25" hidden="1" customHeight="1">
      <c r="A171" s="17">
        <f t="shared" si="1"/>
        <v>168</v>
      </c>
      <c r="B171" s="18" t="s">
        <v>105</v>
      </c>
      <c r="C171" s="31" t="s">
        <v>1127</v>
      </c>
      <c r="D171" s="19" t="s">
        <v>1128</v>
      </c>
      <c r="E171" s="20" t="s">
        <v>1129</v>
      </c>
      <c r="F171" s="32" t="s">
        <v>1130</v>
      </c>
      <c r="G171" s="33" t="s">
        <v>53</v>
      </c>
      <c r="H171" s="23" t="s">
        <v>1131</v>
      </c>
      <c r="I171" s="24" t="s">
        <v>55</v>
      </c>
      <c r="J171" s="1" t="str">
        <f t="shared" si="0"/>
        <v/>
      </c>
      <c r="K171" s="1"/>
      <c r="L171" s="1"/>
      <c r="M171" s="130">
        <v>168</v>
      </c>
      <c r="N171" s="130" t="s">
        <v>4337</v>
      </c>
      <c r="O171" s="131" t="s">
        <v>4574</v>
      </c>
      <c r="P171" s="130" t="s">
        <v>2445</v>
      </c>
      <c r="Q171" s="130" t="s">
        <v>3013</v>
      </c>
      <c r="R171" s="130">
        <v>4</v>
      </c>
      <c r="S171" s="130" t="s">
        <v>4347</v>
      </c>
      <c r="T171" s="130" t="s">
        <v>4575</v>
      </c>
      <c r="U171" s="129"/>
      <c r="V171" s="129"/>
      <c r="W171" s="129" t="s">
        <v>4377</v>
      </c>
      <c r="X171" s="129" t="s">
        <v>21</v>
      </c>
    </row>
    <row r="172" spans="1:24" ht="26.25" hidden="1" customHeight="1">
      <c r="A172" s="17">
        <f t="shared" si="1"/>
        <v>169</v>
      </c>
      <c r="B172" s="18" t="s">
        <v>27</v>
      </c>
      <c r="C172" s="31" t="s">
        <v>1135</v>
      </c>
      <c r="D172" s="19" t="s">
        <v>808</v>
      </c>
      <c r="E172" s="20" t="s">
        <v>1136</v>
      </c>
      <c r="F172" s="32" t="s">
        <v>1137</v>
      </c>
      <c r="G172" s="22" t="s">
        <v>42</v>
      </c>
      <c r="H172" s="23" t="s">
        <v>1138</v>
      </c>
      <c r="I172" s="24" t="s">
        <v>55</v>
      </c>
      <c r="J172" s="1" t="str">
        <f t="shared" si="0"/>
        <v/>
      </c>
      <c r="K172" s="1"/>
      <c r="L172" s="1"/>
      <c r="M172" s="130">
        <v>169</v>
      </c>
      <c r="N172" s="130" t="s">
        <v>4337</v>
      </c>
      <c r="O172" s="131" t="s">
        <v>3022</v>
      </c>
      <c r="P172" s="130" t="s">
        <v>4576</v>
      </c>
      <c r="Q172" s="130" t="s">
        <v>3024</v>
      </c>
      <c r="R172" s="130">
        <v>4</v>
      </c>
      <c r="S172" s="129"/>
      <c r="T172" s="130" t="s">
        <v>4577</v>
      </c>
      <c r="U172" s="130" t="s">
        <v>53</v>
      </c>
      <c r="V172" s="129" t="s">
        <v>4394</v>
      </c>
      <c r="W172" s="129"/>
      <c r="X172" s="129" t="s">
        <v>21</v>
      </c>
    </row>
    <row r="173" spans="1:24" ht="26.25" customHeight="1">
      <c r="A173" s="17">
        <f t="shared" si="1"/>
        <v>170</v>
      </c>
      <c r="B173" s="18" t="s">
        <v>13</v>
      </c>
      <c r="C173" s="19" t="s">
        <v>1142</v>
      </c>
      <c r="D173" s="19" t="s">
        <v>1143</v>
      </c>
      <c r="E173" s="20" t="s">
        <v>1144</v>
      </c>
      <c r="F173" s="21" t="s">
        <v>135</v>
      </c>
      <c r="G173" s="22" t="s">
        <v>53</v>
      </c>
      <c r="H173" s="23" t="s">
        <v>1145</v>
      </c>
      <c r="I173" s="24" t="s">
        <v>20</v>
      </c>
      <c r="J173" s="1" t="str">
        <f t="shared" si="0"/>
        <v>FRIC</v>
      </c>
      <c r="K173" s="1"/>
      <c r="L173" s="1"/>
      <c r="M173" s="130">
        <v>170</v>
      </c>
      <c r="N173" s="130" t="s">
        <v>4337</v>
      </c>
      <c r="O173" s="131" t="s">
        <v>3026</v>
      </c>
      <c r="P173" s="130" t="s">
        <v>4578</v>
      </c>
      <c r="Q173" s="130" t="s">
        <v>3028</v>
      </c>
      <c r="R173" s="130">
        <v>12</v>
      </c>
      <c r="S173" s="129"/>
      <c r="T173" s="130" t="s">
        <v>4579</v>
      </c>
      <c r="U173" s="130" t="s">
        <v>20</v>
      </c>
      <c r="V173" s="129"/>
      <c r="W173" s="129"/>
      <c r="X173" s="129" t="s">
        <v>21</v>
      </c>
    </row>
    <row r="174" spans="1:24" ht="26.25" hidden="1" customHeight="1">
      <c r="A174" s="17">
        <f t="shared" si="1"/>
        <v>171</v>
      </c>
      <c r="B174" s="18" t="s">
        <v>132</v>
      </c>
      <c r="C174" s="31" t="s">
        <v>238</v>
      </c>
      <c r="D174" s="19" t="s">
        <v>239</v>
      </c>
      <c r="E174" s="20" t="s">
        <v>240</v>
      </c>
      <c r="F174" s="32" t="s">
        <v>62</v>
      </c>
      <c r="G174" s="22" t="s">
        <v>53</v>
      </c>
      <c r="H174" s="23" t="s">
        <v>1149</v>
      </c>
      <c r="I174" s="24" t="s">
        <v>55</v>
      </c>
      <c r="J174" s="1" t="str">
        <f t="shared" si="0"/>
        <v/>
      </c>
      <c r="K174" s="1"/>
      <c r="L174" s="1"/>
      <c r="M174" s="130">
        <v>171</v>
      </c>
      <c r="N174" s="130" t="s">
        <v>4337</v>
      </c>
      <c r="O174" s="131" t="s">
        <v>3030</v>
      </c>
      <c r="P174" s="130" t="s">
        <v>255</v>
      </c>
      <c r="Q174" s="130" t="s">
        <v>3031</v>
      </c>
      <c r="R174" s="130">
        <v>6</v>
      </c>
      <c r="S174" s="130" t="s">
        <v>4347</v>
      </c>
      <c r="T174" s="130" t="s">
        <v>4580</v>
      </c>
      <c r="U174" s="129"/>
      <c r="V174" s="129"/>
      <c r="W174" s="129"/>
      <c r="X174" s="129" t="s">
        <v>21</v>
      </c>
    </row>
    <row r="175" spans="1:24" ht="26.25" hidden="1" customHeight="1">
      <c r="A175" s="17">
        <f t="shared" si="1"/>
        <v>172</v>
      </c>
      <c r="B175" s="18" t="s">
        <v>132</v>
      </c>
      <c r="C175" s="31" t="s">
        <v>1153</v>
      </c>
      <c r="D175" s="19" t="s">
        <v>1154</v>
      </c>
      <c r="E175" s="20" t="s">
        <v>1155</v>
      </c>
      <c r="F175" s="32" t="s">
        <v>496</v>
      </c>
      <c r="G175" s="22" t="s">
        <v>53</v>
      </c>
      <c r="H175" s="23" t="s">
        <v>1156</v>
      </c>
      <c r="I175" s="24" t="s">
        <v>55</v>
      </c>
      <c r="J175" s="1" t="str">
        <f t="shared" si="0"/>
        <v/>
      </c>
      <c r="K175" s="1"/>
      <c r="L175" s="1"/>
      <c r="M175" s="130">
        <v>172</v>
      </c>
      <c r="N175" s="130" t="s">
        <v>4337</v>
      </c>
      <c r="O175" s="131" t="s">
        <v>4581</v>
      </c>
      <c r="P175" s="130" t="s">
        <v>4582</v>
      </c>
      <c r="Q175" s="130" t="s">
        <v>3051</v>
      </c>
      <c r="R175" s="130">
        <v>12</v>
      </c>
      <c r="S175" s="130" t="s">
        <v>4347</v>
      </c>
      <c r="T175" s="130" t="s">
        <v>4583</v>
      </c>
      <c r="U175" s="129"/>
      <c r="V175" s="129"/>
      <c r="W175" s="129"/>
      <c r="X175" s="129" t="s">
        <v>21</v>
      </c>
    </row>
    <row r="176" spans="1:24" ht="26.25" hidden="1" customHeight="1">
      <c r="A176" s="17">
        <f t="shared" si="1"/>
        <v>173</v>
      </c>
      <c r="B176" s="18" t="s">
        <v>132</v>
      </c>
      <c r="C176" s="31" t="s">
        <v>1159</v>
      </c>
      <c r="D176" s="19" t="s">
        <v>239</v>
      </c>
      <c r="E176" s="20" t="s">
        <v>996</v>
      </c>
      <c r="F176" s="32" t="s">
        <v>170</v>
      </c>
      <c r="G176" s="22" t="s">
        <v>53</v>
      </c>
      <c r="H176" s="23" t="s">
        <v>1160</v>
      </c>
      <c r="I176" s="24" t="s">
        <v>55</v>
      </c>
      <c r="J176" s="1" t="str">
        <f t="shared" si="0"/>
        <v/>
      </c>
      <c r="K176" s="1"/>
      <c r="L176" s="1"/>
      <c r="M176" s="130">
        <v>173</v>
      </c>
      <c r="N176" s="130" t="s">
        <v>4337</v>
      </c>
      <c r="O176" s="131" t="s">
        <v>3053</v>
      </c>
      <c r="P176" s="130" t="s">
        <v>255</v>
      </c>
      <c r="Q176" s="130" t="s">
        <v>3054</v>
      </c>
      <c r="R176" s="130">
        <v>10</v>
      </c>
      <c r="S176" s="129"/>
      <c r="T176" s="130" t="s">
        <v>4584</v>
      </c>
      <c r="U176" s="129"/>
      <c r="V176" s="129"/>
      <c r="W176" s="129"/>
      <c r="X176" s="129" t="s">
        <v>21</v>
      </c>
    </row>
    <row r="177" spans="1:24" ht="26.25" hidden="1" customHeight="1">
      <c r="A177" s="17">
        <f t="shared" si="1"/>
        <v>174</v>
      </c>
      <c r="B177" s="18" t="s">
        <v>105</v>
      </c>
      <c r="C177" s="31" t="s">
        <v>725</v>
      </c>
      <c r="D177" s="19" t="s">
        <v>726</v>
      </c>
      <c r="E177" s="20" t="s">
        <v>727</v>
      </c>
      <c r="F177" s="32" t="s">
        <v>1164</v>
      </c>
      <c r="G177" s="33" t="s">
        <v>42</v>
      </c>
      <c r="H177" s="23" t="s">
        <v>1165</v>
      </c>
      <c r="I177" s="24" t="s">
        <v>55</v>
      </c>
      <c r="J177" s="1" t="str">
        <f t="shared" si="0"/>
        <v/>
      </c>
      <c r="K177" s="1"/>
      <c r="L177" s="1"/>
      <c r="M177" s="130">
        <v>174</v>
      </c>
      <c r="N177" s="130" t="s">
        <v>4337</v>
      </c>
      <c r="O177" s="131" t="s">
        <v>4585</v>
      </c>
      <c r="P177" s="130" t="s">
        <v>840</v>
      </c>
      <c r="Q177" s="130" t="s">
        <v>3106</v>
      </c>
      <c r="R177" s="132">
        <v>12</v>
      </c>
      <c r="S177" s="130" t="s">
        <v>4347</v>
      </c>
      <c r="T177" s="130" t="s">
        <v>4462</v>
      </c>
      <c r="U177" s="130" t="s">
        <v>53</v>
      </c>
      <c r="V177" s="129" t="s">
        <v>4394</v>
      </c>
      <c r="W177" s="129"/>
      <c r="X177" s="129" t="s">
        <v>21</v>
      </c>
    </row>
    <row r="178" spans="1:24" ht="26.25" customHeight="1">
      <c r="A178" s="17">
        <f t="shared" si="1"/>
        <v>175</v>
      </c>
      <c r="B178" s="18" t="s">
        <v>13</v>
      </c>
      <c r="C178" s="19" t="s">
        <v>1168</v>
      </c>
      <c r="D178" s="19" t="s">
        <v>1169</v>
      </c>
      <c r="E178" s="20" t="s">
        <v>1170</v>
      </c>
      <c r="F178" s="21" t="s">
        <v>1171</v>
      </c>
      <c r="G178" s="22" t="s">
        <v>53</v>
      </c>
      <c r="H178" s="23" t="s">
        <v>1172</v>
      </c>
      <c r="I178" s="24" t="s">
        <v>20</v>
      </c>
      <c r="J178" s="1" t="str">
        <f t="shared" si="0"/>
        <v>FRIC</v>
      </c>
      <c r="K178" s="1"/>
      <c r="L178" s="1"/>
      <c r="M178" s="130">
        <v>175</v>
      </c>
      <c r="N178" s="130" t="s">
        <v>4337</v>
      </c>
      <c r="O178" s="131" t="s">
        <v>3117</v>
      </c>
      <c r="P178" s="130" t="s">
        <v>840</v>
      </c>
      <c r="Q178" s="130" t="s">
        <v>3118</v>
      </c>
      <c r="R178" s="130">
        <v>12</v>
      </c>
      <c r="S178" s="130" t="s">
        <v>4347</v>
      </c>
      <c r="T178" s="130" t="s">
        <v>4586</v>
      </c>
      <c r="U178" s="130" t="s">
        <v>53</v>
      </c>
      <c r="V178" s="129" t="s">
        <v>4394</v>
      </c>
      <c r="W178" s="129"/>
      <c r="X178" s="129" t="s">
        <v>21</v>
      </c>
    </row>
    <row r="179" spans="1:24" ht="26.25" hidden="1" customHeight="1">
      <c r="A179" s="17">
        <f t="shared" si="1"/>
        <v>176</v>
      </c>
      <c r="B179" s="18" t="s">
        <v>175</v>
      </c>
      <c r="C179" s="31" t="s">
        <v>1176</v>
      </c>
      <c r="D179" s="19" t="s">
        <v>124</v>
      </c>
      <c r="E179" s="20" t="s">
        <v>1177</v>
      </c>
      <c r="F179" s="32" t="s">
        <v>1178</v>
      </c>
      <c r="G179" s="33" t="s">
        <v>42</v>
      </c>
      <c r="H179" s="23" t="s">
        <v>1179</v>
      </c>
      <c r="I179" s="24" t="s">
        <v>55</v>
      </c>
      <c r="J179" s="1" t="str">
        <f t="shared" si="0"/>
        <v/>
      </c>
      <c r="K179" s="1"/>
      <c r="L179" s="1"/>
      <c r="M179" s="130">
        <v>176</v>
      </c>
      <c r="N179" s="130" t="s">
        <v>4337</v>
      </c>
      <c r="O179" s="131" t="s">
        <v>4587</v>
      </c>
      <c r="P179" s="130" t="s">
        <v>255</v>
      </c>
      <c r="Q179" s="130" t="s">
        <v>3125</v>
      </c>
      <c r="R179" s="130">
        <v>18</v>
      </c>
      <c r="S179" s="130" t="s">
        <v>4347</v>
      </c>
      <c r="T179" s="130" t="s">
        <v>4588</v>
      </c>
      <c r="U179" s="129"/>
      <c r="V179" s="129"/>
      <c r="W179" s="129"/>
      <c r="X179" s="129" t="s">
        <v>21</v>
      </c>
    </row>
    <row r="180" spans="1:24" ht="26.25" hidden="1" customHeight="1">
      <c r="A180" s="17">
        <f t="shared" si="1"/>
        <v>177</v>
      </c>
      <c r="B180" s="18" t="s">
        <v>105</v>
      </c>
      <c r="C180" s="31" t="s">
        <v>1183</v>
      </c>
      <c r="D180" s="19" t="s">
        <v>1184</v>
      </c>
      <c r="E180" s="20" t="s">
        <v>1185</v>
      </c>
      <c r="F180" s="32" t="s">
        <v>1186</v>
      </c>
      <c r="G180" s="33" t="s">
        <v>42</v>
      </c>
      <c r="H180" s="23" t="s">
        <v>1187</v>
      </c>
      <c r="I180" s="24" t="s">
        <v>55</v>
      </c>
      <c r="J180" s="1" t="str">
        <f t="shared" si="0"/>
        <v/>
      </c>
      <c r="K180" s="1"/>
      <c r="L180" s="1"/>
      <c r="M180" s="130">
        <v>177</v>
      </c>
      <c r="N180" s="130" t="s">
        <v>4337</v>
      </c>
      <c r="O180" s="131" t="s">
        <v>3133</v>
      </c>
      <c r="P180" s="130" t="s">
        <v>255</v>
      </c>
      <c r="Q180" s="130" t="s">
        <v>3134</v>
      </c>
      <c r="R180" s="130">
        <v>8</v>
      </c>
      <c r="S180" s="130" t="s">
        <v>4347</v>
      </c>
      <c r="T180" s="130" t="s">
        <v>4589</v>
      </c>
      <c r="U180" s="129"/>
      <c r="V180" s="129"/>
      <c r="W180" s="129"/>
      <c r="X180" s="129" t="s">
        <v>21</v>
      </c>
    </row>
    <row r="181" spans="1:24" ht="26.25" customHeight="1">
      <c r="A181" s="17">
        <f t="shared" si="1"/>
        <v>178</v>
      </c>
      <c r="B181" s="64" t="s">
        <v>81</v>
      </c>
      <c r="C181" s="19" t="s">
        <v>1191</v>
      </c>
      <c r="D181" s="19" t="s">
        <v>124</v>
      </c>
      <c r="E181" s="20" t="s">
        <v>1192</v>
      </c>
      <c r="F181" s="21" t="s">
        <v>135</v>
      </c>
      <c r="G181" s="33" t="s">
        <v>42</v>
      </c>
      <c r="H181" s="23" t="s">
        <v>1193</v>
      </c>
      <c r="I181" s="24" t="s">
        <v>20</v>
      </c>
      <c r="J181" s="1" t="str">
        <f t="shared" si="0"/>
        <v>FRIC</v>
      </c>
      <c r="K181" s="1"/>
      <c r="L181" s="1"/>
      <c r="M181" s="130">
        <v>178</v>
      </c>
      <c r="N181" s="130" t="s">
        <v>4337</v>
      </c>
      <c r="O181" s="131" t="s">
        <v>4590</v>
      </c>
      <c r="P181" s="130" t="s">
        <v>34</v>
      </c>
      <c r="Q181" s="130" t="s">
        <v>3151</v>
      </c>
      <c r="R181" s="130">
        <v>1</v>
      </c>
      <c r="S181" s="130" t="s">
        <v>4347</v>
      </c>
      <c r="T181" s="130" t="s">
        <v>4591</v>
      </c>
      <c r="U181" s="129"/>
      <c r="V181" s="129"/>
      <c r="W181" s="129"/>
      <c r="X181" s="129" t="s">
        <v>21</v>
      </c>
    </row>
    <row r="182" spans="1:24" ht="26.25" hidden="1" customHeight="1">
      <c r="A182" s="17">
        <f t="shared" si="1"/>
        <v>179</v>
      </c>
      <c r="B182" s="18" t="s">
        <v>1197</v>
      </c>
      <c r="C182" s="71" t="s">
        <v>1198</v>
      </c>
      <c r="D182" s="19" t="s">
        <v>1199</v>
      </c>
      <c r="E182" s="20" t="s">
        <v>1200</v>
      </c>
      <c r="F182" s="32" t="s">
        <v>1201</v>
      </c>
      <c r="G182" s="33" t="s">
        <v>42</v>
      </c>
      <c r="H182" s="23" t="s">
        <v>1202</v>
      </c>
      <c r="I182" s="24" t="s">
        <v>55</v>
      </c>
      <c r="J182" s="1" t="str">
        <f t="shared" si="0"/>
        <v/>
      </c>
      <c r="K182" s="1"/>
      <c r="L182" s="1"/>
      <c r="M182" s="130">
        <v>179</v>
      </c>
      <c r="N182" s="130" t="s">
        <v>4337</v>
      </c>
      <c r="O182" s="131" t="s">
        <v>4592</v>
      </c>
      <c r="P182" s="130" t="s">
        <v>1058</v>
      </c>
      <c r="Q182" s="130" t="s">
        <v>3158</v>
      </c>
      <c r="R182" s="130">
        <v>12</v>
      </c>
      <c r="S182" s="129"/>
      <c r="T182" s="130" t="s">
        <v>4593</v>
      </c>
      <c r="U182" s="130" t="s">
        <v>20</v>
      </c>
      <c r="V182" s="129"/>
      <c r="W182" s="129"/>
      <c r="X182" s="129" t="s">
        <v>21</v>
      </c>
    </row>
    <row r="183" spans="1:24" ht="26.25" hidden="1" customHeight="1">
      <c r="A183" s="17">
        <f t="shared" si="1"/>
        <v>180</v>
      </c>
      <c r="B183" s="18" t="s">
        <v>1197</v>
      </c>
      <c r="C183" s="71" t="s">
        <v>1206</v>
      </c>
      <c r="D183" s="19" t="s">
        <v>308</v>
      </c>
      <c r="E183" s="20" t="s">
        <v>1207</v>
      </c>
      <c r="F183" s="32" t="s">
        <v>1208</v>
      </c>
      <c r="G183" s="33" t="s">
        <v>42</v>
      </c>
      <c r="H183" s="23" t="s">
        <v>1209</v>
      </c>
      <c r="I183" s="24" t="s">
        <v>55</v>
      </c>
      <c r="J183" s="1" t="str">
        <f t="shared" si="0"/>
        <v/>
      </c>
      <c r="K183" s="1"/>
      <c r="L183" s="1"/>
      <c r="M183" s="130">
        <v>180</v>
      </c>
      <c r="N183" s="130" t="s">
        <v>4337</v>
      </c>
      <c r="O183" s="131" t="s">
        <v>3160</v>
      </c>
      <c r="P183" s="130" t="s">
        <v>255</v>
      </c>
      <c r="Q183" s="130" t="s">
        <v>3161</v>
      </c>
      <c r="R183" s="130">
        <v>4</v>
      </c>
      <c r="S183" s="130" t="s">
        <v>4347</v>
      </c>
      <c r="T183" s="130" t="s">
        <v>4594</v>
      </c>
      <c r="U183" s="129"/>
      <c r="V183" s="129"/>
      <c r="W183" s="129"/>
      <c r="X183" s="129" t="s">
        <v>21</v>
      </c>
    </row>
    <row r="184" spans="1:24" ht="26.25" hidden="1" customHeight="1">
      <c r="A184" s="17">
        <f t="shared" si="1"/>
        <v>181</v>
      </c>
      <c r="B184" s="67" t="s">
        <v>105</v>
      </c>
      <c r="C184" s="31" t="s">
        <v>1212</v>
      </c>
      <c r="D184" s="19" t="s">
        <v>1213</v>
      </c>
      <c r="E184" s="20" t="s">
        <v>1214</v>
      </c>
      <c r="F184" s="32" t="s">
        <v>1215</v>
      </c>
      <c r="G184" s="33" t="s">
        <v>42</v>
      </c>
      <c r="H184" s="23" t="s">
        <v>1216</v>
      </c>
      <c r="I184" s="24" t="s">
        <v>55</v>
      </c>
      <c r="J184" s="1" t="str">
        <f t="shared" si="0"/>
        <v/>
      </c>
      <c r="K184" s="1"/>
      <c r="L184" s="1"/>
      <c r="M184" s="130">
        <v>181</v>
      </c>
      <c r="N184" s="130" t="s">
        <v>4337</v>
      </c>
      <c r="O184" s="131" t="s">
        <v>4326</v>
      </c>
      <c r="P184" s="130" t="s">
        <v>4327</v>
      </c>
      <c r="Q184" s="130" t="s">
        <v>4328</v>
      </c>
      <c r="R184" s="130">
        <v>6</v>
      </c>
      <c r="S184" s="129"/>
      <c r="T184" s="130" t="s">
        <v>4595</v>
      </c>
      <c r="U184" s="130" t="s">
        <v>20</v>
      </c>
      <c r="V184" s="129"/>
      <c r="W184" s="129"/>
      <c r="X184" s="129" t="s">
        <v>21</v>
      </c>
    </row>
    <row r="185" spans="1:24" ht="26.25" hidden="1" customHeight="1">
      <c r="A185" s="17">
        <f t="shared" si="1"/>
        <v>182</v>
      </c>
      <c r="B185" s="18" t="s">
        <v>27</v>
      </c>
      <c r="C185" s="31" t="s">
        <v>1219</v>
      </c>
      <c r="D185" s="19" t="s">
        <v>246</v>
      </c>
      <c r="E185" s="20" t="s">
        <v>1220</v>
      </c>
      <c r="F185" s="32" t="s">
        <v>693</v>
      </c>
      <c r="G185" s="22" t="s">
        <v>53</v>
      </c>
      <c r="H185" s="23" t="s">
        <v>1221</v>
      </c>
      <c r="I185" s="24" t="s">
        <v>55</v>
      </c>
      <c r="J185" s="1" t="str">
        <f t="shared" si="0"/>
        <v/>
      </c>
      <c r="K185" s="1"/>
      <c r="L185" s="1"/>
      <c r="M185" s="130">
        <v>182</v>
      </c>
      <c r="N185" s="130" t="s">
        <v>4337</v>
      </c>
      <c r="O185" s="131" t="s">
        <v>4596</v>
      </c>
      <c r="P185" s="130" t="s">
        <v>255</v>
      </c>
      <c r="Q185" s="130" t="s">
        <v>3164</v>
      </c>
      <c r="R185" s="130">
        <v>8</v>
      </c>
      <c r="S185" s="130" t="s">
        <v>4347</v>
      </c>
      <c r="T185" s="130" t="s">
        <v>4597</v>
      </c>
      <c r="U185" s="129"/>
      <c r="V185" s="129"/>
      <c r="W185" s="129"/>
      <c r="X185" s="129" t="s">
        <v>21</v>
      </c>
    </row>
    <row r="186" spans="1:24" ht="26.25" customHeight="1">
      <c r="A186" s="17">
        <f t="shared" si="1"/>
        <v>183</v>
      </c>
      <c r="B186" s="18" t="s">
        <v>13</v>
      </c>
      <c r="C186" s="19" t="s">
        <v>1224</v>
      </c>
      <c r="D186" s="19" t="s">
        <v>1225</v>
      </c>
      <c r="E186" s="20" t="s">
        <v>1226</v>
      </c>
      <c r="F186" s="21" t="s">
        <v>135</v>
      </c>
      <c r="G186" s="22" t="s">
        <v>53</v>
      </c>
      <c r="H186" s="23" t="s">
        <v>1227</v>
      </c>
      <c r="I186" s="24" t="s">
        <v>20</v>
      </c>
      <c r="J186" s="1" t="str">
        <f t="shared" si="0"/>
        <v>FRIC</v>
      </c>
      <c r="K186" s="1"/>
      <c r="L186" s="1"/>
      <c r="M186" s="130">
        <v>183</v>
      </c>
      <c r="N186" s="130" t="s">
        <v>4337</v>
      </c>
      <c r="O186" s="131" t="s">
        <v>4598</v>
      </c>
      <c r="P186" s="130" t="s">
        <v>1058</v>
      </c>
      <c r="Q186" s="130" t="s">
        <v>3211</v>
      </c>
      <c r="R186" s="130">
        <v>24</v>
      </c>
      <c r="S186" s="129"/>
      <c r="T186" s="130" t="s">
        <v>4437</v>
      </c>
      <c r="U186" s="130" t="s">
        <v>20</v>
      </c>
      <c r="V186" s="129"/>
      <c r="W186" s="129"/>
      <c r="X186" s="129" t="s">
        <v>21</v>
      </c>
    </row>
    <row r="187" spans="1:24" ht="26.25" hidden="1" customHeight="1">
      <c r="A187" s="17">
        <f t="shared" si="1"/>
        <v>184</v>
      </c>
      <c r="B187" s="18" t="s">
        <v>48</v>
      </c>
      <c r="C187" s="31" t="s">
        <v>1231</v>
      </c>
      <c r="D187" s="19" t="s">
        <v>124</v>
      </c>
      <c r="E187" s="20" t="s">
        <v>1232</v>
      </c>
      <c r="F187" s="32" t="s">
        <v>416</v>
      </c>
      <c r="G187" s="33" t="s">
        <v>42</v>
      </c>
      <c r="H187" s="23" t="s">
        <v>1233</v>
      </c>
      <c r="I187" s="24" t="s">
        <v>55</v>
      </c>
      <c r="J187" s="1" t="str">
        <f t="shared" si="0"/>
        <v/>
      </c>
      <c r="K187" s="1"/>
      <c r="L187" s="1"/>
      <c r="M187" s="130">
        <v>184</v>
      </c>
      <c r="N187" s="130" t="s">
        <v>4337</v>
      </c>
      <c r="O187" s="131" t="s">
        <v>3215</v>
      </c>
      <c r="P187" s="130" t="s">
        <v>1058</v>
      </c>
      <c r="Q187" s="130" t="s">
        <v>3216</v>
      </c>
      <c r="R187" s="130">
        <v>24</v>
      </c>
      <c r="S187" s="129"/>
      <c r="T187" s="130" t="s">
        <v>4599</v>
      </c>
      <c r="U187" s="130" t="s">
        <v>20</v>
      </c>
      <c r="V187" s="129"/>
      <c r="W187" s="129"/>
      <c r="X187" s="129" t="s">
        <v>21</v>
      </c>
    </row>
    <row r="188" spans="1:24" ht="26.25" hidden="1" customHeight="1">
      <c r="A188" s="17">
        <f t="shared" si="1"/>
        <v>185</v>
      </c>
      <c r="B188" s="18" t="s">
        <v>48</v>
      </c>
      <c r="C188" s="31" t="s">
        <v>1236</v>
      </c>
      <c r="D188" s="19" t="s">
        <v>1237</v>
      </c>
      <c r="E188" s="20" t="s">
        <v>1238</v>
      </c>
      <c r="F188" s="32" t="s">
        <v>1239</v>
      </c>
      <c r="G188" s="33" t="s">
        <v>53</v>
      </c>
      <c r="H188" s="23" t="s">
        <v>1240</v>
      </c>
      <c r="I188" s="24" t="s">
        <v>55</v>
      </c>
      <c r="J188" s="1" t="str">
        <f t="shared" si="0"/>
        <v/>
      </c>
      <c r="K188" s="1"/>
      <c r="L188" s="1"/>
      <c r="M188" s="130">
        <v>185</v>
      </c>
      <c r="N188" s="130" t="s">
        <v>4337</v>
      </c>
      <c r="O188" s="131" t="s">
        <v>3218</v>
      </c>
      <c r="P188" s="130" t="s">
        <v>361</v>
      </c>
      <c r="Q188" s="130" t="s">
        <v>3219</v>
      </c>
      <c r="R188" s="130">
        <v>4</v>
      </c>
      <c r="S188" s="130" t="s">
        <v>4347</v>
      </c>
      <c r="T188" s="130" t="s">
        <v>4600</v>
      </c>
      <c r="U188" s="129"/>
      <c r="V188" s="129"/>
      <c r="W188" s="129"/>
      <c r="X188" s="129" t="s">
        <v>21</v>
      </c>
    </row>
    <row r="189" spans="1:24" ht="26.25" hidden="1" customHeight="1">
      <c r="A189" s="17">
        <f t="shared" si="1"/>
        <v>186</v>
      </c>
      <c r="B189" s="18" t="s">
        <v>27</v>
      </c>
      <c r="C189" s="31" t="s">
        <v>1243</v>
      </c>
      <c r="D189" s="19" t="s">
        <v>1244</v>
      </c>
      <c r="E189" s="20" t="s">
        <v>1245</v>
      </c>
      <c r="F189" s="32" t="s">
        <v>1246</v>
      </c>
      <c r="G189" s="22" t="s">
        <v>31</v>
      </c>
      <c r="H189" s="23" t="s">
        <v>1247</v>
      </c>
      <c r="I189" s="24" t="s">
        <v>55</v>
      </c>
      <c r="J189" s="1" t="str">
        <f t="shared" si="0"/>
        <v/>
      </c>
      <c r="K189" s="1"/>
      <c r="L189" s="1"/>
      <c r="M189" s="130">
        <v>186</v>
      </c>
      <c r="N189" s="130" t="s">
        <v>4337</v>
      </c>
      <c r="O189" s="131" t="s">
        <v>3221</v>
      </c>
      <c r="P189" s="130" t="s">
        <v>558</v>
      </c>
      <c r="Q189" s="130" t="s">
        <v>3222</v>
      </c>
      <c r="R189" s="130">
        <v>6</v>
      </c>
      <c r="S189" s="129"/>
      <c r="T189" s="130" t="s">
        <v>4601</v>
      </c>
      <c r="U189" s="129"/>
      <c r="V189" s="129"/>
      <c r="W189" s="129"/>
      <c r="X189" s="129" t="s">
        <v>21</v>
      </c>
    </row>
    <row r="190" spans="1:24" ht="26.25" hidden="1" customHeight="1">
      <c r="A190" s="17">
        <f t="shared" si="1"/>
        <v>187</v>
      </c>
      <c r="B190" s="18" t="s">
        <v>1197</v>
      </c>
      <c r="C190" s="31" t="s">
        <v>1251</v>
      </c>
      <c r="D190" s="19" t="s">
        <v>1252</v>
      </c>
      <c r="E190" s="20" t="s">
        <v>1002</v>
      </c>
      <c r="F190" s="32" t="s">
        <v>1164</v>
      </c>
      <c r="G190" s="33" t="s">
        <v>53</v>
      </c>
      <c r="H190" s="23" t="s">
        <v>1253</v>
      </c>
      <c r="I190" s="24" t="s">
        <v>55</v>
      </c>
      <c r="J190" s="1" t="str">
        <f t="shared" si="0"/>
        <v/>
      </c>
      <c r="K190" s="1"/>
      <c r="L190" s="1"/>
      <c r="M190" s="130">
        <v>187</v>
      </c>
      <c r="N190" s="130" t="s">
        <v>4337</v>
      </c>
      <c r="O190" s="131" t="s">
        <v>4602</v>
      </c>
      <c r="P190" s="130" t="s">
        <v>255</v>
      </c>
      <c r="Q190" s="130" t="s">
        <v>3226</v>
      </c>
      <c r="R190" s="130">
        <v>12</v>
      </c>
      <c r="S190" s="130" t="s">
        <v>4347</v>
      </c>
      <c r="T190" s="130" t="s">
        <v>4603</v>
      </c>
      <c r="U190" s="129"/>
      <c r="V190" s="129"/>
      <c r="W190" s="129"/>
      <c r="X190" s="129" t="s">
        <v>21</v>
      </c>
    </row>
    <row r="191" spans="1:24" ht="26.25" hidden="1" customHeight="1">
      <c r="A191" s="17">
        <f t="shared" si="1"/>
        <v>188</v>
      </c>
      <c r="B191" s="18" t="s">
        <v>146</v>
      </c>
      <c r="C191" s="31" t="s">
        <v>1256</v>
      </c>
      <c r="D191" s="19" t="s">
        <v>227</v>
      </c>
      <c r="E191" s="20" t="s">
        <v>1257</v>
      </c>
      <c r="F191" s="32" t="s">
        <v>1258</v>
      </c>
      <c r="G191" s="33" t="s">
        <v>42</v>
      </c>
      <c r="H191" s="23" t="s">
        <v>1259</v>
      </c>
      <c r="I191" s="24" t="s">
        <v>55</v>
      </c>
      <c r="J191" s="1" t="str">
        <f t="shared" si="0"/>
        <v/>
      </c>
      <c r="K191" s="1"/>
      <c r="L191" s="1"/>
      <c r="M191" s="130">
        <v>188</v>
      </c>
      <c r="N191" s="130" t="s">
        <v>4337</v>
      </c>
      <c r="O191" s="131" t="s">
        <v>3228</v>
      </c>
      <c r="P191" s="130" t="s">
        <v>361</v>
      </c>
      <c r="Q191" s="130" t="s">
        <v>3230</v>
      </c>
      <c r="R191" s="130">
        <v>8</v>
      </c>
      <c r="S191" s="130" t="s">
        <v>4347</v>
      </c>
      <c r="T191" s="130" t="s">
        <v>4604</v>
      </c>
      <c r="U191" s="129"/>
      <c r="V191" s="129"/>
      <c r="W191" s="129"/>
      <c r="X191" s="129" t="s">
        <v>21</v>
      </c>
    </row>
    <row r="192" spans="1:24" ht="26.25" customHeight="1">
      <c r="A192" s="17">
        <f t="shared" si="1"/>
        <v>189</v>
      </c>
      <c r="B192" s="18" t="s">
        <v>132</v>
      </c>
      <c r="C192" s="19" t="s">
        <v>1262</v>
      </c>
      <c r="D192" s="19" t="s">
        <v>1263</v>
      </c>
      <c r="E192" s="20" t="s">
        <v>1264</v>
      </c>
      <c r="F192" s="21" t="s">
        <v>135</v>
      </c>
      <c r="G192" s="22" t="s">
        <v>53</v>
      </c>
      <c r="H192" s="23" t="s">
        <v>1265</v>
      </c>
      <c r="I192" s="24" t="s">
        <v>20</v>
      </c>
      <c r="J192" s="1" t="str">
        <f t="shared" si="0"/>
        <v>FRIC</v>
      </c>
      <c r="K192" s="1"/>
      <c r="L192" s="1"/>
      <c r="M192" s="130">
        <v>189</v>
      </c>
      <c r="N192" s="130" t="s">
        <v>4337</v>
      </c>
      <c r="O192" s="131" t="s">
        <v>3236</v>
      </c>
      <c r="P192" s="130" t="s">
        <v>361</v>
      </c>
      <c r="Q192" s="130" t="s">
        <v>3238</v>
      </c>
      <c r="R192" s="130">
        <v>12</v>
      </c>
      <c r="S192" s="130" t="s">
        <v>4347</v>
      </c>
      <c r="T192" s="130" t="s">
        <v>4605</v>
      </c>
      <c r="U192" s="129"/>
      <c r="V192" s="129"/>
      <c r="W192" s="129"/>
      <c r="X192" s="129" t="s">
        <v>21</v>
      </c>
    </row>
    <row r="193" spans="1:24" ht="26.25" hidden="1" customHeight="1">
      <c r="A193" s="17">
        <f t="shared" si="1"/>
        <v>190</v>
      </c>
      <c r="B193" s="18" t="s">
        <v>132</v>
      </c>
      <c r="C193" s="31" t="s">
        <v>1269</v>
      </c>
      <c r="D193" s="19" t="s">
        <v>227</v>
      </c>
      <c r="E193" s="20" t="s">
        <v>1270</v>
      </c>
      <c r="F193" s="32" t="s">
        <v>1271</v>
      </c>
      <c r="G193" s="22" t="s">
        <v>42</v>
      </c>
      <c r="H193" s="23" t="s">
        <v>1272</v>
      </c>
      <c r="I193" s="24" t="s">
        <v>55</v>
      </c>
      <c r="J193" s="1" t="str">
        <f t="shared" si="0"/>
        <v/>
      </c>
      <c r="K193" s="1"/>
      <c r="L193" s="1"/>
      <c r="M193" s="130">
        <v>190</v>
      </c>
      <c r="N193" s="130" t="s">
        <v>4337</v>
      </c>
      <c r="O193" s="131" t="s">
        <v>3268</v>
      </c>
      <c r="P193" s="130" t="s">
        <v>2664</v>
      </c>
      <c r="Q193" s="130" t="s">
        <v>3269</v>
      </c>
      <c r="R193" s="130">
        <v>6</v>
      </c>
      <c r="S193" s="129"/>
      <c r="T193" s="130" t="s">
        <v>4606</v>
      </c>
      <c r="U193" s="130" t="s">
        <v>20</v>
      </c>
      <c r="V193" s="129"/>
      <c r="W193" s="129"/>
      <c r="X193" s="129" t="s">
        <v>21</v>
      </c>
    </row>
    <row r="194" spans="1:24" ht="26.25" hidden="1" customHeight="1">
      <c r="A194" s="17">
        <f t="shared" si="1"/>
        <v>191</v>
      </c>
      <c r="B194" s="18" t="s">
        <v>13</v>
      </c>
      <c r="C194" s="31" t="s">
        <v>1277</v>
      </c>
      <c r="D194" s="19" t="s">
        <v>1278</v>
      </c>
      <c r="E194" s="20" t="s">
        <v>1279</v>
      </c>
      <c r="F194" s="32" t="s">
        <v>1280</v>
      </c>
      <c r="G194" s="22" t="s">
        <v>42</v>
      </c>
      <c r="H194" s="23" t="s">
        <v>1281</v>
      </c>
      <c r="I194" s="24" t="s">
        <v>55</v>
      </c>
      <c r="J194" s="1" t="str">
        <f t="shared" si="0"/>
        <v/>
      </c>
      <c r="K194" s="1"/>
      <c r="L194" s="1"/>
      <c r="M194" s="130">
        <v>191</v>
      </c>
      <c r="N194" s="130" t="s">
        <v>4337</v>
      </c>
      <c r="O194" s="131" t="s">
        <v>3280</v>
      </c>
      <c r="P194" s="130" t="s">
        <v>332</v>
      </c>
      <c r="Q194" s="130" t="s">
        <v>3281</v>
      </c>
      <c r="R194" s="130">
        <v>4</v>
      </c>
      <c r="S194" s="129"/>
      <c r="T194" s="130" t="s">
        <v>4607</v>
      </c>
      <c r="U194" s="129"/>
      <c r="V194" s="129"/>
      <c r="W194" s="129"/>
      <c r="X194" s="129" t="s">
        <v>21</v>
      </c>
    </row>
    <row r="195" spans="1:24" ht="26.25" hidden="1" customHeight="1">
      <c r="A195" s="17">
        <f t="shared" si="1"/>
        <v>192</v>
      </c>
      <c r="B195" s="18" t="s">
        <v>248</v>
      </c>
      <c r="C195" s="31" t="s">
        <v>378</v>
      </c>
      <c r="D195" s="19" t="s">
        <v>124</v>
      </c>
      <c r="E195" s="20" t="s">
        <v>379</v>
      </c>
      <c r="F195" s="32" t="s">
        <v>163</v>
      </c>
      <c r="G195" s="33" t="s">
        <v>42</v>
      </c>
      <c r="H195" s="23" t="s">
        <v>1284</v>
      </c>
      <c r="I195" s="24" t="s">
        <v>55</v>
      </c>
      <c r="J195" s="1" t="str">
        <f t="shared" si="0"/>
        <v/>
      </c>
      <c r="K195" s="1"/>
      <c r="L195" s="1"/>
      <c r="M195" s="130">
        <v>192</v>
      </c>
      <c r="N195" s="130" t="s">
        <v>4337</v>
      </c>
      <c r="O195" s="131" t="s">
        <v>3284</v>
      </c>
      <c r="P195" s="130" t="s">
        <v>255</v>
      </c>
      <c r="Q195" s="130" t="s">
        <v>3286</v>
      </c>
      <c r="R195" s="130">
        <v>4</v>
      </c>
      <c r="S195" s="130" t="s">
        <v>4347</v>
      </c>
      <c r="T195" s="130" t="s">
        <v>4608</v>
      </c>
      <c r="U195" s="129"/>
      <c r="V195" s="129"/>
      <c r="W195" s="129"/>
      <c r="X195" s="129" t="s">
        <v>21</v>
      </c>
    </row>
    <row r="196" spans="1:24" ht="26.25" hidden="1" customHeight="1">
      <c r="A196" s="17">
        <f t="shared" si="1"/>
        <v>193</v>
      </c>
      <c r="B196" s="18" t="s">
        <v>248</v>
      </c>
      <c r="C196" s="19" t="s">
        <v>1288</v>
      </c>
      <c r="D196" s="19" t="s">
        <v>499</v>
      </c>
      <c r="E196" s="20" t="s">
        <v>1289</v>
      </c>
      <c r="F196" s="32" t="s">
        <v>52</v>
      </c>
      <c r="G196" s="33" t="s">
        <v>1290</v>
      </c>
      <c r="H196" s="23" t="s">
        <v>1291</v>
      </c>
      <c r="I196" s="34" t="s">
        <v>55</v>
      </c>
      <c r="J196" s="1" t="str">
        <f t="shared" si="0"/>
        <v/>
      </c>
      <c r="K196" s="25"/>
      <c r="L196" s="25"/>
      <c r="M196" s="133">
        <v>193</v>
      </c>
      <c r="N196" s="133" t="s">
        <v>4337</v>
      </c>
      <c r="O196" s="134" t="s">
        <v>3291</v>
      </c>
      <c r="P196" s="133" t="s">
        <v>558</v>
      </c>
      <c r="Q196" s="133" t="s">
        <v>3292</v>
      </c>
      <c r="R196" s="133">
        <v>24</v>
      </c>
      <c r="S196" s="135"/>
      <c r="T196" s="133" t="s">
        <v>4609</v>
      </c>
      <c r="U196" s="135"/>
      <c r="V196" s="135"/>
      <c r="W196" s="135"/>
      <c r="X196" s="135" t="s">
        <v>21</v>
      </c>
    </row>
    <row r="197" spans="1:24" ht="26.25" hidden="1" customHeight="1">
      <c r="A197" s="17">
        <f t="shared" si="1"/>
        <v>194</v>
      </c>
      <c r="B197" s="18" t="s">
        <v>1197</v>
      </c>
      <c r="C197" s="31" t="s">
        <v>1294</v>
      </c>
      <c r="D197" s="19" t="s">
        <v>1295</v>
      </c>
      <c r="E197" s="20" t="s">
        <v>1296</v>
      </c>
      <c r="F197" s="32" t="s">
        <v>1297</v>
      </c>
      <c r="G197" s="33" t="s">
        <v>1290</v>
      </c>
      <c r="H197" s="23" t="s">
        <v>1298</v>
      </c>
      <c r="I197" s="24" t="s">
        <v>55</v>
      </c>
      <c r="J197" s="1" t="str">
        <f t="shared" si="0"/>
        <v/>
      </c>
      <c r="K197" s="1"/>
      <c r="L197" s="1"/>
      <c r="M197" s="130">
        <v>194</v>
      </c>
      <c r="N197" s="130" t="s">
        <v>4337</v>
      </c>
      <c r="O197" s="131" t="s">
        <v>4610</v>
      </c>
      <c r="P197" s="130" t="s">
        <v>3272</v>
      </c>
      <c r="Q197" s="130" t="s">
        <v>3273</v>
      </c>
      <c r="R197" s="130">
        <v>12</v>
      </c>
      <c r="S197" s="130" t="s">
        <v>4347</v>
      </c>
      <c r="T197" s="130" t="s">
        <v>4611</v>
      </c>
      <c r="U197" s="130" t="s">
        <v>53</v>
      </c>
      <c r="V197" s="129" t="s">
        <v>4342</v>
      </c>
      <c r="W197" s="129"/>
      <c r="X197" s="129" t="s">
        <v>21</v>
      </c>
    </row>
    <row r="198" spans="1:24" ht="26.25" hidden="1" customHeight="1">
      <c r="A198" s="17">
        <f t="shared" si="1"/>
        <v>195</v>
      </c>
      <c r="B198" s="18" t="s">
        <v>1197</v>
      </c>
      <c r="C198" s="31" t="s">
        <v>1302</v>
      </c>
      <c r="D198" s="19" t="s">
        <v>665</v>
      </c>
      <c r="E198" s="20" t="s">
        <v>1303</v>
      </c>
      <c r="F198" s="32" t="s">
        <v>1304</v>
      </c>
      <c r="G198" s="33" t="s">
        <v>42</v>
      </c>
      <c r="H198" s="23" t="s">
        <v>1305</v>
      </c>
      <c r="I198" s="24" t="s">
        <v>55</v>
      </c>
      <c r="J198" s="1" t="str">
        <f t="shared" si="0"/>
        <v/>
      </c>
      <c r="K198" s="1"/>
      <c r="L198" s="1"/>
      <c r="M198" s="130">
        <v>195</v>
      </c>
      <c r="N198" s="130" t="s">
        <v>4337</v>
      </c>
      <c r="O198" s="131" t="s">
        <v>3470</v>
      </c>
      <c r="P198" s="130" t="s">
        <v>361</v>
      </c>
      <c r="Q198" s="130" t="s">
        <v>3471</v>
      </c>
      <c r="R198" s="130">
        <v>6</v>
      </c>
      <c r="S198" s="130" t="s">
        <v>4347</v>
      </c>
      <c r="T198" s="130" t="s">
        <v>4612</v>
      </c>
      <c r="U198" s="129"/>
      <c r="V198" s="129"/>
      <c r="W198" s="129"/>
      <c r="X198" s="129" t="s">
        <v>21</v>
      </c>
    </row>
    <row r="199" spans="1:24" ht="26.25" hidden="1" customHeight="1">
      <c r="A199" s="17">
        <f t="shared" si="1"/>
        <v>196</v>
      </c>
      <c r="B199" s="18" t="s">
        <v>105</v>
      </c>
      <c r="C199" s="31" t="s">
        <v>1308</v>
      </c>
      <c r="D199" s="19" t="s">
        <v>575</v>
      </c>
      <c r="E199" s="20" t="s">
        <v>1309</v>
      </c>
      <c r="F199" s="32" t="s">
        <v>416</v>
      </c>
      <c r="G199" s="33" t="s">
        <v>42</v>
      </c>
      <c r="H199" s="23" t="s">
        <v>1310</v>
      </c>
      <c r="I199" s="24" t="s">
        <v>55</v>
      </c>
      <c r="J199" s="1" t="str">
        <f t="shared" si="0"/>
        <v/>
      </c>
      <c r="K199" s="1"/>
      <c r="L199" s="1"/>
      <c r="M199" s="130">
        <v>196</v>
      </c>
      <c r="N199" s="130" t="s">
        <v>4337</v>
      </c>
      <c r="O199" s="131" t="s">
        <v>3489</v>
      </c>
      <c r="P199" s="130" t="s">
        <v>255</v>
      </c>
      <c r="Q199" s="130" t="s">
        <v>3490</v>
      </c>
      <c r="R199" s="130">
        <v>6</v>
      </c>
      <c r="S199" s="130" t="s">
        <v>4347</v>
      </c>
      <c r="T199" s="130" t="s">
        <v>4471</v>
      </c>
      <c r="U199" s="129"/>
      <c r="V199" s="129"/>
      <c r="W199" s="129"/>
      <c r="X199" s="129" t="s">
        <v>21</v>
      </c>
    </row>
    <row r="200" spans="1:24" ht="26.25" customHeight="1">
      <c r="A200" s="17">
        <f t="shared" si="1"/>
        <v>197</v>
      </c>
      <c r="B200" s="18" t="s">
        <v>81</v>
      </c>
      <c r="C200" s="19" t="s">
        <v>1313</v>
      </c>
      <c r="D200" s="19" t="s">
        <v>227</v>
      </c>
      <c r="E200" s="20" t="s">
        <v>1314</v>
      </c>
      <c r="F200" s="21" t="s">
        <v>135</v>
      </c>
      <c r="G200" s="33" t="s">
        <v>42</v>
      </c>
      <c r="H200" s="23" t="s">
        <v>1315</v>
      </c>
      <c r="I200" s="24" t="s">
        <v>20</v>
      </c>
      <c r="J200" s="1" t="str">
        <f t="shared" si="0"/>
        <v>FRIC</v>
      </c>
      <c r="K200" s="1"/>
      <c r="L200" s="1"/>
      <c r="M200" s="130">
        <v>197</v>
      </c>
      <c r="N200" s="130" t="s">
        <v>4337</v>
      </c>
      <c r="O200" s="131" t="s">
        <v>3499</v>
      </c>
      <c r="P200" s="130" t="s">
        <v>255</v>
      </c>
      <c r="Q200" s="130" t="s">
        <v>3500</v>
      </c>
      <c r="R200" s="130">
        <v>12</v>
      </c>
      <c r="S200" s="130" t="s">
        <v>4347</v>
      </c>
      <c r="T200" s="130" t="s">
        <v>4613</v>
      </c>
      <c r="U200" s="129"/>
      <c r="V200" s="129"/>
      <c r="W200" s="129"/>
      <c r="X200" s="129" t="s">
        <v>21</v>
      </c>
    </row>
    <row r="201" spans="1:24" ht="26.25" customHeight="1">
      <c r="A201" s="17">
        <f t="shared" si="1"/>
        <v>198</v>
      </c>
      <c r="B201" s="18" t="s">
        <v>37</v>
      </c>
      <c r="C201" s="19" t="s">
        <v>1319</v>
      </c>
      <c r="D201" s="19" t="s">
        <v>1320</v>
      </c>
      <c r="E201" s="20" t="s">
        <v>1321</v>
      </c>
      <c r="F201" s="21" t="s">
        <v>135</v>
      </c>
      <c r="G201" s="22" t="s">
        <v>42</v>
      </c>
      <c r="H201" s="23" t="s">
        <v>1322</v>
      </c>
      <c r="I201" s="24" t="s">
        <v>20</v>
      </c>
      <c r="J201" s="1" t="str">
        <f t="shared" si="0"/>
        <v>FRIC</v>
      </c>
      <c r="K201" s="1"/>
      <c r="L201" s="1"/>
      <c r="M201" s="130">
        <v>198</v>
      </c>
      <c r="N201" s="130" t="s">
        <v>4337</v>
      </c>
      <c r="O201" s="131" t="s">
        <v>3524</v>
      </c>
      <c r="P201" s="130" t="s">
        <v>255</v>
      </c>
      <c r="Q201" s="130" t="s">
        <v>3526</v>
      </c>
      <c r="R201" s="130">
        <v>8</v>
      </c>
      <c r="S201" s="130" t="s">
        <v>4347</v>
      </c>
      <c r="T201" s="130" t="s">
        <v>4614</v>
      </c>
      <c r="U201" s="129"/>
      <c r="V201" s="129"/>
      <c r="W201" s="129"/>
      <c r="X201" s="129" t="s">
        <v>21</v>
      </c>
    </row>
    <row r="202" spans="1:24" ht="26.25" customHeight="1">
      <c r="A202" s="17">
        <f t="shared" si="1"/>
        <v>199</v>
      </c>
      <c r="B202" s="18" t="s">
        <v>37</v>
      </c>
      <c r="C202" s="19" t="s">
        <v>1325</v>
      </c>
      <c r="D202" s="19" t="s">
        <v>1320</v>
      </c>
      <c r="E202" s="20" t="s">
        <v>1326</v>
      </c>
      <c r="F202" s="21" t="s">
        <v>1327</v>
      </c>
      <c r="G202" s="22" t="s">
        <v>31</v>
      </c>
      <c r="H202" s="23" t="s">
        <v>1328</v>
      </c>
      <c r="I202" s="24" t="s">
        <v>20</v>
      </c>
      <c r="J202" s="1" t="str">
        <f t="shared" si="0"/>
        <v>FRIC</v>
      </c>
      <c r="K202" s="1"/>
      <c r="L202" s="1"/>
      <c r="M202" s="130">
        <v>199</v>
      </c>
      <c r="N202" s="130" t="s">
        <v>4337</v>
      </c>
      <c r="O202" s="131" t="s">
        <v>3536</v>
      </c>
      <c r="P202" s="130" t="s">
        <v>3537</v>
      </c>
      <c r="Q202" s="130" t="s">
        <v>3538</v>
      </c>
      <c r="R202" s="130">
        <v>12</v>
      </c>
      <c r="S202" s="129"/>
      <c r="T202" s="130" t="s">
        <v>4615</v>
      </c>
      <c r="U202" s="130" t="s">
        <v>20</v>
      </c>
      <c r="V202" s="129"/>
      <c r="W202" s="129"/>
      <c r="X202" s="129" t="s">
        <v>21</v>
      </c>
    </row>
    <row r="203" spans="1:24" ht="26.25" customHeight="1">
      <c r="A203" s="17">
        <f t="shared" si="1"/>
        <v>200</v>
      </c>
      <c r="B203" s="18" t="s">
        <v>27</v>
      </c>
      <c r="C203" s="19" t="s">
        <v>1331</v>
      </c>
      <c r="D203" s="19" t="s">
        <v>141</v>
      </c>
      <c r="E203" s="20" t="s">
        <v>1332</v>
      </c>
      <c r="F203" s="21" t="s">
        <v>135</v>
      </c>
      <c r="G203" s="22" t="s">
        <v>42</v>
      </c>
      <c r="H203" s="23" t="s">
        <v>1333</v>
      </c>
      <c r="I203" s="24" t="s">
        <v>20</v>
      </c>
      <c r="J203" s="1" t="str">
        <f t="shared" si="0"/>
        <v>FRIC</v>
      </c>
      <c r="K203" s="1"/>
      <c r="L203" s="1"/>
      <c r="M203" s="130">
        <v>200</v>
      </c>
      <c r="N203" s="130" t="s">
        <v>4337</v>
      </c>
      <c r="O203" s="131" t="s">
        <v>4616</v>
      </c>
      <c r="P203" s="130" t="s">
        <v>1058</v>
      </c>
      <c r="Q203" s="130" t="s">
        <v>3544</v>
      </c>
      <c r="R203" s="130">
        <v>12</v>
      </c>
      <c r="S203" s="129"/>
      <c r="T203" s="130" t="s">
        <v>4386</v>
      </c>
      <c r="U203" s="130" t="s">
        <v>20</v>
      </c>
      <c r="V203" s="129"/>
      <c r="W203" s="129"/>
      <c r="X203" s="129" t="s">
        <v>21</v>
      </c>
    </row>
    <row r="204" spans="1:24" ht="26.25" customHeight="1">
      <c r="A204" s="17">
        <f t="shared" si="1"/>
        <v>201</v>
      </c>
      <c r="B204" s="18" t="s">
        <v>105</v>
      </c>
      <c r="C204" s="19" t="s">
        <v>1337</v>
      </c>
      <c r="D204" s="19" t="s">
        <v>1338</v>
      </c>
      <c r="E204" s="20" t="s">
        <v>1339</v>
      </c>
      <c r="F204" s="21" t="s">
        <v>1011</v>
      </c>
      <c r="G204" s="33" t="s">
        <v>42</v>
      </c>
      <c r="H204" s="23" t="s">
        <v>1340</v>
      </c>
      <c r="I204" s="24" t="s">
        <v>20</v>
      </c>
      <c r="J204" s="1" t="str">
        <f t="shared" si="0"/>
        <v>FRIC</v>
      </c>
      <c r="K204" s="1"/>
      <c r="L204" s="1"/>
      <c r="M204" s="130">
        <v>201</v>
      </c>
      <c r="N204" s="130" t="s">
        <v>4617</v>
      </c>
      <c r="O204" s="131" t="s">
        <v>3614</v>
      </c>
      <c r="P204" s="130" t="s">
        <v>4618</v>
      </c>
      <c r="Q204" s="130" t="s">
        <v>3616</v>
      </c>
      <c r="R204" s="130">
        <v>12</v>
      </c>
      <c r="S204" s="129"/>
      <c r="T204" s="130" t="s">
        <v>4619</v>
      </c>
      <c r="U204" s="129"/>
      <c r="V204" s="129"/>
      <c r="W204" s="129"/>
      <c r="X204" s="129" t="s">
        <v>21</v>
      </c>
    </row>
    <row r="205" spans="1:24" ht="26.25" hidden="1" customHeight="1">
      <c r="A205" s="17">
        <f t="shared" si="1"/>
        <v>202</v>
      </c>
      <c r="B205" s="18" t="s">
        <v>48</v>
      </c>
      <c r="C205" s="31" t="s">
        <v>1343</v>
      </c>
      <c r="D205" s="19" t="s">
        <v>1344</v>
      </c>
      <c r="E205" s="20" t="s">
        <v>1345</v>
      </c>
      <c r="F205" s="32" t="s">
        <v>416</v>
      </c>
      <c r="G205" s="33" t="s">
        <v>53</v>
      </c>
      <c r="H205" s="23" t="s">
        <v>1346</v>
      </c>
      <c r="I205" s="24" t="s">
        <v>55</v>
      </c>
      <c r="J205" s="1" t="str">
        <f t="shared" si="0"/>
        <v/>
      </c>
      <c r="K205" s="1"/>
      <c r="L205" s="1"/>
      <c r="M205" s="130">
        <v>202</v>
      </c>
      <c r="N205" s="130" t="s">
        <v>4617</v>
      </c>
      <c r="O205" s="131" t="s">
        <v>3618</v>
      </c>
      <c r="P205" s="130" t="s">
        <v>1780</v>
      </c>
      <c r="Q205" s="130" t="s">
        <v>3619</v>
      </c>
      <c r="R205" s="130">
        <v>12</v>
      </c>
      <c r="S205" s="129"/>
      <c r="T205" s="130" t="s">
        <v>4341</v>
      </c>
      <c r="U205" s="129"/>
      <c r="V205" s="129"/>
      <c r="W205" s="129"/>
      <c r="X205" s="129" t="s">
        <v>21</v>
      </c>
    </row>
    <row r="206" spans="1:24" ht="26.25" customHeight="1">
      <c r="A206" s="17">
        <f t="shared" si="1"/>
        <v>203</v>
      </c>
      <c r="B206" s="18" t="s">
        <v>132</v>
      </c>
      <c r="C206" s="77" t="s">
        <v>1350</v>
      </c>
      <c r="D206" s="19" t="s">
        <v>277</v>
      </c>
      <c r="E206" s="20" t="s">
        <v>1351</v>
      </c>
      <c r="F206" s="21" t="s">
        <v>1075</v>
      </c>
      <c r="G206" s="22" t="s">
        <v>42</v>
      </c>
      <c r="H206" s="23" t="s">
        <v>1352</v>
      </c>
      <c r="I206" s="24" t="s">
        <v>20</v>
      </c>
      <c r="J206" s="1" t="str">
        <f t="shared" si="0"/>
        <v>FRIC</v>
      </c>
      <c r="K206" s="1"/>
      <c r="L206" s="1"/>
      <c r="M206" s="130">
        <v>203</v>
      </c>
      <c r="N206" s="130" t="s">
        <v>4617</v>
      </c>
      <c r="O206" s="131" t="s">
        <v>3624</v>
      </c>
      <c r="P206" s="130" t="s">
        <v>4620</v>
      </c>
      <c r="Q206" s="130" t="s">
        <v>3626</v>
      </c>
      <c r="R206" s="132">
        <v>12</v>
      </c>
      <c r="S206" s="129"/>
      <c r="T206" s="130" t="s">
        <v>4621</v>
      </c>
      <c r="U206" s="129"/>
      <c r="V206" s="129"/>
      <c r="W206" s="129"/>
      <c r="X206" s="129" t="s">
        <v>21</v>
      </c>
    </row>
    <row r="207" spans="1:24" ht="26.25" hidden="1" customHeight="1">
      <c r="A207" s="17">
        <f t="shared" si="1"/>
        <v>204</v>
      </c>
      <c r="B207" s="18" t="s">
        <v>132</v>
      </c>
      <c r="C207" s="31" t="s">
        <v>1355</v>
      </c>
      <c r="D207" s="19" t="s">
        <v>277</v>
      </c>
      <c r="E207" s="20" t="s">
        <v>1356</v>
      </c>
      <c r="F207" s="32" t="s">
        <v>1357</v>
      </c>
      <c r="G207" s="22" t="s">
        <v>42</v>
      </c>
      <c r="H207" s="23" t="s">
        <v>1358</v>
      </c>
      <c r="I207" s="24" t="s">
        <v>55</v>
      </c>
      <c r="J207" s="1" t="str">
        <f t="shared" si="0"/>
        <v/>
      </c>
      <c r="K207" s="1"/>
      <c r="L207" s="1"/>
      <c r="M207" s="130">
        <v>204</v>
      </c>
      <c r="N207" s="130" t="s">
        <v>4617</v>
      </c>
      <c r="O207" s="131" t="s">
        <v>3634</v>
      </c>
      <c r="P207" s="130" t="s">
        <v>4622</v>
      </c>
      <c r="Q207" s="130" t="s">
        <v>3636</v>
      </c>
      <c r="R207" s="130">
        <v>12</v>
      </c>
      <c r="S207" s="129"/>
      <c r="T207" s="130" t="s">
        <v>4623</v>
      </c>
      <c r="U207" s="129"/>
      <c r="V207" s="129"/>
      <c r="W207" s="129"/>
      <c r="X207" s="129" t="s">
        <v>21</v>
      </c>
    </row>
    <row r="208" spans="1:24" ht="26.25" customHeight="1">
      <c r="A208" s="17">
        <f t="shared" si="1"/>
        <v>205</v>
      </c>
      <c r="B208" s="18" t="s">
        <v>132</v>
      </c>
      <c r="C208" s="19" t="s">
        <v>1361</v>
      </c>
      <c r="D208" s="19" t="s">
        <v>196</v>
      </c>
      <c r="E208" s="20" t="s">
        <v>1362</v>
      </c>
      <c r="F208" s="21" t="s">
        <v>1363</v>
      </c>
      <c r="G208" s="22" t="s">
        <v>42</v>
      </c>
      <c r="H208" s="23" t="s">
        <v>1364</v>
      </c>
      <c r="I208" s="24" t="s">
        <v>20</v>
      </c>
      <c r="J208" s="1" t="str">
        <f t="shared" si="0"/>
        <v>FRIC</v>
      </c>
      <c r="K208" s="1"/>
      <c r="L208" s="1"/>
      <c r="M208" s="130">
        <v>205</v>
      </c>
      <c r="N208" s="130" t="s">
        <v>4617</v>
      </c>
      <c r="O208" s="131" t="s">
        <v>4624</v>
      </c>
      <c r="P208" s="130" t="s">
        <v>1740</v>
      </c>
      <c r="Q208" s="130" t="s">
        <v>3641</v>
      </c>
      <c r="R208" s="130">
        <v>12</v>
      </c>
      <c r="S208" s="129"/>
      <c r="T208" s="130" t="s">
        <v>4625</v>
      </c>
      <c r="U208" s="129"/>
      <c r="V208" s="129"/>
      <c r="W208" s="129"/>
      <c r="X208" s="129" t="s">
        <v>21</v>
      </c>
    </row>
    <row r="209" spans="1:24" ht="26.25" hidden="1" customHeight="1">
      <c r="A209" s="17">
        <f t="shared" si="1"/>
        <v>206</v>
      </c>
      <c r="B209" s="18" t="s">
        <v>1368</v>
      </c>
      <c r="C209" s="31" t="s">
        <v>1369</v>
      </c>
      <c r="D209" s="19" t="s">
        <v>1370</v>
      </c>
      <c r="E209" s="20"/>
      <c r="F209" s="32" t="s">
        <v>1371</v>
      </c>
      <c r="G209" s="33" t="s">
        <v>53</v>
      </c>
      <c r="H209" s="23" t="s">
        <v>1372</v>
      </c>
      <c r="I209" s="24" t="s">
        <v>55</v>
      </c>
      <c r="J209" s="1" t="str">
        <f t="shared" si="0"/>
        <v/>
      </c>
      <c r="K209" s="1"/>
      <c r="L209" s="1"/>
      <c r="M209" s="130">
        <v>206</v>
      </c>
      <c r="N209" s="130" t="s">
        <v>4617</v>
      </c>
      <c r="O209" s="131" t="s">
        <v>4626</v>
      </c>
      <c r="P209" s="130" t="s">
        <v>4627</v>
      </c>
      <c r="Q209" s="130" t="s">
        <v>3646</v>
      </c>
      <c r="R209" s="130">
        <v>12</v>
      </c>
      <c r="S209" s="129"/>
      <c r="T209" s="130" t="s">
        <v>4628</v>
      </c>
      <c r="U209" s="129"/>
      <c r="V209" s="129"/>
      <c r="W209" s="129"/>
      <c r="X209" s="129" t="s">
        <v>21</v>
      </c>
    </row>
    <row r="210" spans="1:24" ht="26.25" hidden="1" customHeight="1">
      <c r="A210" s="17">
        <f t="shared" si="1"/>
        <v>207</v>
      </c>
      <c r="B210" s="18" t="s">
        <v>1375</v>
      </c>
      <c r="C210" s="31" t="s">
        <v>1376</v>
      </c>
      <c r="D210" s="19" t="s">
        <v>1377</v>
      </c>
      <c r="E210" s="20" t="s">
        <v>1378</v>
      </c>
      <c r="F210" s="32" t="s">
        <v>416</v>
      </c>
      <c r="G210" s="22" t="s">
        <v>53</v>
      </c>
      <c r="H210" s="23" t="s">
        <v>1379</v>
      </c>
      <c r="I210" s="24" t="s">
        <v>55</v>
      </c>
      <c r="J210" s="1" t="str">
        <f t="shared" si="0"/>
        <v/>
      </c>
      <c r="K210" s="1"/>
      <c r="L210" s="1"/>
      <c r="M210" s="130">
        <v>207</v>
      </c>
      <c r="N210" s="130" t="s">
        <v>4617</v>
      </c>
      <c r="O210" s="131" t="s">
        <v>3654</v>
      </c>
      <c r="P210" s="130" t="s">
        <v>4629</v>
      </c>
      <c r="Q210" s="130" t="s">
        <v>3656</v>
      </c>
      <c r="R210" s="130">
        <v>12</v>
      </c>
      <c r="S210" s="129"/>
      <c r="T210" s="130" t="s">
        <v>4630</v>
      </c>
      <c r="U210" s="129"/>
      <c r="V210" s="129"/>
      <c r="W210" s="129"/>
      <c r="X210" s="129" t="s">
        <v>21</v>
      </c>
    </row>
    <row r="211" spans="1:24" ht="26.25" hidden="1" customHeight="1">
      <c r="A211" s="17">
        <f t="shared" si="1"/>
        <v>208</v>
      </c>
      <c r="B211" s="18" t="s">
        <v>132</v>
      </c>
      <c r="C211" s="31" t="s">
        <v>1007</v>
      </c>
      <c r="D211" s="19" t="s">
        <v>277</v>
      </c>
      <c r="E211" s="20" t="s">
        <v>1008</v>
      </c>
      <c r="F211" s="32" t="s">
        <v>1382</v>
      </c>
      <c r="G211" s="22" t="s">
        <v>42</v>
      </c>
      <c r="H211" s="23" t="s">
        <v>1383</v>
      </c>
      <c r="I211" s="24" t="s">
        <v>55</v>
      </c>
      <c r="J211" s="1" t="str">
        <f t="shared" si="0"/>
        <v/>
      </c>
      <c r="K211" s="1"/>
      <c r="L211" s="1"/>
      <c r="M211" s="130">
        <v>208</v>
      </c>
      <c r="N211" s="130" t="s">
        <v>4617</v>
      </c>
      <c r="O211" s="131" t="s">
        <v>3664</v>
      </c>
      <c r="P211" s="130" t="s">
        <v>4631</v>
      </c>
      <c r="Q211" s="130" t="s">
        <v>3666</v>
      </c>
      <c r="R211" s="130">
        <v>12</v>
      </c>
      <c r="S211" s="129"/>
      <c r="T211" s="130" t="s">
        <v>4632</v>
      </c>
      <c r="U211" s="129"/>
      <c r="V211" s="129"/>
      <c r="W211" s="129"/>
      <c r="X211" s="129" t="s">
        <v>21</v>
      </c>
    </row>
    <row r="212" spans="1:24" ht="26.25" hidden="1" customHeight="1">
      <c r="A212" s="17">
        <f t="shared" si="1"/>
        <v>209</v>
      </c>
      <c r="B212" s="18" t="s">
        <v>132</v>
      </c>
      <c r="C212" s="31" t="s">
        <v>572</v>
      </c>
      <c r="D212" s="19" t="s">
        <v>1338</v>
      </c>
      <c r="E212" s="20" t="s">
        <v>573</v>
      </c>
      <c r="F212" s="32" t="s">
        <v>496</v>
      </c>
      <c r="G212" s="22" t="s">
        <v>42</v>
      </c>
      <c r="H212" s="23" t="s">
        <v>1387</v>
      </c>
      <c r="I212" s="24" t="s">
        <v>55</v>
      </c>
      <c r="J212" s="1" t="str">
        <f t="shared" si="0"/>
        <v/>
      </c>
      <c r="K212" s="1"/>
      <c r="L212" s="1"/>
      <c r="M212" s="130">
        <v>209</v>
      </c>
      <c r="N212" s="130" t="s">
        <v>4617</v>
      </c>
      <c r="O212" s="131" t="s">
        <v>4633</v>
      </c>
      <c r="P212" s="130" t="s">
        <v>757</v>
      </c>
      <c r="Q212" s="130" t="s">
        <v>3671</v>
      </c>
      <c r="R212" s="130">
        <v>12</v>
      </c>
      <c r="S212" s="129"/>
      <c r="T212" s="130" t="s">
        <v>4634</v>
      </c>
      <c r="U212" s="129"/>
      <c r="V212" s="129"/>
      <c r="W212" s="129"/>
      <c r="X212" s="129" t="s">
        <v>21</v>
      </c>
    </row>
    <row r="213" spans="1:24" ht="26.25" hidden="1" customHeight="1">
      <c r="A213" s="17">
        <f t="shared" si="1"/>
        <v>210</v>
      </c>
      <c r="B213" s="18" t="s">
        <v>175</v>
      </c>
      <c r="C213" s="31" t="s">
        <v>1390</v>
      </c>
      <c r="D213" s="19" t="s">
        <v>1391</v>
      </c>
      <c r="E213" s="20" t="s">
        <v>1392</v>
      </c>
      <c r="F213" s="32" t="s">
        <v>1393</v>
      </c>
      <c r="G213" s="33" t="s">
        <v>63</v>
      </c>
      <c r="H213" s="23" t="s">
        <v>1394</v>
      </c>
      <c r="I213" s="24" t="s">
        <v>55</v>
      </c>
      <c r="J213" s="1" t="str">
        <f t="shared" si="0"/>
        <v/>
      </c>
      <c r="K213" s="1"/>
      <c r="L213" s="1"/>
      <c r="M213" s="130">
        <v>210</v>
      </c>
      <c r="N213" s="130" t="s">
        <v>4617</v>
      </c>
      <c r="O213" s="131" t="s">
        <v>3675</v>
      </c>
      <c r="P213" s="130" t="s">
        <v>1797</v>
      </c>
      <c r="Q213" s="130" t="s">
        <v>3677</v>
      </c>
      <c r="R213" s="130">
        <v>12</v>
      </c>
      <c r="S213" s="129"/>
      <c r="T213" s="130" t="s">
        <v>4635</v>
      </c>
      <c r="U213" s="129"/>
      <c r="V213" s="129"/>
      <c r="W213" s="129"/>
      <c r="X213" s="129" t="s">
        <v>21</v>
      </c>
    </row>
    <row r="214" spans="1:24" ht="26.25" hidden="1" customHeight="1">
      <c r="A214" s="17">
        <f t="shared" si="1"/>
        <v>211</v>
      </c>
      <c r="B214" s="18" t="s">
        <v>867</v>
      </c>
      <c r="C214" s="31" t="s">
        <v>1398</v>
      </c>
      <c r="D214" s="19" t="s">
        <v>1399</v>
      </c>
      <c r="E214" s="20" t="s">
        <v>1400</v>
      </c>
      <c r="F214" s="32" t="s">
        <v>1401</v>
      </c>
      <c r="G214" s="33" t="s">
        <v>31</v>
      </c>
      <c r="H214" s="23" t="s">
        <v>1402</v>
      </c>
      <c r="I214" s="24" t="s">
        <v>55</v>
      </c>
      <c r="J214" s="1" t="str">
        <f t="shared" si="0"/>
        <v/>
      </c>
      <c r="K214" s="1"/>
      <c r="L214" s="1"/>
      <c r="M214" s="130">
        <v>211</v>
      </c>
      <c r="N214" s="130" t="s">
        <v>4617</v>
      </c>
      <c r="O214" s="131" t="s">
        <v>3700</v>
      </c>
      <c r="P214" s="130" t="s">
        <v>4636</v>
      </c>
      <c r="Q214" s="130" t="s">
        <v>3702</v>
      </c>
      <c r="R214" s="130">
        <v>12</v>
      </c>
      <c r="S214" s="129"/>
      <c r="T214" s="130" t="s">
        <v>4637</v>
      </c>
      <c r="U214" s="129"/>
      <c r="V214" s="129"/>
      <c r="W214" s="129"/>
      <c r="X214" s="129" t="s">
        <v>21</v>
      </c>
    </row>
    <row r="215" spans="1:24" ht="26.25" hidden="1" customHeight="1">
      <c r="A215" s="17">
        <f t="shared" si="1"/>
        <v>212</v>
      </c>
      <c r="B215" s="18" t="s">
        <v>105</v>
      </c>
      <c r="C215" s="31" t="s">
        <v>1407</v>
      </c>
      <c r="D215" s="19" t="s">
        <v>1408</v>
      </c>
      <c r="E215" s="20" t="s">
        <v>1409</v>
      </c>
      <c r="F215" s="32">
        <v>2011</v>
      </c>
      <c r="G215" s="33" t="s">
        <v>31</v>
      </c>
      <c r="H215" s="23" t="s">
        <v>1410</v>
      </c>
      <c r="I215" s="24" t="s">
        <v>55</v>
      </c>
      <c r="J215" s="1" t="str">
        <f t="shared" si="0"/>
        <v/>
      </c>
      <c r="K215" s="1"/>
      <c r="L215" s="1"/>
      <c r="M215" s="130">
        <v>212</v>
      </c>
      <c r="N215" s="130" t="s">
        <v>4617</v>
      </c>
      <c r="O215" s="131" t="s">
        <v>3704</v>
      </c>
      <c r="P215" s="130" t="s">
        <v>4638</v>
      </c>
      <c r="Q215" s="130" t="s">
        <v>3706</v>
      </c>
      <c r="R215" s="130">
        <v>12</v>
      </c>
      <c r="S215" s="129"/>
      <c r="T215" s="130" t="s">
        <v>4639</v>
      </c>
      <c r="U215" s="129"/>
      <c r="V215" s="129"/>
      <c r="W215" s="129"/>
      <c r="X215" s="129" t="s">
        <v>21</v>
      </c>
    </row>
    <row r="216" spans="1:24" ht="26.25" hidden="1" customHeight="1">
      <c r="A216" s="17">
        <f t="shared" si="1"/>
        <v>213</v>
      </c>
      <c r="B216" s="18" t="s">
        <v>105</v>
      </c>
      <c r="C216" s="31" t="s">
        <v>1414</v>
      </c>
      <c r="D216" s="19" t="s">
        <v>277</v>
      </c>
      <c r="E216" s="20" t="s">
        <v>1415</v>
      </c>
      <c r="F216" s="32" t="s">
        <v>252</v>
      </c>
      <c r="G216" s="33" t="s">
        <v>42</v>
      </c>
      <c r="H216" s="23" t="s">
        <v>1416</v>
      </c>
      <c r="I216" s="24" t="s">
        <v>55</v>
      </c>
      <c r="J216" s="1" t="str">
        <f t="shared" si="0"/>
        <v/>
      </c>
      <c r="K216" s="1"/>
      <c r="L216" s="1"/>
      <c r="M216" s="130">
        <v>213</v>
      </c>
      <c r="N216" s="130" t="s">
        <v>4617</v>
      </c>
      <c r="O216" s="131" t="s">
        <v>4640</v>
      </c>
      <c r="P216" s="130" t="s">
        <v>4641</v>
      </c>
      <c r="Q216" s="130" t="s">
        <v>3710</v>
      </c>
      <c r="R216" s="130">
        <v>12</v>
      </c>
      <c r="S216" s="129"/>
      <c r="T216" s="130" t="s">
        <v>4642</v>
      </c>
      <c r="U216" s="129"/>
      <c r="V216" s="129"/>
      <c r="W216" s="129"/>
      <c r="X216" s="129" t="s">
        <v>21</v>
      </c>
    </row>
    <row r="217" spans="1:24" ht="26.25" hidden="1" customHeight="1">
      <c r="A217" s="17">
        <f t="shared" si="1"/>
        <v>214</v>
      </c>
      <c r="B217" s="18" t="s">
        <v>27</v>
      </c>
      <c r="C217" s="31" t="s">
        <v>1420</v>
      </c>
      <c r="D217" s="19" t="s">
        <v>124</v>
      </c>
      <c r="E217" s="20" t="s">
        <v>386</v>
      </c>
      <c r="F217" s="32" t="s">
        <v>1421</v>
      </c>
      <c r="G217" s="22" t="s">
        <v>42</v>
      </c>
      <c r="H217" s="23" t="s">
        <v>1422</v>
      </c>
      <c r="I217" s="24" t="s">
        <v>55</v>
      </c>
      <c r="J217" s="1" t="str">
        <f t="shared" si="0"/>
        <v/>
      </c>
      <c r="K217" s="1"/>
      <c r="L217" s="1"/>
      <c r="M217" s="130">
        <v>214</v>
      </c>
      <c r="N217" s="130" t="s">
        <v>4617</v>
      </c>
      <c r="O217" s="131" t="s">
        <v>3723</v>
      </c>
      <c r="P217" s="130" t="s">
        <v>1797</v>
      </c>
      <c r="Q217" s="130" t="s">
        <v>3724</v>
      </c>
      <c r="R217" s="132">
        <v>12</v>
      </c>
      <c r="S217" s="129"/>
      <c r="T217" s="130" t="s">
        <v>4643</v>
      </c>
      <c r="U217" s="129"/>
      <c r="V217" s="129"/>
      <c r="W217" s="129"/>
      <c r="X217" s="129" t="s">
        <v>21</v>
      </c>
    </row>
    <row r="218" spans="1:24" ht="26.25" customHeight="1">
      <c r="A218" s="17">
        <f t="shared" si="1"/>
        <v>215</v>
      </c>
      <c r="B218" s="18" t="s">
        <v>13</v>
      </c>
      <c r="C218" s="19" t="s">
        <v>1426</v>
      </c>
      <c r="D218" s="19" t="s">
        <v>1427</v>
      </c>
      <c r="E218" s="20" t="s">
        <v>1428</v>
      </c>
      <c r="F218" s="21" t="s">
        <v>135</v>
      </c>
      <c r="G218" s="22" t="s">
        <v>53</v>
      </c>
      <c r="H218" s="23" t="s">
        <v>1429</v>
      </c>
      <c r="I218" s="24" t="s">
        <v>20</v>
      </c>
      <c r="J218" s="1" t="str">
        <f t="shared" si="0"/>
        <v>FRIC</v>
      </c>
      <c r="K218" s="1"/>
      <c r="L218" s="1"/>
      <c r="M218" s="130">
        <v>215</v>
      </c>
      <c r="N218" s="130" t="s">
        <v>4617</v>
      </c>
      <c r="O218" s="131" t="s">
        <v>3726</v>
      </c>
      <c r="P218" s="130" t="s">
        <v>4644</v>
      </c>
      <c r="Q218" s="130" t="s">
        <v>3728</v>
      </c>
      <c r="R218" s="130">
        <v>12</v>
      </c>
      <c r="S218" s="129"/>
      <c r="T218" s="130" t="s">
        <v>4645</v>
      </c>
      <c r="U218" s="129"/>
      <c r="V218" s="129"/>
      <c r="W218" s="129"/>
      <c r="X218" s="129" t="s">
        <v>21</v>
      </c>
    </row>
    <row r="219" spans="1:24" ht="26.25" hidden="1" customHeight="1">
      <c r="A219" s="17">
        <f t="shared" si="1"/>
        <v>216</v>
      </c>
      <c r="B219" s="18" t="s">
        <v>132</v>
      </c>
      <c r="C219" s="31" t="s">
        <v>1013</v>
      </c>
      <c r="D219" s="19" t="s">
        <v>1433</v>
      </c>
      <c r="E219" s="20" t="s">
        <v>1015</v>
      </c>
      <c r="F219" s="32" t="s">
        <v>170</v>
      </c>
      <c r="G219" s="22" t="s">
        <v>53</v>
      </c>
      <c r="H219" s="23" t="s">
        <v>1434</v>
      </c>
      <c r="I219" s="24" t="s">
        <v>55</v>
      </c>
      <c r="J219" s="1" t="str">
        <f t="shared" si="0"/>
        <v/>
      </c>
      <c r="K219" s="1"/>
      <c r="L219" s="1"/>
      <c r="M219" s="130">
        <v>216</v>
      </c>
      <c r="N219" s="130" t="s">
        <v>4617</v>
      </c>
      <c r="O219" s="131" t="s">
        <v>4646</v>
      </c>
      <c r="P219" s="130" t="s">
        <v>4647</v>
      </c>
      <c r="Q219" s="130" t="s">
        <v>3265</v>
      </c>
      <c r="R219" s="130">
        <v>12</v>
      </c>
      <c r="S219" s="129"/>
      <c r="T219" s="130" t="s">
        <v>4531</v>
      </c>
      <c r="U219" s="129"/>
      <c r="V219" s="129"/>
      <c r="W219" s="129"/>
      <c r="X219" s="129" t="s">
        <v>21</v>
      </c>
    </row>
    <row r="220" spans="1:24" ht="26.25" hidden="1" customHeight="1">
      <c r="A220" s="17">
        <f t="shared" si="1"/>
        <v>217</v>
      </c>
      <c r="B220" s="18" t="s">
        <v>1197</v>
      </c>
      <c r="C220" s="19" t="s">
        <v>1437</v>
      </c>
      <c r="D220" s="19" t="s">
        <v>790</v>
      </c>
      <c r="E220" s="20" t="s">
        <v>1438</v>
      </c>
      <c r="F220" s="21" t="s">
        <v>135</v>
      </c>
      <c r="G220" s="33" t="s">
        <v>31</v>
      </c>
      <c r="H220" s="23" t="s">
        <v>1439</v>
      </c>
      <c r="I220" s="24" t="s">
        <v>20</v>
      </c>
      <c r="J220" s="1" t="str">
        <f t="shared" si="0"/>
        <v>과기</v>
      </c>
      <c r="K220" s="1"/>
      <c r="L220" s="1"/>
      <c r="M220" s="130">
        <v>217</v>
      </c>
      <c r="N220" s="130" t="s">
        <v>4617</v>
      </c>
      <c r="O220" s="131" t="s">
        <v>3743</v>
      </c>
      <c r="P220" s="130" t="s">
        <v>4648</v>
      </c>
      <c r="Q220" s="130" t="s">
        <v>3745</v>
      </c>
      <c r="R220" s="130">
        <v>12</v>
      </c>
      <c r="S220" s="129"/>
      <c r="T220" s="130" t="s">
        <v>4623</v>
      </c>
      <c r="U220" s="129"/>
      <c r="V220" s="129"/>
      <c r="W220" s="129"/>
      <c r="X220" s="129" t="s">
        <v>21</v>
      </c>
    </row>
    <row r="221" spans="1:24" ht="26.25" hidden="1" customHeight="1">
      <c r="A221" s="17">
        <f t="shared" si="1"/>
        <v>218</v>
      </c>
      <c r="B221" s="18" t="s">
        <v>175</v>
      </c>
      <c r="C221" s="31" t="s">
        <v>1443</v>
      </c>
      <c r="D221" s="19" t="s">
        <v>1444</v>
      </c>
      <c r="E221" s="20" t="s">
        <v>1445</v>
      </c>
      <c r="F221" s="32" t="s">
        <v>1446</v>
      </c>
      <c r="G221" s="33" t="s">
        <v>53</v>
      </c>
      <c r="H221" s="23" t="s">
        <v>1447</v>
      </c>
      <c r="I221" s="24" t="s">
        <v>55</v>
      </c>
      <c r="J221" s="1" t="str">
        <f t="shared" si="0"/>
        <v/>
      </c>
      <c r="K221" s="1"/>
      <c r="L221" s="1"/>
      <c r="M221" s="130">
        <v>218</v>
      </c>
      <c r="N221" s="130" t="s">
        <v>4617</v>
      </c>
      <c r="O221" s="131" t="s">
        <v>4649</v>
      </c>
      <c r="P221" s="130" t="s">
        <v>4650</v>
      </c>
      <c r="Q221" s="130" t="s">
        <v>3758</v>
      </c>
      <c r="R221" s="130">
        <v>6</v>
      </c>
      <c r="S221" s="129"/>
      <c r="T221" s="130" t="s">
        <v>4651</v>
      </c>
      <c r="U221" s="129"/>
      <c r="V221" s="129"/>
      <c r="W221" s="129"/>
      <c r="X221" s="129" t="s">
        <v>21</v>
      </c>
    </row>
    <row r="222" spans="1:24" ht="26.25" hidden="1" customHeight="1">
      <c r="A222" s="17">
        <f t="shared" si="1"/>
        <v>219</v>
      </c>
      <c r="B222" s="18" t="s">
        <v>175</v>
      </c>
      <c r="C222" s="31" t="s">
        <v>1451</v>
      </c>
      <c r="D222" s="19" t="s">
        <v>45</v>
      </c>
      <c r="E222" s="20" t="s">
        <v>1452</v>
      </c>
      <c r="F222" s="32" t="s">
        <v>1453</v>
      </c>
      <c r="G222" s="33" t="s">
        <v>42</v>
      </c>
      <c r="H222" s="23" t="s">
        <v>1454</v>
      </c>
      <c r="I222" s="24" t="s">
        <v>55</v>
      </c>
      <c r="J222" s="1" t="str">
        <f t="shared" si="0"/>
        <v/>
      </c>
      <c r="K222" s="1"/>
      <c r="L222" s="1"/>
      <c r="M222" s="130">
        <v>219</v>
      </c>
      <c r="N222" s="130" t="s">
        <v>4617</v>
      </c>
      <c r="O222" s="131" t="s">
        <v>4652</v>
      </c>
      <c r="P222" s="130" t="s">
        <v>4653</v>
      </c>
      <c r="Q222" s="130" t="s">
        <v>783</v>
      </c>
      <c r="R222" s="130">
        <v>12</v>
      </c>
      <c r="S222" s="129"/>
      <c r="T222" s="130" t="s">
        <v>4654</v>
      </c>
      <c r="U222" s="129"/>
      <c r="V222" s="129"/>
      <c r="W222" s="129"/>
      <c r="X222" s="129" t="s">
        <v>21</v>
      </c>
    </row>
    <row r="223" spans="1:24" ht="26.25" hidden="1" customHeight="1">
      <c r="A223" s="17">
        <f t="shared" si="1"/>
        <v>220</v>
      </c>
      <c r="B223" s="18" t="s">
        <v>175</v>
      </c>
      <c r="C223" s="31" t="s">
        <v>1458</v>
      </c>
      <c r="D223" s="19" t="s">
        <v>1459</v>
      </c>
      <c r="E223" s="20" t="s">
        <v>1460</v>
      </c>
      <c r="F223" s="32" t="s">
        <v>1461</v>
      </c>
      <c r="G223" s="33" t="s">
        <v>42</v>
      </c>
      <c r="H223" s="23" t="s">
        <v>1462</v>
      </c>
      <c r="I223" s="24" t="s">
        <v>55</v>
      </c>
      <c r="J223" s="1" t="str">
        <f t="shared" si="0"/>
        <v/>
      </c>
      <c r="K223" s="1"/>
      <c r="L223" s="1"/>
      <c r="M223" s="130">
        <v>220</v>
      </c>
      <c r="N223" s="130" t="s">
        <v>4617</v>
      </c>
      <c r="O223" s="131" t="s">
        <v>4655</v>
      </c>
      <c r="P223" s="130" t="s">
        <v>4656</v>
      </c>
      <c r="Q223" s="130" t="s">
        <v>3783</v>
      </c>
      <c r="R223" s="130">
        <v>12</v>
      </c>
      <c r="S223" s="129"/>
      <c r="T223" s="130" t="s">
        <v>4657</v>
      </c>
      <c r="U223" s="129"/>
      <c r="V223" s="129"/>
      <c r="W223" s="129"/>
      <c r="X223" s="129" t="s">
        <v>21</v>
      </c>
    </row>
    <row r="224" spans="1:24" ht="26.25" hidden="1" customHeight="1">
      <c r="A224" s="17">
        <f t="shared" si="1"/>
        <v>221</v>
      </c>
      <c r="B224" s="18" t="s">
        <v>175</v>
      </c>
      <c r="C224" s="31" t="s">
        <v>1465</v>
      </c>
      <c r="D224" s="19" t="s">
        <v>1466</v>
      </c>
      <c r="E224" s="20" t="s">
        <v>1467</v>
      </c>
      <c r="F224" s="21" t="s">
        <v>1468</v>
      </c>
      <c r="G224" s="33" t="s">
        <v>42</v>
      </c>
      <c r="H224" s="23" t="s">
        <v>1469</v>
      </c>
      <c r="I224" s="34" t="s">
        <v>20</v>
      </c>
      <c r="J224" s="1" t="str">
        <f t="shared" si="0"/>
        <v>과기</v>
      </c>
      <c r="K224" s="25"/>
      <c r="L224" s="25"/>
      <c r="M224" s="133">
        <v>221</v>
      </c>
      <c r="N224" s="133" t="s">
        <v>4617</v>
      </c>
      <c r="O224" s="134" t="s">
        <v>3789</v>
      </c>
      <c r="P224" s="133" t="s">
        <v>3790</v>
      </c>
      <c r="Q224" s="133" t="s">
        <v>3791</v>
      </c>
      <c r="R224" s="133">
        <v>12</v>
      </c>
      <c r="S224" s="135"/>
      <c r="T224" s="133" t="s">
        <v>4658</v>
      </c>
      <c r="U224" s="135"/>
      <c r="V224" s="135"/>
      <c r="W224" s="135"/>
      <c r="X224" s="135" t="s">
        <v>21</v>
      </c>
    </row>
    <row r="225" spans="1:24" ht="26.25" customHeight="1">
      <c r="A225" s="17">
        <f t="shared" si="1"/>
        <v>222</v>
      </c>
      <c r="B225" s="18" t="s">
        <v>105</v>
      </c>
      <c r="C225" s="19" t="s">
        <v>1472</v>
      </c>
      <c r="D225" s="19" t="s">
        <v>124</v>
      </c>
      <c r="E225" s="20" t="s">
        <v>1473</v>
      </c>
      <c r="F225" s="21" t="s">
        <v>135</v>
      </c>
      <c r="G225" s="33" t="s">
        <v>42</v>
      </c>
      <c r="H225" s="23" t="s">
        <v>1474</v>
      </c>
      <c r="I225" s="24" t="s">
        <v>20</v>
      </c>
      <c r="J225" s="1" t="str">
        <f t="shared" si="0"/>
        <v>FRIC</v>
      </c>
      <c r="K225" s="1"/>
      <c r="L225" s="1"/>
      <c r="M225" s="130">
        <v>222</v>
      </c>
      <c r="N225" s="130" t="s">
        <v>4617</v>
      </c>
      <c r="O225" s="131" t="s">
        <v>4659</v>
      </c>
      <c r="P225" s="130" t="s">
        <v>313</v>
      </c>
      <c r="Q225" s="130" t="s">
        <v>3799</v>
      </c>
      <c r="R225" s="130">
        <v>12</v>
      </c>
      <c r="S225" s="129"/>
      <c r="T225" s="130" t="s">
        <v>4660</v>
      </c>
      <c r="U225" s="129"/>
      <c r="V225" s="129"/>
      <c r="W225" s="129"/>
      <c r="X225" s="129" t="s">
        <v>21</v>
      </c>
    </row>
    <row r="226" spans="1:24" ht="26.25" hidden="1" customHeight="1">
      <c r="A226" s="17">
        <f t="shared" si="1"/>
        <v>223</v>
      </c>
      <c r="B226" s="18" t="s">
        <v>105</v>
      </c>
      <c r="C226" s="31" t="s">
        <v>1478</v>
      </c>
      <c r="D226" s="19" t="s">
        <v>1479</v>
      </c>
      <c r="E226" s="20" t="s">
        <v>1480</v>
      </c>
      <c r="F226" s="32" t="s">
        <v>1481</v>
      </c>
      <c r="G226" s="33" t="s">
        <v>42</v>
      </c>
      <c r="H226" s="23" t="s">
        <v>1482</v>
      </c>
      <c r="I226" s="24" t="s">
        <v>55</v>
      </c>
      <c r="J226" s="1" t="str">
        <f t="shared" si="0"/>
        <v/>
      </c>
      <c r="K226" s="1"/>
      <c r="L226" s="1"/>
      <c r="M226" s="130">
        <v>223</v>
      </c>
      <c r="N226" s="130" t="s">
        <v>4617</v>
      </c>
      <c r="O226" s="131" t="s">
        <v>2398</v>
      </c>
      <c r="P226" s="130" t="s">
        <v>4661</v>
      </c>
      <c r="Q226" s="130" t="s">
        <v>2400</v>
      </c>
      <c r="R226" s="130">
        <v>6</v>
      </c>
      <c r="S226" s="129"/>
      <c r="T226" s="130" t="s">
        <v>4412</v>
      </c>
      <c r="U226" s="129"/>
      <c r="V226" s="129"/>
      <c r="W226" s="141" t="s">
        <v>4662</v>
      </c>
      <c r="X226" s="129" t="s">
        <v>21</v>
      </c>
    </row>
    <row r="227" spans="1:24" ht="26.25" customHeight="1">
      <c r="A227" s="17">
        <f t="shared" si="1"/>
        <v>224</v>
      </c>
      <c r="B227" s="18" t="s">
        <v>105</v>
      </c>
      <c r="C227" s="19" t="s">
        <v>1485</v>
      </c>
      <c r="D227" s="19" t="s">
        <v>1486</v>
      </c>
      <c r="E227" s="20" t="s">
        <v>1487</v>
      </c>
      <c r="F227" s="21" t="s">
        <v>135</v>
      </c>
      <c r="G227" s="33" t="s">
        <v>42</v>
      </c>
      <c r="H227" s="23" t="s">
        <v>1488</v>
      </c>
      <c r="I227" s="24" t="s">
        <v>20</v>
      </c>
      <c r="J227" s="1" t="str">
        <f t="shared" si="0"/>
        <v>FRIC</v>
      </c>
      <c r="K227" s="1"/>
      <c r="L227" s="1"/>
      <c r="M227" s="130">
        <v>224</v>
      </c>
      <c r="N227" s="130" t="s">
        <v>4617</v>
      </c>
      <c r="O227" s="131" t="s">
        <v>4663</v>
      </c>
      <c r="P227" s="130" t="s">
        <v>4664</v>
      </c>
      <c r="Q227" s="130" t="s">
        <v>3804</v>
      </c>
      <c r="R227" s="130">
        <v>12</v>
      </c>
      <c r="S227" s="129"/>
      <c r="T227" s="130" t="s">
        <v>4665</v>
      </c>
      <c r="U227" s="129"/>
      <c r="V227" s="129"/>
      <c r="W227" s="129"/>
      <c r="X227" s="129" t="s">
        <v>21</v>
      </c>
    </row>
    <row r="228" spans="1:24" ht="26.25" customHeight="1">
      <c r="A228" s="17">
        <f t="shared" si="1"/>
        <v>225</v>
      </c>
      <c r="B228" s="18" t="s">
        <v>37</v>
      </c>
      <c r="C228" s="19" t="s">
        <v>1490</v>
      </c>
      <c r="D228" s="19" t="s">
        <v>1491</v>
      </c>
      <c r="E228" s="20" t="s">
        <v>1492</v>
      </c>
      <c r="F228" s="21" t="s">
        <v>1493</v>
      </c>
      <c r="G228" s="22" t="s">
        <v>53</v>
      </c>
      <c r="H228" s="23" t="s">
        <v>1494</v>
      </c>
      <c r="I228" s="24" t="s">
        <v>20</v>
      </c>
      <c r="J228" s="1" t="str">
        <f t="shared" si="0"/>
        <v>FRIC</v>
      </c>
      <c r="K228" s="1"/>
      <c r="L228" s="1"/>
      <c r="M228" s="130">
        <v>225</v>
      </c>
      <c r="N228" s="130" t="s">
        <v>4617</v>
      </c>
      <c r="O228" s="131" t="s">
        <v>4666</v>
      </c>
      <c r="P228" s="130" t="s">
        <v>4667</v>
      </c>
      <c r="Q228" s="130" t="s">
        <v>3809</v>
      </c>
      <c r="R228" s="130">
        <v>12</v>
      </c>
      <c r="S228" s="129"/>
      <c r="T228" s="130" t="s">
        <v>4668</v>
      </c>
      <c r="U228" s="129"/>
      <c r="V228" s="129"/>
      <c r="W228" s="129"/>
      <c r="X228" s="129" t="s">
        <v>21</v>
      </c>
    </row>
    <row r="229" spans="1:24" ht="26.25" hidden="1" customHeight="1">
      <c r="A229" s="17">
        <f t="shared" si="1"/>
        <v>226</v>
      </c>
      <c r="B229" s="18" t="s">
        <v>105</v>
      </c>
      <c r="C229" s="31" t="s">
        <v>628</v>
      </c>
      <c r="D229" s="19" t="s">
        <v>1496</v>
      </c>
      <c r="E229" s="20" t="s">
        <v>630</v>
      </c>
      <c r="F229" s="32" t="s">
        <v>496</v>
      </c>
      <c r="G229" s="33" t="s">
        <v>1086</v>
      </c>
      <c r="H229" s="23" t="s">
        <v>1497</v>
      </c>
      <c r="I229" s="24" t="s">
        <v>55</v>
      </c>
      <c r="J229" s="1" t="str">
        <f t="shared" si="0"/>
        <v/>
      </c>
      <c r="K229" s="1"/>
      <c r="L229" s="1"/>
      <c r="M229" s="130">
        <v>226</v>
      </c>
      <c r="N229" s="130" t="s">
        <v>4617</v>
      </c>
      <c r="O229" s="131" t="s">
        <v>3817</v>
      </c>
      <c r="P229" s="130" t="s">
        <v>4669</v>
      </c>
      <c r="Q229" s="130" t="s">
        <v>3819</v>
      </c>
      <c r="R229" s="130">
        <v>12</v>
      </c>
      <c r="S229" s="129"/>
      <c r="T229" s="130" t="s">
        <v>4670</v>
      </c>
      <c r="U229" s="129"/>
      <c r="V229" s="129"/>
      <c r="W229" s="129"/>
      <c r="X229" s="129" t="s">
        <v>21</v>
      </c>
    </row>
    <row r="230" spans="1:24" ht="26.25" hidden="1" customHeight="1">
      <c r="A230" s="17">
        <f t="shared" si="1"/>
        <v>227</v>
      </c>
      <c r="B230" s="18" t="s">
        <v>13</v>
      </c>
      <c r="C230" s="31" t="s">
        <v>578</v>
      </c>
      <c r="D230" s="19" t="s">
        <v>1499</v>
      </c>
      <c r="E230" s="20" t="s">
        <v>580</v>
      </c>
      <c r="F230" s="32" t="s">
        <v>1500</v>
      </c>
      <c r="G230" s="22" t="s">
        <v>42</v>
      </c>
      <c r="H230" s="23" t="s">
        <v>1501</v>
      </c>
      <c r="I230" s="24" t="s">
        <v>55</v>
      </c>
      <c r="J230" s="1" t="str">
        <f t="shared" si="0"/>
        <v/>
      </c>
      <c r="K230" s="1"/>
      <c r="L230" s="1"/>
      <c r="M230" s="130">
        <v>227</v>
      </c>
      <c r="N230" s="130" t="s">
        <v>4617</v>
      </c>
      <c r="O230" s="131" t="s">
        <v>4671</v>
      </c>
      <c r="P230" s="130" t="s">
        <v>4672</v>
      </c>
      <c r="Q230" s="130" t="s">
        <v>3171</v>
      </c>
      <c r="R230" s="130">
        <v>12</v>
      </c>
      <c r="S230" s="129"/>
      <c r="T230" s="130" t="s">
        <v>4619</v>
      </c>
      <c r="U230" s="129"/>
      <c r="V230" s="129"/>
      <c r="W230" s="129"/>
      <c r="X230" s="129" t="s">
        <v>21</v>
      </c>
    </row>
    <row r="231" spans="1:24" ht="26.25" customHeight="1">
      <c r="A231" s="17">
        <f t="shared" si="1"/>
        <v>228</v>
      </c>
      <c r="B231" s="18" t="s">
        <v>13</v>
      </c>
      <c r="C231" s="19" t="s">
        <v>1503</v>
      </c>
      <c r="D231" s="19" t="s">
        <v>199</v>
      </c>
      <c r="E231" s="20" t="s">
        <v>1504</v>
      </c>
      <c r="F231" s="21" t="s">
        <v>1505</v>
      </c>
      <c r="G231" s="22" t="s">
        <v>42</v>
      </c>
      <c r="H231" s="23" t="s">
        <v>1506</v>
      </c>
      <c r="I231" s="24" t="s">
        <v>20</v>
      </c>
      <c r="J231" s="1" t="str">
        <f t="shared" si="0"/>
        <v>FRIC</v>
      </c>
      <c r="K231" s="1"/>
      <c r="L231" s="1"/>
      <c r="M231" s="130">
        <v>228</v>
      </c>
      <c r="N231" s="130" t="s">
        <v>4617</v>
      </c>
      <c r="O231" s="131" t="s">
        <v>4673</v>
      </c>
      <c r="P231" s="130" t="s">
        <v>4674</v>
      </c>
      <c r="Q231" s="142" t="s">
        <v>3843</v>
      </c>
      <c r="R231" s="132">
        <v>6</v>
      </c>
      <c r="S231" s="129"/>
      <c r="T231" s="130" t="s">
        <v>4675</v>
      </c>
      <c r="U231" s="129"/>
      <c r="V231" s="129"/>
      <c r="W231" s="129"/>
      <c r="X231" s="129" t="s">
        <v>21</v>
      </c>
    </row>
    <row r="232" spans="1:24" ht="26.25" hidden="1" customHeight="1">
      <c r="A232" s="17">
        <f t="shared" si="1"/>
        <v>229</v>
      </c>
      <c r="B232" s="18" t="s">
        <v>37</v>
      </c>
      <c r="C232" s="31" t="s">
        <v>1507</v>
      </c>
      <c r="D232" s="19" t="s">
        <v>1320</v>
      </c>
      <c r="E232" s="20" t="s">
        <v>1508</v>
      </c>
      <c r="F232" s="32" t="s">
        <v>1509</v>
      </c>
      <c r="G232" s="22" t="s">
        <v>53</v>
      </c>
      <c r="H232" s="23" t="s">
        <v>1510</v>
      </c>
      <c r="I232" s="24" t="s">
        <v>55</v>
      </c>
      <c r="J232" s="1" t="str">
        <f t="shared" si="0"/>
        <v/>
      </c>
      <c r="K232" s="1"/>
      <c r="L232" s="1"/>
      <c r="M232" s="130">
        <v>229</v>
      </c>
      <c r="N232" s="130" t="s">
        <v>4617</v>
      </c>
      <c r="O232" s="131" t="s">
        <v>3845</v>
      </c>
      <c r="P232" s="130" t="s">
        <v>4676</v>
      </c>
      <c r="Q232" s="130" t="s">
        <v>3847</v>
      </c>
      <c r="R232" s="130">
        <v>12</v>
      </c>
      <c r="S232" s="129"/>
      <c r="T232" s="130" t="s">
        <v>4677</v>
      </c>
      <c r="U232" s="129"/>
      <c r="V232" s="129"/>
      <c r="W232" s="129"/>
      <c r="X232" s="129" t="s">
        <v>21</v>
      </c>
    </row>
    <row r="233" spans="1:24" ht="26.25" hidden="1" customHeight="1">
      <c r="A233" s="17">
        <f t="shared" si="1"/>
        <v>230</v>
      </c>
      <c r="B233" s="18" t="s">
        <v>13</v>
      </c>
      <c r="C233" s="31" t="s">
        <v>1020</v>
      </c>
      <c r="D233" s="19" t="s">
        <v>1514</v>
      </c>
      <c r="E233" s="20" t="s">
        <v>1022</v>
      </c>
      <c r="F233" s="32" t="s">
        <v>170</v>
      </c>
      <c r="G233" s="22" t="s">
        <v>53</v>
      </c>
      <c r="H233" s="23" t="s">
        <v>1515</v>
      </c>
      <c r="I233" s="24" t="s">
        <v>55</v>
      </c>
      <c r="J233" s="1" t="str">
        <f t="shared" si="0"/>
        <v/>
      </c>
      <c r="K233" s="1"/>
      <c r="L233" s="1"/>
      <c r="M233" s="130">
        <v>230</v>
      </c>
      <c r="N233" s="130" t="s">
        <v>4617</v>
      </c>
      <c r="O233" s="131" t="s">
        <v>4678</v>
      </c>
      <c r="P233" s="130" t="s">
        <v>1863</v>
      </c>
      <c r="Q233" s="130" t="s">
        <v>3852</v>
      </c>
      <c r="R233" s="130">
        <v>6</v>
      </c>
      <c r="S233" s="129"/>
      <c r="T233" s="130" t="s">
        <v>4679</v>
      </c>
      <c r="U233" s="129"/>
      <c r="V233" s="129"/>
      <c r="W233" s="129"/>
      <c r="X233" s="129" t="s">
        <v>21</v>
      </c>
    </row>
    <row r="234" spans="1:24" ht="26.25" customHeight="1">
      <c r="A234" s="17">
        <f t="shared" si="1"/>
        <v>231</v>
      </c>
      <c r="B234" s="18" t="s">
        <v>27</v>
      </c>
      <c r="C234" s="19" t="s">
        <v>1518</v>
      </c>
      <c r="D234" s="19" t="s">
        <v>124</v>
      </c>
      <c r="E234" s="20" t="s">
        <v>1519</v>
      </c>
      <c r="F234" s="21" t="s">
        <v>135</v>
      </c>
      <c r="G234" s="22" t="s">
        <v>42</v>
      </c>
      <c r="H234" s="23" t="s">
        <v>1520</v>
      </c>
      <c r="I234" s="24" t="s">
        <v>20</v>
      </c>
      <c r="J234" s="1" t="str">
        <f t="shared" si="0"/>
        <v>FRIC</v>
      </c>
      <c r="K234" s="1"/>
      <c r="L234" s="1"/>
      <c r="M234" s="130">
        <v>231</v>
      </c>
      <c r="N234" s="130" t="s">
        <v>4617</v>
      </c>
      <c r="O234" s="131" t="s">
        <v>4680</v>
      </c>
      <c r="P234" s="130" t="s">
        <v>4681</v>
      </c>
      <c r="Q234" s="130" t="s">
        <v>3897</v>
      </c>
      <c r="R234" s="130">
        <v>8</v>
      </c>
      <c r="S234" s="129"/>
      <c r="T234" s="130" t="s">
        <v>4682</v>
      </c>
      <c r="U234" s="129"/>
      <c r="V234" s="129"/>
      <c r="W234" s="129"/>
      <c r="X234" s="129" t="s">
        <v>21</v>
      </c>
    </row>
    <row r="235" spans="1:24" ht="26.25" customHeight="1">
      <c r="A235" s="17">
        <f t="shared" si="1"/>
        <v>232</v>
      </c>
      <c r="B235" s="18" t="s">
        <v>132</v>
      </c>
      <c r="C235" s="19" t="s">
        <v>1522</v>
      </c>
      <c r="D235" s="19" t="s">
        <v>588</v>
      </c>
      <c r="E235" s="20" t="s">
        <v>1523</v>
      </c>
      <c r="F235" s="21" t="s">
        <v>135</v>
      </c>
      <c r="G235" s="22" t="s">
        <v>42</v>
      </c>
      <c r="H235" s="23" t="s">
        <v>1524</v>
      </c>
      <c r="I235" s="24" t="s">
        <v>20</v>
      </c>
      <c r="J235" s="1" t="str">
        <f t="shared" si="0"/>
        <v>FRIC</v>
      </c>
      <c r="K235" s="1"/>
      <c r="L235" s="1"/>
      <c r="M235" s="130">
        <v>232</v>
      </c>
      <c r="N235" s="130" t="s">
        <v>4617</v>
      </c>
      <c r="O235" s="131" t="s">
        <v>4683</v>
      </c>
      <c r="P235" s="130" t="s">
        <v>4684</v>
      </c>
      <c r="Q235" s="130" t="s">
        <v>3928</v>
      </c>
      <c r="R235" s="132">
        <v>10</v>
      </c>
      <c r="S235" s="129"/>
      <c r="T235" s="130" t="s">
        <v>4685</v>
      </c>
      <c r="U235" s="129"/>
      <c r="V235" s="129"/>
      <c r="W235" s="129"/>
      <c r="X235" s="129" t="s">
        <v>21</v>
      </c>
    </row>
    <row r="236" spans="1:24" ht="26.25" customHeight="1">
      <c r="A236" s="17">
        <f t="shared" si="1"/>
        <v>233</v>
      </c>
      <c r="B236" s="18" t="s">
        <v>27</v>
      </c>
      <c r="C236" s="19" t="s">
        <v>1527</v>
      </c>
      <c r="D236" s="19" t="s">
        <v>141</v>
      </c>
      <c r="E236" s="20" t="s">
        <v>1528</v>
      </c>
      <c r="F236" s="21" t="s">
        <v>905</v>
      </c>
      <c r="G236" s="22" t="s">
        <v>42</v>
      </c>
      <c r="H236" s="23" t="s">
        <v>1529</v>
      </c>
      <c r="I236" s="24" t="s">
        <v>20</v>
      </c>
      <c r="J236" s="1" t="str">
        <f t="shared" si="0"/>
        <v>FRIC</v>
      </c>
      <c r="K236" s="1"/>
      <c r="L236" s="1"/>
      <c r="M236" s="130">
        <v>233</v>
      </c>
      <c r="N236" s="130" t="s">
        <v>4617</v>
      </c>
      <c r="O236" s="131" t="s">
        <v>3973</v>
      </c>
      <c r="P236" s="130" t="s">
        <v>4686</v>
      </c>
      <c r="Q236" s="130" t="s">
        <v>3974</v>
      </c>
      <c r="R236" s="130">
        <v>12</v>
      </c>
      <c r="S236" s="129"/>
      <c r="T236" s="130" t="s">
        <v>4687</v>
      </c>
      <c r="U236" s="129"/>
      <c r="V236" s="129"/>
      <c r="W236" s="129"/>
      <c r="X236" s="129" t="s">
        <v>21</v>
      </c>
    </row>
    <row r="237" spans="1:24" ht="26.25" hidden="1" customHeight="1">
      <c r="A237" s="17">
        <f t="shared" si="1"/>
        <v>234</v>
      </c>
      <c r="B237" s="18" t="s">
        <v>27</v>
      </c>
      <c r="C237" s="31" t="s">
        <v>71</v>
      </c>
      <c r="D237" s="19" t="s">
        <v>588</v>
      </c>
      <c r="E237" s="20" t="s">
        <v>73</v>
      </c>
      <c r="F237" s="32" t="s">
        <v>962</v>
      </c>
      <c r="G237" s="22" t="s">
        <v>1086</v>
      </c>
      <c r="H237" s="23" t="s">
        <v>1533</v>
      </c>
      <c r="I237" s="24" t="s">
        <v>55</v>
      </c>
      <c r="J237" s="1" t="str">
        <f t="shared" si="0"/>
        <v/>
      </c>
      <c r="K237" s="1"/>
      <c r="L237" s="1"/>
      <c r="M237" s="130">
        <v>234</v>
      </c>
      <c r="N237" s="130" t="s">
        <v>4617</v>
      </c>
      <c r="O237" s="131" t="s">
        <v>4688</v>
      </c>
      <c r="P237" s="130" t="s">
        <v>4689</v>
      </c>
      <c r="Q237" s="130" t="s">
        <v>2767</v>
      </c>
      <c r="R237" s="130">
        <v>12</v>
      </c>
      <c r="S237" s="129"/>
      <c r="T237" s="130" t="s">
        <v>4690</v>
      </c>
      <c r="U237" s="129"/>
      <c r="V237" s="129"/>
      <c r="W237" s="129"/>
      <c r="X237" s="129" t="s">
        <v>21</v>
      </c>
    </row>
    <row r="238" spans="1:24" ht="26.25" hidden="1" customHeight="1">
      <c r="A238" s="17">
        <f t="shared" si="1"/>
        <v>235</v>
      </c>
      <c r="B238" s="18" t="s">
        <v>132</v>
      </c>
      <c r="C238" s="31" t="s">
        <v>831</v>
      </c>
      <c r="D238" s="19" t="s">
        <v>112</v>
      </c>
      <c r="E238" s="20" t="s">
        <v>833</v>
      </c>
      <c r="F238" s="32" t="s">
        <v>170</v>
      </c>
      <c r="G238" s="22" t="s">
        <v>42</v>
      </c>
      <c r="H238" s="23" t="s">
        <v>1537</v>
      </c>
      <c r="I238" s="24" t="s">
        <v>55</v>
      </c>
      <c r="J238" s="1" t="str">
        <f t="shared" si="0"/>
        <v/>
      </c>
      <c r="K238" s="1"/>
      <c r="L238" s="1"/>
      <c r="M238" s="130">
        <v>235</v>
      </c>
      <c r="N238" s="130" t="s">
        <v>4617</v>
      </c>
      <c r="O238" s="131" t="s">
        <v>4691</v>
      </c>
      <c r="P238" s="130" t="s">
        <v>4689</v>
      </c>
      <c r="Q238" s="130" t="s">
        <v>3961</v>
      </c>
      <c r="R238" s="130">
        <v>12</v>
      </c>
      <c r="S238" s="129"/>
      <c r="T238" s="130" t="s">
        <v>4692</v>
      </c>
      <c r="U238" s="129"/>
      <c r="V238" s="129"/>
      <c r="W238" s="129"/>
      <c r="X238" s="129" t="s">
        <v>21</v>
      </c>
    </row>
    <row r="239" spans="1:24" ht="26.25" hidden="1" customHeight="1">
      <c r="A239" s="17">
        <f t="shared" si="1"/>
        <v>236</v>
      </c>
      <c r="B239" s="18" t="s">
        <v>105</v>
      </c>
      <c r="C239" s="31" t="s">
        <v>1541</v>
      </c>
      <c r="D239" s="19" t="s">
        <v>1542</v>
      </c>
      <c r="E239" s="20" t="s">
        <v>1543</v>
      </c>
      <c r="F239" s="21" t="s">
        <v>17</v>
      </c>
      <c r="G239" s="33" t="s">
        <v>31</v>
      </c>
      <c r="H239" s="23" t="s">
        <v>1544</v>
      </c>
      <c r="I239" s="34" t="s">
        <v>20</v>
      </c>
      <c r="J239" s="1" t="str">
        <f t="shared" si="0"/>
        <v>과기</v>
      </c>
      <c r="K239" s="25"/>
      <c r="L239" s="25"/>
      <c r="M239" s="133">
        <v>236</v>
      </c>
      <c r="N239" s="133" t="s">
        <v>4617</v>
      </c>
      <c r="O239" s="134" t="s">
        <v>4693</v>
      </c>
      <c r="P239" s="133" t="s">
        <v>4694</v>
      </c>
      <c r="Q239" s="133" t="s">
        <v>3979</v>
      </c>
      <c r="R239" s="133">
        <v>6</v>
      </c>
      <c r="S239" s="135"/>
      <c r="T239" s="133" t="s">
        <v>4695</v>
      </c>
      <c r="U239" s="135"/>
      <c r="V239" s="135"/>
      <c r="W239" s="135"/>
      <c r="X239" s="135" t="s">
        <v>21</v>
      </c>
    </row>
    <row r="240" spans="1:24" ht="26.25" hidden="1" customHeight="1">
      <c r="A240" s="17">
        <f t="shared" si="1"/>
        <v>237</v>
      </c>
      <c r="B240" s="18" t="s">
        <v>175</v>
      </c>
      <c r="C240" s="31" t="s">
        <v>1548</v>
      </c>
      <c r="D240" s="19" t="s">
        <v>277</v>
      </c>
      <c r="E240" s="20" t="s">
        <v>1549</v>
      </c>
      <c r="F240" s="32" t="s">
        <v>738</v>
      </c>
      <c r="G240" s="33" t="s">
        <v>350</v>
      </c>
      <c r="H240" s="23" t="s">
        <v>1550</v>
      </c>
      <c r="I240" s="24" t="s">
        <v>55</v>
      </c>
      <c r="J240" s="1" t="str">
        <f t="shared" si="0"/>
        <v/>
      </c>
      <c r="K240" s="1"/>
      <c r="L240" s="1"/>
      <c r="M240" s="130">
        <v>237</v>
      </c>
      <c r="N240" s="130" t="s">
        <v>4617</v>
      </c>
      <c r="O240" s="131" t="s">
        <v>4696</v>
      </c>
      <c r="P240" s="130" t="s">
        <v>766</v>
      </c>
      <c r="Q240" s="130" t="s">
        <v>3988</v>
      </c>
      <c r="R240" s="130">
        <v>2</v>
      </c>
      <c r="S240" s="129"/>
      <c r="T240" s="130" t="s">
        <v>4679</v>
      </c>
      <c r="U240" s="129"/>
      <c r="V240" s="129"/>
      <c r="W240" s="129"/>
      <c r="X240" s="129" t="s">
        <v>21</v>
      </c>
    </row>
    <row r="241" spans="1:24" ht="26.25" hidden="1" customHeight="1">
      <c r="A241" s="17">
        <f t="shared" si="1"/>
        <v>238</v>
      </c>
      <c r="B241" s="18" t="s">
        <v>175</v>
      </c>
      <c r="C241" s="31" t="s">
        <v>1554</v>
      </c>
      <c r="D241" s="19" t="s">
        <v>1555</v>
      </c>
      <c r="E241" s="20" t="s">
        <v>1556</v>
      </c>
      <c r="F241" s="32" t="s">
        <v>1557</v>
      </c>
      <c r="G241" s="33" t="s">
        <v>42</v>
      </c>
      <c r="H241" s="23" t="s">
        <v>1558</v>
      </c>
      <c r="I241" s="24" t="s">
        <v>55</v>
      </c>
      <c r="J241" s="1" t="str">
        <f t="shared" si="0"/>
        <v/>
      </c>
      <c r="K241" s="1"/>
      <c r="L241" s="1"/>
      <c r="M241" s="130">
        <v>238</v>
      </c>
      <c r="N241" s="130" t="s">
        <v>4617</v>
      </c>
      <c r="O241" s="131" t="s">
        <v>3990</v>
      </c>
      <c r="P241" s="130" t="s">
        <v>4697</v>
      </c>
      <c r="Q241" s="130" t="s">
        <v>3992</v>
      </c>
      <c r="R241" s="132">
        <v>6</v>
      </c>
      <c r="S241" s="129"/>
      <c r="T241" s="130" t="s">
        <v>4698</v>
      </c>
      <c r="U241" s="129"/>
      <c r="V241" s="129"/>
      <c r="W241" s="129"/>
      <c r="X241" s="129" t="s">
        <v>21</v>
      </c>
    </row>
    <row r="242" spans="1:24" ht="26.25" hidden="1" customHeight="1">
      <c r="A242" s="17">
        <f t="shared" si="1"/>
        <v>239</v>
      </c>
      <c r="B242" s="18" t="s">
        <v>248</v>
      </c>
      <c r="C242" s="31" t="s">
        <v>1027</v>
      </c>
      <c r="D242" s="19" t="s">
        <v>370</v>
      </c>
      <c r="E242" s="20" t="s">
        <v>1029</v>
      </c>
      <c r="F242" s="32" t="s">
        <v>170</v>
      </c>
      <c r="G242" s="33" t="s">
        <v>53</v>
      </c>
      <c r="H242" s="23" t="s">
        <v>1563</v>
      </c>
      <c r="I242" s="24" t="s">
        <v>55</v>
      </c>
      <c r="J242" s="1" t="str">
        <f t="shared" si="0"/>
        <v/>
      </c>
      <c r="K242" s="1"/>
      <c r="L242" s="1"/>
      <c r="M242" s="130">
        <v>239</v>
      </c>
      <c r="N242" s="130" t="s">
        <v>4617</v>
      </c>
      <c r="O242" s="131" t="s">
        <v>4699</v>
      </c>
      <c r="P242" s="130" t="s">
        <v>3474</v>
      </c>
      <c r="Q242" s="132" t="s">
        <v>3923</v>
      </c>
      <c r="R242" s="130">
        <v>6</v>
      </c>
      <c r="S242" s="129"/>
      <c r="T242" s="130" t="s">
        <v>4700</v>
      </c>
      <c r="U242" s="129"/>
      <c r="V242" s="129"/>
      <c r="W242" s="129"/>
      <c r="X242" s="129" t="s">
        <v>21</v>
      </c>
    </row>
    <row r="243" spans="1:24" ht="26.25" hidden="1" customHeight="1">
      <c r="A243" s="17">
        <f t="shared" si="1"/>
        <v>240</v>
      </c>
      <c r="B243" s="18" t="s">
        <v>27</v>
      </c>
      <c r="C243" s="31" t="s">
        <v>78</v>
      </c>
      <c r="D243" s="19" t="s">
        <v>1566</v>
      </c>
      <c r="E243" s="20" t="s">
        <v>80</v>
      </c>
      <c r="F243" s="32" t="s">
        <v>142</v>
      </c>
      <c r="G243" s="22" t="s">
        <v>53</v>
      </c>
      <c r="H243" s="23" t="s">
        <v>1567</v>
      </c>
      <c r="I243" s="24" t="s">
        <v>55</v>
      </c>
      <c r="J243" s="1" t="str">
        <f t="shared" si="0"/>
        <v/>
      </c>
      <c r="K243" s="1"/>
      <c r="L243" s="1"/>
      <c r="M243" s="130">
        <v>240</v>
      </c>
      <c r="N243" s="130" t="s">
        <v>4617</v>
      </c>
      <c r="O243" s="131" t="s">
        <v>4701</v>
      </c>
      <c r="P243" s="130" t="s">
        <v>3474</v>
      </c>
      <c r="Q243" s="130" t="s">
        <v>4023</v>
      </c>
      <c r="R243" s="130">
        <v>12</v>
      </c>
      <c r="S243" s="129"/>
      <c r="T243" s="130" t="s">
        <v>4412</v>
      </c>
      <c r="U243" s="141" t="s">
        <v>4702</v>
      </c>
      <c r="V243" s="129"/>
      <c r="W243" s="129"/>
      <c r="X243" s="129" t="s">
        <v>21</v>
      </c>
    </row>
    <row r="244" spans="1:24" ht="26.25" hidden="1" customHeight="1">
      <c r="A244" s="17">
        <f t="shared" si="1"/>
        <v>241</v>
      </c>
      <c r="B244" s="18" t="s">
        <v>81</v>
      </c>
      <c r="C244" s="31" t="s">
        <v>1570</v>
      </c>
      <c r="D244" s="19" t="s">
        <v>1571</v>
      </c>
      <c r="E244" s="20" t="s">
        <v>1572</v>
      </c>
      <c r="F244" s="32">
        <v>2004</v>
      </c>
      <c r="G244" s="33" t="s">
        <v>53</v>
      </c>
      <c r="H244" s="23" t="s">
        <v>1573</v>
      </c>
      <c r="I244" s="24" t="s">
        <v>55</v>
      </c>
      <c r="J244" s="1" t="str">
        <f t="shared" si="0"/>
        <v/>
      </c>
      <c r="K244" s="1"/>
      <c r="L244" s="1"/>
      <c r="M244" s="130">
        <v>241</v>
      </c>
      <c r="N244" s="130" t="s">
        <v>4617</v>
      </c>
      <c r="O244" s="131" t="s">
        <v>4703</v>
      </c>
      <c r="P244" s="130" t="s">
        <v>4704</v>
      </c>
      <c r="Q244" s="130" t="s">
        <v>2758</v>
      </c>
      <c r="R244" s="130">
        <v>4</v>
      </c>
      <c r="S244" s="129"/>
      <c r="T244" s="130" t="s">
        <v>4705</v>
      </c>
      <c r="U244" s="129"/>
      <c r="V244" s="129"/>
      <c r="W244" s="129"/>
      <c r="X244" s="129" t="s">
        <v>21</v>
      </c>
    </row>
    <row r="245" spans="1:24" ht="26.25" hidden="1" customHeight="1">
      <c r="A245" s="17">
        <f t="shared" si="1"/>
        <v>242</v>
      </c>
      <c r="B245" s="18" t="s">
        <v>48</v>
      </c>
      <c r="C245" s="31" t="s">
        <v>1577</v>
      </c>
      <c r="D245" s="19" t="s">
        <v>1571</v>
      </c>
      <c r="E245" s="20" t="s">
        <v>1578</v>
      </c>
      <c r="F245" s="32" t="s">
        <v>1579</v>
      </c>
      <c r="G245" s="33" t="s">
        <v>42</v>
      </c>
      <c r="H245" s="23" t="s">
        <v>1580</v>
      </c>
      <c r="I245" s="24" t="s">
        <v>55</v>
      </c>
      <c r="J245" s="1" t="str">
        <f t="shared" si="0"/>
        <v/>
      </c>
      <c r="K245" s="1"/>
      <c r="L245" s="1"/>
      <c r="M245" s="130">
        <v>242</v>
      </c>
      <c r="N245" s="130" t="s">
        <v>4617</v>
      </c>
      <c r="O245" s="131" t="s">
        <v>4047</v>
      </c>
      <c r="P245" s="130" t="s">
        <v>537</v>
      </c>
      <c r="Q245" s="130" t="s">
        <v>4048</v>
      </c>
      <c r="R245" s="130">
        <v>12</v>
      </c>
      <c r="S245" s="129"/>
      <c r="T245" s="130" t="s">
        <v>4685</v>
      </c>
      <c r="U245" s="129"/>
      <c r="V245" s="129"/>
      <c r="W245" s="129"/>
      <c r="X245" s="129" t="s">
        <v>21</v>
      </c>
    </row>
    <row r="246" spans="1:24" ht="26.25" hidden="1" customHeight="1">
      <c r="A246" s="17">
        <f t="shared" si="1"/>
        <v>243</v>
      </c>
      <c r="B246" s="18" t="s">
        <v>81</v>
      </c>
      <c r="C246" s="31" t="s">
        <v>1584</v>
      </c>
      <c r="D246" s="19" t="s">
        <v>1571</v>
      </c>
      <c r="E246" s="20" t="s">
        <v>1585</v>
      </c>
      <c r="F246" s="32" t="s">
        <v>1586</v>
      </c>
      <c r="G246" s="33" t="s">
        <v>42</v>
      </c>
      <c r="H246" s="23" t="s">
        <v>1587</v>
      </c>
      <c r="I246" s="24" t="s">
        <v>55</v>
      </c>
      <c r="J246" s="1" t="str">
        <f t="shared" si="0"/>
        <v/>
      </c>
      <c r="K246" s="1"/>
      <c r="L246" s="1"/>
      <c r="M246" s="130">
        <v>243</v>
      </c>
      <c r="N246" s="130" t="s">
        <v>4617</v>
      </c>
      <c r="O246" s="131" t="s">
        <v>4706</v>
      </c>
      <c r="P246" s="130" t="s">
        <v>4707</v>
      </c>
      <c r="Q246" s="130" t="s">
        <v>4116</v>
      </c>
      <c r="R246" s="130">
        <v>12</v>
      </c>
      <c r="S246" s="129"/>
      <c r="T246" s="130" t="s">
        <v>4708</v>
      </c>
      <c r="U246" s="129"/>
      <c r="V246" s="129"/>
      <c r="W246" s="129"/>
      <c r="X246" s="129" t="s">
        <v>21</v>
      </c>
    </row>
    <row r="247" spans="1:24" ht="26.25" customHeight="1">
      <c r="A247" s="17">
        <f t="shared" si="1"/>
        <v>244</v>
      </c>
      <c r="B247" s="18" t="s">
        <v>48</v>
      </c>
      <c r="C247" s="19" t="s">
        <v>1591</v>
      </c>
      <c r="D247" s="19" t="s">
        <v>1592</v>
      </c>
      <c r="E247" s="20" t="s">
        <v>1593</v>
      </c>
      <c r="F247" s="21" t="s">
        <v>905</v>
      </c>
      <c r="G247" s="33" t="s">
        <v>42</v>
      </c>
      <c r="H247" s="23" t="s">
        <v>1594</v>
      </c>
      <c r="I247" s="24" t="s">
        <v>20</v>
      </c>
      <c r="J247" s="1" t="str">
        <f t="shared" si="0"/>
        <v>FRIC</v>
      </c>
      <c r="K247" s="1"/>
      <c r="L247" s="1"/>
      <c r="M247" s="130">
        <v>244</v>
      </c>
      <c r="N247" s="130" t="s">
        <v>4617</v>
      </c>
      <c r="O247" s="131" t="s">
        <v>4709</v>
      </c>
      <c r="P247" s="130" t="s">
        <v>4710</v>
      </c>
      <c r="Q247" s="130" t="s">
        <v>4124</v>
      </c>
      <c r="R247" s="130">
        <v>12</v>
      </c>
      <c r="S247" s="129"/>
      <c r="T247" s="130" t="s">
        <v>4711</v>
      </c>
      <c r="U247" s="129"/>
      <c r="V247" s="129"/>
      <c r="W247" s="129"/>
      <c r="X247" s="129" t="s">
        <v>21</v>
      </c>
    </row>
    <row r="248" spans="1:24" ht="26.25" hidden="1" customHeight="1">
      <c r="A248" s="17">
        <f t="shared" si="1"/>
        <v>245</v>
      </c>
      <c r="B248" s="18" t="s">
        <v>1598</v>
      </c>
      <c r="C248" s="31" t="s">
        <v>1599</v>
      </c>
      <c r="D248" s="19" t="s">
        <v>1600</v>
      </c>
      <c r="E248" s="20" t="s">
        <v>1601</v>
      </c>
      <c r="F248" s="32" t="s">
        <v>222</v>
      </c>
      <c r="G248" s="33" t="s">
        <v>53</v>
      </c>
      <c r="H248" s="23" t="s">
        <v>1602</v>
      </c>
      <c r="I248" s="24" t="s">
        <v>55</v>
      </c>
      <c r="J248" s="1" t="str">
        <f t="shared" si="0"/>
        <v/>
      </c>
      <c r="K248" s="1"/>
      <c r="L248" s="1"/>
      <c r="M248" s="130">
        <v>245</v>
      </c>
      <c r="N248" s="130" t="s">
        <v>4617</v>
      </c>
      <c r="O248" s="131" t="s">
        <v>4126</v>
      </c>
      <c r="P248" s="130" t="s">
        <v>4111</v>
      </c>
      <c r="Q248" s="130" t="s">
        <v>4128</v>
      </c>
      <c r="R248" s="130">
        <v>6</v>
      </c>
      <c r="S248" s="129"/>
      <c r="T248" s="130" t="s">
        <v>4712</v>
      </c>
      <c r="U248" s="129"/>
      <c r="V248" s="129"/>
      <c r="W248" s="129"/>
      <c r="X248" s="129" t="s">
        <v>21</v>
      </c>
    </row>
    <row r="249" spans="1:24" ht="26.25" customHeight="1">
      <c r="A249" s="17">
        <f t="shared" si="1"/>
        <v>246</v>
      </c>
      <c r="B249" s="18" t="s">
        <v>248</v>
      </c>
      <c r="C249" s="19" t="s">
        <v>1606</v>
      </c>
      <c r="D249" s="19" t="s">
        <v>1607</v>
      </c>
      <c r="E249" s="79" t="s">
        <v>1608</v>
      </c>
      <c r="F249" s="21" t="s">
        <v>1609</v>
      </c>
      <c r="G249" s="33" t="s">
        <v>31</v>
      </c>
      <c r="H249" s="23" t="s">
        <v>1610</v>
      </c>
      <c r="I249" s="24" t="s">
        <v>20</v>
      </c>
      <c r="J249" s="1" t="str">
        <f t="shared" si="0"/>
        <v>FRIC</v>
      </c>
      <c r="K249" s="1"/>
      <c r="L249" s="1"/>
      <c r="M249" s="130">
        <v>246</v>
      </c>
      <c r="N249" s="130" t="s">
        <v>4617</v>
      </c>
      <c r="O249" s="131" t="s">
        <v>4713</v>
      </c>
      <c r="P249" s="130" t="s">
        <v>4714</v>
      </c>
      <c r="Q249" s="130" t="s">
        <v>3494</v>
      </c>
      <c r="R249" s="132">
        <v>12</v>
      </c>
      <c r="S249" s="129"/>
      <c r="T249" s="130" t="s">
        <v>4715</v>
      </c>
      <c r="U249" s="129"/>
      <c r="V249" s="129"/>
      <c r="W249" s="129"/>
      <c r="X249" s="129" t="s">
        <v>21</v>
      </c>
    </row>
    <row r="250" spans="1:24" ht="26.25" hidden="1" customHeight="1">
      <c r="A250" s="17">
        <f t="shared" si="1"/>
        <v>247</v>
      </c>
      <c r="B250" s="18" t="s">
        <v>105</v>
      </c>
      <c r="C250" s="31" t="s">
        <v>1615</v>
      </c>
      <c r="D250" s="19" t="s">
        <v>1184</v>
      </c>
      <c r="E250" s="20" t="s">
        <v>1616</v>
      </c>
      <c r="F250" s="32" t="s">
        <v>738</v>
      </c>
      <c r="G250" s="33" t="s">
        <v>63</v>
      </c>
      <c r="H250" s="23" t="s">
        <v>1617</v>
      </c>
      <c r="I250" s="24" t="s">
        <v>55</v>
      </c>
      <c r="J250" s="1" t="str">
        <f t="shared" si="0"/>
        <v/>
      </c>
      <c r="K250" s="1"/>
      <c r="L250" s="1"/>
      <c r="M250" s="130">
        <v>247</v>
      </c>
      <c r="N250" s="130" t="s">
        <v>4617</v>
      </c>
      <c r="O250" s="131" t="s">
        <v>4716</v>
      </c>
      <c r="P250" s="130" t="s">
        <v>4717</v>
      </c>
      <c r="Q250" s="130" t="s">
        <v>4163</v>
      </c>
      <c r="R250" s="130">
        <v>6</v>
      </c>
      <c r="S250" s="129"/>
      <c r="T250" s="130" t="s">
        <v>4718</v>
      </c>
      <c r="U250" s="129"/>
      <c r="V250" s="129"/>
      <c r="W250" s="129"/>
      <c r="X250" s="129" t="s">
        <v>21</v>
      </c>
    </row>
    <row r="251" spans="1:24" ht="26.25" hidden="1" customHeight="1">
      <c r="A251" s="17">
        <f t="shared" si="1"/>
        <v>248</v>
      </c>
      <c r="B251" s="18" t="s">
        <v>105</v>
      </c>
      <c r="C251" s="31" t="s">
        <v>1620</v>
      </c>
      <c r="D251" s="19" t="s">
        <v>374</v>
      </c>
      <c r="E251" s="20" t="s">
        <v>1621</v>
      </c>
      <c r="F251" s="32" t="s">
        <v>416</v>
      </c>
      <c r="G251" s="33" t="s">
        <v>42</v>
      </c>
      <c r="H251" s="23" t="s">
        <v>1622</v>
      </c>
      <c r="I251" s="24" t="s">
        <v>55</v>
      </c>
      <c r="J251" s="1" t="str">
        <f t="shared" si="0"/>
        <v/>
      </c>
      <c r="K251" s="1"/>
      <c r="L251" s="1"/>
      <c r="M251" s="130">
        <v>248</v>
      </c>
      <c r="N251" s="130" t="s">
        <v>4617</v>
      </c>
      <c r="O251" s="131" t="s">
        <v>4165</v>
      </c>
      <c r="P251" s="130" t="s">
        <v>4719</v>
      </c>
      <c r="Q251" s="130" t="s">
        <v>4167</v>
      </c>
      <c r="R251" s="130">
        <v>12</v>
      </c>
      <c r="S251" s="129"/>
      <c r="T251" s="130" t="s">
        <v>4720</v>
      </c>
      <c r="U251" s="129"/>
      <c r="V251" s="129"/>
      <c r="W251" s="129"/>
      <c r="X251" s="129" t="s">
        <v>21</v>
      </c>
    </row>
    <row r="252" spans="1:24" ht="26.25" hidden="1" customHeight="1">
      <c r="A252" s="17">
        <f t="shared" si="1"/>
        <v>249</v>
      </c>
      <c r="B252" s="18" t="s">
        <v>248</v>
      </c>
      <c r="C252" s="31" t="s">
        <v>1625</v>
      </c>
      <c r="D252" s="19" t="s">
        <v>1626</v>
      </c>
      <c r="E252" s="20" t="s">
        <v>1627</v>
      </c>
      <c r="F252" s="32" t="s">
        <v>416</v>
      </c>
      <c r="G252" s="33" t="s">
        <v>42</v>
      </c>
      <c r="H252" s="23" t="s">
        <v>1628</v>
      </c>
      <c r="I252" s="24" t="s">
        <v>55</v>
      </c>
      <c r="J252" s="1" t="str">
        <f t="shared" si="0"/>
        <v/>
      </c>
      <c r="K252" s="1"/>
      <c r="L252" s="1"/>
      <c r="M252" s="130">
        <v>249</v>
      </c>
      <c r="N252" s="130" t="s">
        <v>4617</v>
      </c>
      <c r="O252" s="131" t="s">
        <v>4170</v>
      </c>
      <c r="P252" s="130" t="s">
        <v>4721</v>
      </c>
      <c r="Q252" s="130" t="s">
        <v>4172</v>
      </c>
      <c r="R252" s="130">
        <v>12</v>
      </c>
      <c r="S252" s="129"/>
      <c r="T252" s="130" t="s">
        <v>4722</v>
      </c>
      <c r="U252" s="129"/>
      <c r="V252" s="129"/>
      <c r="W252" s="129"/>
      <c r="X252" s="129" t="s">
        <v>21</v>
      </c>
    </row>
    <row r="253" spans="1:24" ht="26.25" hidden="1" customHeight="1">
      <c r="A253" s="17">
        <f t="shared" si="1"/>
        <v>250</v>
      </c>
      <c r="B253" s="18" t="s">
        <v>37</v>
      </c>
      <c r="C253" s="31" t="s">
        <v>1630</v>
      </c>
      <c r="D253" s="19" t="s">
        <v>1626</v>
      </c>
      <c r="E253" s="20" t="s">
        <v>1631</v>
      </c>
      <c r="F253" s="32" t="s">
        <v>693</v>
      </c>
      <c r="G253" s="22" t="s">
        <v>42</v>
      </c>
      <c r="H253" s="23" t="s">
        <v>1632</v>
      </c>
      <c r="I253" s="24" t="s">
        <v>55</v>
      </c>
      <c r="J253" s="1" t="str">
        <f t="shared" si="0"/>
        <v/>
      </c>
      <c r="K253" s="1"/>
      <c r="L253" s="1"/>
      <c r="M253" s="130">
        <v>250</v>
      </c>
      <c r="N253" s="130" t="s">
        <v>4617</v>
      </c>
      <c r="O253" s="131" t="s">
        <v>4188</v>
      </c>
      <c r="P253" s="130" t="s">
        <v>4286</v>
      </c>
      <c r="Q253" s="130" t="s">
        <v>4723</v>
      </c>
      <c r="R253" s="130">
        <v>12</v>
      </c>
      <c r="S253" s="129"/>
      <c r="T253" s="130" t="s">
        <v>4724</v>
      </c>
      <c r="U253" s="129"/>
      <c r="V253" s="129"/>
      <c r="W253" s="129"/>
      <c r="X253" s="129" t="s">
        <v>21</v>
      </c>
    </row>
    <row r="254" spans="1:24" ht="26.25" hidden="1" customHeight="1">
      <c r="A254" s="17">
        <f t="shared" si="1"/>
        <v>251</v>
      </c>
      <c r="B254" s="18" t="s">
        <v>105</v>
      </c>
      <c r="C254" s="31" t="s">
        <v>1511</v>
      </c>
      <c r="D254" s="19" t="s">
        <v>1635</v>
      </c>
      <c r="E254" s="20" t="s">
        <v>1513</v>
      </c>
      <c r="F254" s="21" t="s">
        <v>1636</v>
      </c>
      <c r="G254" s="33" t="s">
        <v>42</v>
      </c>
      <c r="H254" s="23" t="s">
        <v>1637</v>
      </c>
      <c r="I254" s="34" t="s">
        <v>55</v>
      </c>
      <c r="J254" s="1" t="str">
        <f t="shared" si="0"/>
        <v/>
      </c>
      <c r="K254" s="25"/>
      <c r="L254" s="25"/>
      <c r="M254" s="133">
        <v>251</v>
      </c>
      <c r="N254" s="133" t="s">
        <v>4617</v>
      </c>
      <c r="O254" s="134" t="s">
        <v>4192</v>
      </c>
      <c r="P254" s="133" t="s">
        <v>4193</v>
      </c>
      <c r="Q254" s="133" t="s">
        <v>4194</v>
      </c>
      <c r="R254" s="133">
        <v>6</v>
      </c>
      <c r="S254" s="135"/>
      <c r="T254" s="133" t="s">
        <v>4725</v>
      </c>
      <c r="U254" s="135"/>
      <c r="V254" s="135"/>
      <c r="W254" s="135"/>
      <c r="X254" s="135" t="s">
        <v>21</v>
      </c>
    </row>
    <row r="255" spans="1:24" ht="26.25" customHeight="1">
      <c r="A255" s="17">
        <f t="shared" si="1"/>
        <v>252</v>
      </c>
      <c r="B255" s="18" t="s">
        <v>27</v>
      </c>
      <c r="C255" s="19" t="s">
        <v>1640</v>
      </c>
      <c r="D255" s="19" t="s">
        <v>665</v>
      </c>
      <c r="E255" s="20" t="s">
        <v>1641</v>
      </c>
      <c r="F255" s="21" t="s">
        <v>1642</v>
      </c>
      <c r="G255" s="22" t="s">
        <v>42</v>
      </c>
      <c r="H255" s="23" t="s">
        <v>1643</v>
      </c>
      <c r="I255" s="24" t="s">
        <v>20</v>
      </c>
      <c r="J255" s="1" t="str">
        <f t="shared" si="0"/>
        <v>FRIC</v>
      </c>
      <c r="K255" s="1"/>
      <c r="L255" s="1"/>
      <c r="M255" s="130">
        <v>252</v>
      </c>
      <c r="N255" s="130" t="s">
        <v>4617</v>
      </c>
      <c r="O255" s="131" t="s">
        <v>4207</v>
      </c>
      <c r="P255" s="130" t="s">
        <v>4208</v>
      </c>
      <c r="Q255" s="130" t="s">
        <v>4209</v>
      </c>
      <c r="R255" s="130">
        <v>12</v>
      </c>
      <c r="S255" s="129"/>
      <c r="T255" s="130" t="s">
        <v>4726</v>
      </c>
      <c r="U255" s="129"/>
      <c r="V255" s="129"/>
      <c r="W255" s="129"/>
      <c r="X255" s="129" t="s">
        <v>21</v>
      </c>
    </row>
    <row r="256" spans="1:24" ht="26.25" hidden="1" customHeight="1">
      <c r="A256" s="17">
        <f t="shared" si="1"/>
        <v>253</v>
      </c>
      <c r="B256" s="18" t="s">
        <v>37</v>
      </c>
      <c r="C256" s="31" t="s">
        <v>1646</v>
      </c>
      <c r="D256" s="19" t="s">
        <v>1647</v>
      </c>
      <c r="E256" s="20" t="s">
        <v>1648</v>
      </c>
      <c r="F256" s="32" t="s">
        <v>416</v>
      </c>
      <c r="G256" s="22" t="s">
        <v>53</v>
      </c>
      <c r="H256" s="23" t="s">
        <v>1649</v>
      </c>
      <c r="I256" s="24" t="s">
        <v>55</v>
      </c>
      <c r="J256" s="1" t="str">
        <f t="shared" si="0"/>
        <v/>
      </c>
      <c r="K256" s="1"/>
      <c r="L256" s="1"/>
      <c r="M256" s="130">
        <v>253</v>
      </c>
      <c r="N256" s="130" t="s">
        <v>4617</v>
      </c>
      <c r="O256" s="131" t="s">
        <v>4211</v>
      </c>
      <c r="P256" s="130" t="s">
        <v>4727</v>
      </c>
      <c r="Q256" s="130" t="s">
        <v>4213</v>
      </c>
      <c r="R256" s="130">
        <v>12</v>
      </c>
      <c r="S256" s="129"/>
      <c r="T256" s="130" t="s">
        <v>4728</v>
      </c>
      <c r="U256" s="129"/>
      <c r="V256" s="129"/>
      <c r="W256" s="129"/>
      <c r="X256" s="129" t="s">
        <v>21</v>
      </c>
    </row>
    <row r="257" spans="1:24" ht="26.25" hidden="1" customHeight="1">
      <c r="A257" s="17">
        <f t="shared" si="1"/>
        <v>254</v>
      </c>
      <c r="B257" s="18" t="s">
        <v>132</v>
      </c>
      <c r="C257" s="31" t="s">
        <v>1652</v>
      </c>
      <c r="D257" s="19" t="s">
        <v>271</v>
      </c>
      <c r="E257" s="20" t="s">
        <v>1653</v>
      </c>
      <c r="F257" s="32">
        <v>2010</v>
      </c>
      <c r="G257" s="22" t="s">
        <v>42</v>
      </c>
      <c r="H257" s="23" t="s">
        <v>1654</v>
      </c>
      <c r="I257" s="24" t="s">
        <v>55</v>
      </c>
      <c r="J257" s="1" t="str">
        <f t="shared" si="0"/>
        <v/>
      </c>
      <c r="K257" s="1"/>
      <c r="L257" s="1"/>
      <c r="M257" s="130">
        <v>254</v>
      </c>
      <c r="N257" s="130" t="s">
        <v>4617</v>
      </c>
      <c r="O257" s="131" t="s">
        <v>4729</v>
      </c>
      <c r="P257" s="130" t="s">
        <v>4730</v>
      </c>
      <c r="Q257" s="130" t="s">
        <v>4304</v>
      </c>
      <c r="R257" s="132">
        <v>12</v>
      </c>
      <c r="S257" s="129"/>
      <c r="T257" s="130" t="s">
        <v>4731</v>
      </c>
      <c r="U257" s="129"/>
      <c r="V257" s="129"/>
      <c r="W257" s="129"/>
      <c r="X257" s="129" t="s">
        <v>21</v>
      </c>
    </row>
    <row r="258" spans="1:24" ht="26.25" hidden="1" customHeight="1">
      <c r="A258" s="17">
        <f t="shared" si="1"/>
        <v>255</v>
      </c>
      <c r="B258" s="18" t="s">
        <v>48</v>
      </c>
      <c r="C258" s="31" t="s">
        <v>1657</v>
      </c>
      <c r="D258" s="19" t="s">
        <v>1658</v>
      </c>
      <c r="E258" s="20" t="s">
        <v>1037</v>
      </c>
      <c r="F258" s="32" t="s">
        <v>170</v>
      </c>
      <c r="G258" s="33" t="s">
        <v>31</v>
      </c>
      <c r="H258" s="23" t="s">
        <v>1659</v>
      </c>
      <c r="I258" s="24" t="s">
        <v>55</v>
      </c>
      <c r="J258" s="1" t="str">
        <f t="shared" si="0"/>
        <v/>
      </c>
      <c r="K258" s="1"/>
      <c r="L258" s="1"/>
      <c r="M258" s="130">
        <v>255</v>
      </c>
      <c r="N258" s="130" t="s">
        <v>4617</v>
      </c>
      <c r="O258" s="131" t="s">
        <v>4732</v>
      </c>
      <c r="P258" s="130" t="s">
        <v>4733</v>
      </c>
      <c r="Q258" s="130" t="s">
        <v>4316</v>
      </c>
      <c r="R258" s="130">
        <v>12</v>
      </c>
      <c r="S258" s="129"/>
      <c r="T258" s="130" t="s">
        <v>4734</v>
      </c>
      <c r="U258" s="129"/>
      <c r="V258" s="129"/>
      <c r="W258" s="129"/>
      <c r="X258" s="129" t="s">
        <v>21</v>
      </c>
    </row>
    <row r="259" spans="1:24" ht="26.25" hidden="1" customHeight="1">
      <c r="A259" s="17">
        <f t="shared" si="1"/>
        <v>256</v>
      </c>
      <c r="B259" s="18" t="s">
        <v>105</v>
      </c>
      <c r="C259" s="31" t="s">
        <v>1663</v>
      </c>
      <c r="D259" s="19" t="s">
        <v>1664</v>
      </c>
      <c r="E259" s="20" t="s">
        <v>1665</v>
      </c>
      <c r="F259" s="32" t="s">
        <v>416</v>
      </c>
      <c r="G259" s="33" t="s">
        <v>53</v>
      </c>
      <c r="H259" s="23" t="s">
        <v>1666</v>
      </c>
      <c r="I259" s="24" t="s">
        <v>55</v>
      </c>
      <c r="J259" s="1" t="str">
        <f t="shared" si="0"/>
        <v/>
      </c>
      <c r="K259" s="1"/>
      <c r="L259" s="1"/>
      <c r="M259" s="130">
        <v>256</v>
      </c>
      <c r="N259" s="130" t="s">
        <v>4617</v>
      </c>
      <c r="O259" s="131" t="s">
        <v>4735</v>
      </c>
      <c r="P259" s="130" t="s">
        <v>4733</v>
      </c>
      <c r="Q259" s="130" t="s">
        <v>4320</v>
      </c>
      <c r="R259" s="130">
        <v>3</v>
      </c>
      <c r="S259" s="129"/>
      <c r="T259" s="130" t="s">
        <v>4736</v>
      </c>
      <c r="U259" s="129"/>
      <c r="V259" s="129"/>
      <c r="W259" s="129"/>
      <c r="X259" s="129" t="s">
        <v>21</v>
      </c>
    </row>
    <row r="260" spans="1:24" ht="26.25" customHeight="1">
      <c r="A260" s="17">
        <f t="shared" si="1"/>
        <v>257</v>
      </c>
      <c r="B260" s="18" t="s">
        <v>132</v>
      </c>
      <c r="C260" s="19" t="s">
        <v>1670</v>
      </c>
      <c r="D260" s="19" t="s">
        <v>1671</v>
      </c>
      <c r="E260" s="20" t="s">
        <v>1672</v>
      </c>
      <c r="F260" s="21" t="s">
        <v>135</v>
      </c>
      <c r="G260" s="22" t="s">
        <v>42</v>
      </c>
      <c r="H260" s="23" t="s">
        <v>1673</v>
      </c>
      <c r="I260" s="24" t="s">
        <v>20</v>
      </c>
      <c r="J260" s="1" t="str">
        <f t="shared" si="0"/>
        <v>FRIC</v>
      </c>
      <c r="K260" s="1"/>
      <c r="L260" s="1"/>
      <c r="M260" s="130">
        <v>257</v>
      </c>
      <c r="N260" s="130" t="s">
        <v>4617</v>
      </c>
      <c r="O260" s="131" t="s">
        <v>4737</v>
      </c>
      <c r="P260" s="130" t="s">
        <v>4738</v>
      </c>
      <c r="Q260" s="130" t="s">
        <v>16</v>
      </c>
      <c r="R260" s="130">
        <v>12</v>
      </c>
      <c r="S260" s="129"/>
      <c r="T260" s="130" t="s">
        <v>4739</v>
      </c>
      <c r="U260" s="129"/>
      <c r="V260" s="129"/>
      <c r="W260" s="129"/>
      <c r="X260" s="129" t="s">
        <v>21</v>
      </c>
    </row>
    <row r="261" spans="1:24" ht="26.25" hidden="1" customHeight="1">
      <c r="A261" s="17">
        <f t="shared" si="1"/>
        <v>258</v>
      </c>
      <c r="B261" s="18" t="s">
        <v>105</v>
      </c>
      <c r="C261" s="31" t="s">
        <v>1676</v>
      </c>
      <c r="D261" s="19" t="s">
        <v>1664</v>
      </c>
      <c r="E261" s="20" t="s">
        <v>1677</v>
      </c>
      <c r="F261" s="32" t="s">
        <v>1678</v>
      </c>
      <c r="G261" s="33" t="s">
        <v>42</v>
      </c>
      <c r="H261" s="23" t="s">
        <v>1679</v>
      </c>
      <c r="I261" s="24" t="s">
        <v>55</v>
      </c>
      <c r="J261" s="1" t="str">
        <f t="shared" si="0"/>
        <v/>
      </c>
      <c r="K261" s="1"/>
      <c r="L261" s="1"/>
      <c r="M261" s="130">
        <v>258</v>
      </c>
      <c r="N261" s="130" t="s">
        <v>4617</v>
      </c>
      <c r="O261" s="131" t="s">
        <v>4740</v>
      </c>
      <c r="P261" s="130" t="s">
        <v>4741</v>
      </c>
      <c r="Q261" s="130" t="s">
        <v>862</v>
      </c>
      <c r="R261" s="130">
        <v>12</v>
      </c>
      <c r="S261" s="129"/>
      <c r="T261" s="130" t="s">
        <v>4742</v>
      </c>
      <c r="U261" s="129"/>
      <c r="V261" s="129"/>
      <c r="W261" s="129"/>
      <c r="X261" s="129" t="s">
        <v>21</v>
      </c>
    </row>
    <row r="262" spans="1:24" ht="26.25" customHeight="1">
      <c r="A262" s="17">
        <f t="shared" si="1"/>
        <v>259</v>
      </c>
      <c r="B262" s="18" t="s">
        <v>27</v>
      </c>
      <c r="C262" s="19" t="s">
        <v>1682</v>
      </c>
      <c r="D262" s="19" t="s">
        <v>1683</v>
      </c>
      <c r="E262" s="20" t="s">
        <v>1684</v>
      </c>
      <c r="F262" s="21" t="s">
        <v>135</v>
      </c>
      <c r="G262" s="22" t="s">
        <v>42</v>
      </c>
      <c r="H262" s="23" t="s">
        <v>1685</v>
      </c>
      <c r="I262" s="24" t="s">
        <v>20</v>
      </c>
      <c r="J262" s="1" t="str">
        <f t="shared" si="0"/>
        <v>FRIC</v>
      </c>
      <c r="K262" s="1"/>
      <c r="L262" s="1"/>
      <c r="M262" s="130">
        <v>259</v>
      </c>
      <c r="N262" s="130" t="s">
        <v>4617</v>
      </c>
      <c r="O262" s="131" t="s">
        <v>1426</v>
      </c>
      <c r="P262" s="130" t="s">
        <v>4743</v>
      </c>
      <c r="Q262" s="130" t="s">
        <v>1428</v>
      </c>
      <c r="R262" s="130">
        <v>4</v>
      </c>
      <c r="S262" s="129"/>
      <c r="T262" s="130" t="s">
        <v>4744</v>
      </c>
      <c r="U262" s="129"/>
      <c r="V262" s="129"/>
      <c r="W262" s="129"/>
      <c r="X262" s="129" t="s">
        <v>21</v>
      </c>
    </row>
    <row r="263" spans="1:24" ht="26.25" hidden="1" customHeight="1">
      <c r="A263" s="17">
        <f t="shared" si="1"/>
        <v>260</v>
      </c>
      <c r="B263" s="18" t="s">
        <v>81</v>
      </c>
      <c r="C263" s="31" t="s">
        <v>1688</v>
      </c>
      <c r="D263" s="19" t="s">
        <v>181</v>
      </c>
      <c r="E263" s="20" t="s">
        <v>930</v>
      </c>
      <c r="F263" s="32" t="s">
        <v>170</v>
      </c>
      <c r="G263" s="33" t="s">
        <v>42</v>
      </c>
      <c r="H263" s="23" t="s">
        <v>1689</v>
      </c>
      <c r="I263" s="24" t="s">
        <v>55</v>
      </c>
      <c r="J263" s="1" t="str">
        <f t="shared" si="0"/>
        <v/>
      </c>
      <c r="K263" s="1"/>
      <c r="L263" s="1"/>
      <c r="M263" s="130">
        <v>260</v>
      </c>
      <c r="N263" s="130" t="s">
        <v>4617</v>
      </c>
      <c r="O263" s="131" t="s">
        <v>4745</v>
      </c>
      <c r="P263" s="130" t="s">
        <v>4733</v>
      </c>
      <c r="Q263" s="130" t="s">
        <v>2051</v>
      </c>
      <c r="R263" s="130">
        <v>12</v>
      </c>
      <c r="S263" s="129"/>
      <c r="T263" s="130" t="s">
        <v>4746</v>
      </c>
      <c r="U263" s="129"/>
      <c r="V263" s="129"/>
      <c r="W263" s="129"/>
      <c r="X263" s="129" t="s">
        <v>21</v>
      </c>
    </row>
    <row r="264" spans="1:24" ht="26.25" hidden="1" customHeight="1">
      <c r="A264" s="17">
        <f t="shared" si="1"/>
        <v>261</v>
      </c>
      <c r="B264" s="18" t="s">
        <v>81</v>
      </c>
      <c r="C264" s="31" t="s">
        <v>1692</v>
      </c>
      <c r="D264" s="19" t="s">
        <v>1693</v>
      </c>
      <c r="E264" s="20" t="s">
        <v>1694</v>
      </c>
      <c r="F264" s="32" t="s">
        <v>1695</v>
      </c>
      <c r="G264" s="33" t="s">
        <v>1290</v>
      </c>
      <c r="H264" s="23" t="s">
        <v>1696</v>
      </c>
      <c r="I264" s="24" t="s">
        <v>55</v>
      </c>
      <c r="J264" s="1" t="str">
        <f t="shared" si="0"/>
        <v/>
      </c>
      <c r="K264" s="1"/>
      <c r="L264" s="1"/>
      <c r="M264" s="130">
        <v>261</v>
      </c>
      <c r="N264" s="130" t="s">
        <v>4617</v>
      </c>
      <c r="O264" s="131" t="s">
        <v>4747</v>
      </c>
      <c r="P264" s="130" t="s">
        <v>4748</v>
      </c>
      <c r="Q264" s="132" t="s">
        <v>2301</v>
      </c>
      <c r="R264" s="130">
        <v>12</v>
      </c>
      <c r="S264" s="129"/>
      <c r="T264" s="130" t="s">
        <v>4749</v>
      </c>
      <c r="U264" s="129"/>
      <c r="V264" s="129"/>
      <c r="W264" s="129"/>
      <c r="X264" s="129" t="s">
        <v>21</v>
      </c>
    </row>
    <row r="265" spans="1:24" ht="26.25" hidden="1" customHeight="1">
      <c r="A265" s="17">
        <f t="shared" si="1"/>
        <v>262</v>
      </c>
      <c r="B265" s="18" t="s">
        <v>27</v>
      </c>
      <c r="C265" s="31" t="s">
        <v>1699</v>
      </c>
      <c r="D265" s="19" t="s">
        <v>1700</v>
      </c>
      <c r="E265" s="20" t="s">
        <v>1701</v>
      </c>
      <c r="F265" s="32" t="s">
        <v>1702</v>
      </c>
      <c r="G265" s="22" t="s">
        <v>42</v>
      </c>
      <c r="H265" s="23" t="s">
        <v>1703</v>
      </c>
      <c r="I265" s="24" t="s">
        <v>55</v>
      </c>
      <c r="J265" s="1" t="str">
        <f t="shared" si="0"/>
        <v/>
      </c>
      <c r="K265" s="1"/>
      <c r="L265" s="1"/>
      <c r="M265" s="130">
        <v>262</v>
      </c>
      <c r="N265" s="130" t="s">
        <v>4617</v>
      </c>
      <c r="O265" s="131" t="s">
        <v>4750</v>
      </c>
      <c r="P265" s="130" t="s">
        <v>4748</v>
      </c>
      <c r="Q265" s="130" t="s">
        <v>3564</v>
      </c>
      <c r="R265" s="130">
        <v>12</v>
      </c>
      <c r="S265" s="129"/>
      <c r="T265" s="130" t="s">
        <v>4412</v>
      </c>
      <c r="U265" s="141" t="s">
        <v>4751</v>
      </c>
      <c r="V265" s="129"/>
      <c r="W265" s="129"/>
      <c r="X265" s="129" t="s">
        <v>21</v>
      </c>
    </row>
    <row r="266" spans="1:24" ht="26.25" hidden="1" customHeight="1">
      <c r="A266" s="17">
        <f t="shared" si="1"/>
        <v>263</v>
      </c>
      <c r="B266" s="18" t="s">
        <v>37</v>
      </c>
      <c r="C266" s="31" t="s">
        <v>1707</v>
      </c>
      <c r="D266" s="19" t="s">
        <v>271</v>
      </c>
      <c r="E266" s="20" t="s">
        <v>1708</v>
      </c>
      <c r="F266" s="32">
        <v>2010</v>
      </c>
      <c r="G266" s="22" t="s">
        <v>42</v>
      </c>
      <c r="H266" s="23" t="s">
        <v>1709</v>
      </c>
      <c r="I266" s="24" t="s">
        <v>55</v>
      </c>
      <c r="J266" s="1" t="str">
        <f t="shared" si="0"/>
        <v/>
      </c>
      <c r="K266" s="1"/>
      <c r="L266" s="1"/>
      <c r="M266" s="130">
        <v>263</v>
      </c>
      <c r="N266" s="130" t="s">
        <v>4617</v>
      </c>
      <c r="O266" s="131" t="s">
        <v>2630</v>
      </c>
      <c r="P266" s="130" t="s">
        <v>4689</v>
      </c>
      <c r="Q266" s="130" t="s">
        <v>2632</v>
      </c>
      <c r="R266" s="130">
        <v>12</v>
      </c>
      <c r="S266" s="129"/>
      <c r="T266" s="130" t="s">
        <v>4752</v>
      </c>
      <c r="U266" s="129"/>
      <c r="V266" s="129"/>
      <c r="W266" s="129"/>
      <c r="X266" s="129" t="s">
        <v>21</v>
      </c>
    </row>
    <row r="267" spans="1:24" ht="26.25" customHeight="1">
      <c r="A267" s="17">
        <f t="shared" si="1"/>
        <v>264</v>
      </c>
      <c r="B267" s="18" t="s">
        <v>132</v>
      </c>
      <c r="C267" s="19" t="s">
        <v>1712</v>
      </c>
      <c r="D267" s="19" t="s">
        <v>124</v>
      </c>
      <c r="E267" s="20" t="s">
        <v>1713</v>
      </c>
      <c r="F267" s="21" t="s">
        <v>135</v>
      </c>
      <c r="G267" s="22" t="s">
        <v>42</v>
      </c>
      <c r="H267" s="23" t="s">
        <v>1714</v>
      </c>
      <c r="I267" s="24" t="s">
        <v>20</v>
      </c>
      <c r="J267" s="1" t="str">
        <f t="shared" si="0"/>
        <v>FRIC</v>
      </c>
      <c r="K267" s="1"/>
      <c r="L267" s="1"/>
      <c r="M267" s="130">
        <v>264</v>
      </c>
      <c r="N267" s="130" t="s">
        <v>4617</v>
      </c>
      <c r="O267" s="131" t="s">
        <v>4753</v>
      </c>
      <c r="P267" s="130" t="s">
        <v>4754</v>
      </c>
      <c r="Q267" s="130" t="s">
        <v>3122</v>
      </c>
      <c r="R267" s="130">
        <v>3</v>
      </c>
      <c r="S267" s="129"/>
      <c r="T267" s="130" t="s">
        <v>4755</v>
      </c>
      <c r="U267" s="129"/>
      <c r="V267" s="129"/>
      <c r="W267" s="129"/>
      <c r="X267" s="129" t="s">
        <v>21</v>
      </c>
    </row>
    <row r="268" spans="1:24" ht="26.25" hidden="1" customHeight="1">
      <c r="A268" s="17">
        <f t="shared" si="1"/>
        <v>265</v>
      </c>
      <c r="B268" s="18" t="s">
        <v>81</v>
      </c>
      <c r="C268" s="31" t="s">
        <v>1718</v>
      </c>
      <c r="D268" s="19" t="s">
        <v>124</v>
      </c>
      <c r="E268" s="20" t="s">
        <v>1719</v>
      </c>
      <c r="F268" s="32" t="s">
        <v>1720</v>
      </c>
      <c r="G268" s="33" t="s">
        <v>42</v>
      </c>
      <c r="H268" s="23" t="s">
        <v>1721</v>
      </c>
      <c r="I268" s="24" t="s">
        <v>55</v>
      </c>
      <c r="J268" s="1" t="str">
        <f t="shared" si="0"/>
        <v/>
      </c>
      <c r="K268" s="1"/>
      <c r="L268" s="1"/>
      <c r="M268" s="130">
        <v>265</v>
      </c>
      <c r="N268" s="130" t="s">
        <v>4617</v>
      </c>
      <c r="O268" s="131" t="s">
        <v>4756</v>
      </c>
      <c r="P268" s="130" t="s">
        <v>4757</v>
      </c>
      <c r="Q268" s="130" t="s">
        <v>910</v>
      </c>
      <c r="R268" s="130">
        <v>12</v>
      </c>
      <c r="S268" s="129"/>
      <c r="T268" s="130" t="s">
        <v>4758</v>
      </c>
      <c r="U268" s="129"/>
      <c r="V268" s="129"/>
      <c r="W268" s="129"/>
      <c r="X268" s="129" t="s">
        <v>21</v>
      </c>
    </row>
    <row r="269" spans="1:24" ht="26.25" hidden="1" customHeight="1">
      <c r="A269" s="17">
        <f t="shared" si="1"/>
        <v>266</v>
      </c>
      <c r="B269" s="18" t="s">
        <v>81</v>
      </c>
      <c r="C269" s="31" t="s">
        <v>1724</v>
      </c>
      <c r="D269" s="19" t="s">
        <v>277</v>
      </c>
      <c r="E269" s="20" t="s">
        <v>1725</v>
      </c>
      <c r="F269" s="32" t="s">
        <v>1726</v>
      </c>
      <c r="G269" s="33" t="s">
        <v>42</v>
      </c>
      <c r="H269" s="23" t="s">
        <v>1727</v>
      </c>
      <c r="I269" s="24" t="s">
        <v>55</v>
      </c>
      <c r="J269" s="1" t="str">
        <f t="shared" si="0"/>
        <v/>
      </c>
      <c r="K269" s="1"/>
      <c r="L269" s="1"/>
      <c r="M269" s="130">
        <v>266</v>
      </c>
      <c r="N269" s="130" t="s">
        <v>4617</v>
      </c>
      <c r="O269" s="131" t="s">
        <v>4759</v>
      </c>
      <c r="P269" s="130" t="s">
        <v>4760</v>
      </c>
      <c r="Q269" s="130" t="s">
        <v>3572</v>
      </c>
      <c r="R269" s="130">
        <v>12</v>
      </c>
      <c r="S269" s="129"/>
      <c r="T269" s="130" t="s">
        <v>4389</v>
      </c>
      <c r="U269" s="129"/>
      <c r="V269" s="129"/>
      <c r="W269" s="129"/>
      <c r="X269" s="129" t="s">
        <v>21</v>
      </c>
    </row>
    <row r="270" spans="1:24" ht="26.25" customHeight="1">
      <c r="A270" s="17">
        <f t="shared" si="1"/>
        <v>267</v>
      </c>
      <c r="B270" s="18" t="s">
        <v>248</v>
      </c>
      <c r="C270" s="19" t="s">
        <v>1730</v>
      </c>
      <c r="D270" s="19" t="s">
        <v>124</v>
      </c>
      <c r="E270" s="20" t="s">
        <v>1731</v>
      </c>
      <c r="F270" s="21" t="s">
        <v>1732</v>
      </c>
      <c r="G270" s="33" t="s">
        <v>42</v>
      </c>
      <c r="H270" s="23" t="s">
        <v>1733</v>
      </c>
      <c r="I270" s="24" t="s">
        <v>20</v>
      </c>
      <c r="J270" s="1" t="str">
        <f t="shared" si="0"/>
        <v>FRIC</v>
      </c>
      <c r="K270" s="1"/>
      <c r="L270" s="1"/>
      <c r="M270" s="130">
        <v>267</v>
      </c>
      <c r="N270" s="130" t="s">
        <v>4617</v>
      </c>
      <c r="O270" s="131" t="s">
        <v>3583</v>
      </c>
      <c r="P270" s="130" t="s">
        <v>4761</v>
      </c>
      <c r="Q270" s="130" t="s">
        <v>3585</v>
      </c>
      <c r="R270" s="130">
        <v>12</v>
      </c>
      <c r="S270" s="129"/>
      <c r="T270" s="130" t="s">
        <v>4341</v>
      </c>
      <c r="U270" s="129"/>
      <c r="V270" s="129"/>
      <c r="W270" s="129"/>
      <c r="X270" s="129" t="s">
        <v>21</v>
      </c>
    </row>
    <row r="271" spans="1:24" ht="26.25" customHeight="1">
      <c r="A271" s="17">
        <f t="shared" si="1"/>
        <v>268</v>
      </c>
      <c r="B271" s="18" t="s">
        <v>248</v>
      </c>
      <c r="C271" s="19" t="s">
        <v>1736</v>
      </c>
      <c r="D271" s="19" t="s">
        <v>124</v>
      </c>
      <c r="E271" s="20" t="s">
        <v>1737</v>
      </c>
      <c r="F271" s="21" t="s">
        <v>135</v>
      </c>
      <c r="G271" s="33" t="s">
        <v>42</v>
      </c>
      <c r="H271" s="23" t="s">
        <v>1738</v>
      </c>
      <c r="I271" s="24" t="s">
        <v>20</v>
      </c>
      <c r="J271" s="1" t="str">
        <f t="shared" si="0"/>
        <v>FRIC</v>
      </c>
      <c r="K271" s="1"/>
      <c r="L271" s="1"/>
      <c r="M271" s="132">
        <v>268</v>
      </c>
      <c r="N271" s="130" t="s">
        <v>4617</v>
      </c>
      <c r="O271" s="131" t="s">
        <v>4762</v>
      </c>
      <c r="P271" s="130" t="s">
        <v>4763</v>
      </c>
      <c r="Q271" s="130" t="s">
        <v>3597</v>
      </c>
      <c r="R271" s="130">
        <v>6</v>
      </c>
      <c r="S271" s="129"/>
      <c r="T271" s="130" t="s">
        <v>4670</v>
      </c>
      <c r="U271" s="129"/>
      <c r="V271" s="129"/>
      <c r="W271" s="129"/>
      <c r="X271" s="129" t="s">
        <v>21</v>
      </c>
    </row>
    <row r="272" spans="1:24" ht="26.25" customHeight="1">
      <c r="A272" s="17">
        <f t="shared" si="1"/>
        <v>269</v>
      </c>
      <c r="B272" s="18" t="s">
        <v>132</v>
      </c>
      <c r="C272" s="19" t="s">
        <v>1743</v>
      </c>
      <c r="D272" s="19" t="s">
        <v>141</v>
      </c>
      <c r="E272" s="20" t="s">
        <v>1744</v>
      </c>
      <c r="F272" s="21" t="s">
        <v>135</v>
      </c>
      <c r="G272" s="22" t="s">
        <v>42</v>
      </c>
      <c r="H272" s="23" t="s">
        <v>1745</v>
      </c>
      <c r="I272" s="24" t="s">
        <v>20</v>
      </c>
      <c r="J272" s="1" t="str">
        <f t="shared" si="0"/>
        <v>FRIC</v>
      </c>
      <c r="K272" s="1"/>
      <c r="L272" s="1"/>
      <c r="M272" s="143"/>
      <c r="N272" s="129"/>
      <c r="O272" s="129"/>
      <c r="P272" s="129"/>
      <c r="Q272" s="129"/>
      <c r="R272" s="129"/>
      <c r="S272" s="129"/>
      <c r="T272" s="130" t="s">
        <v>4764</v>
      </c>
      <c r="U272" s="129"/>
      <c r="V272" s="129"/>
      <c r="W272" s="129"/>
      <c r="X272" s="129"/>
    </row>
    <row r="273" spans="1:24" ht="26.25" customHeight="1">
      <c r="A273" s="17">
        <f t="shared" si="1"/>
        <v>270</v>
      </c>
      <c r="B273" s="18" t="s">
        <v>132</v>
      </c>
      <c r="C273" s="19" t="s">
        <v>1748</v>
      </c>
      <c r="D273" s="19" t="s">
        <v>141</v>
      </c>
      <c r="E273" s="20" t="s">
        <v>1749</v>
      </c>
      <c r="F273" s="21" t="s">
        <v>905</v>
      </c>
      <c r="G273" s="22" t="s">
        <v>42</v>
      </c>
      <c r="H273" s="23" t="s">
        <v>1750</v>
      </c>
      <c r="I273" s="24" t="s">
        <v>20</v>
      </c>
      <c r="J273" s="1" t="str">
        <f t="shared" si="0"/>
        <v>FRIC</v>
      </c>
      <c r="K273" s="1"/>
      <c r="L273" s="1"/>
      <c r="M273" s="143"/>
      <c r="N273" s="137" t="s">
        <v>4765</v>
      </c>
      <c r="O273" s="137" t="s">
        <v>4766</v>
      </c>
      <c r="P273" s="137" t="s">
        <v>4767</v>
      </c>
      <c r="Q273" s="137" t="s">
        <v>6</v>
      </c>
      <c r="R273" s="137" t="s">
        <v>4768</v>
      </c>
      <c r="S273" s="137" t="s">
        <v>4334</v>
      </c>
      <c r="T273" s="137" t="s">
        <v>4769</v>
      </c>
      <c r="U273" s="144" t="s">
        <v>4770</v>
      </c>
      <c r="V273" s="143"/>
      <c r="W273" s="143"/>
      <c r="X273" s="143"/>
    </row>
    <row r="274" spans="1:24" ht="26.25" hidden="1" customHeight="1">
      <c r="A274" s="17">
        <f t="shared" si="1"/>
        <v>271</v>
      </c>
      <c r="B274" s="18" t="s">
        <v>132</v>
      </c>
      <c r="C274" s="31" t="s">
        <v>1753</v>
      </c>
      <c r="D274" s="19" t="s">
        <v>1754</v>
      </c>
      <c r="E274" s="20" t="s">
        <v>1755</v>
      </c>
      <c r="F274" s="32" t="s">
        <v>1756</v>
      </c>
      <c r="G274" s="22" t="s">
        <v>53</v>
      </c>
      <c r="H274" s="23" t="s">
        <v>1757</v>
      </c>
      <c r="I274" s="24" t="s">
        <v>55</v>
      </c>
      <c r="J274" s="1" t="str">
        <f t="shared" si="0"/>
        <v/>
      </c>
      <c r="K274" s="1"/>
      <c r="L274" s="1"/>
      <c r="M274" s="145">
        <v>1</v>
      </c>
      <c r="N274" s="137" t="s">
        <v>4617</v>
      </c>
      <c r="O274" s="137" t="s">
        <v>3760</v>
      </c>
      <c r="P274" s="137" t="s">
        <v>4771</v>
      </c>
      <c r="Q274" s="137" t="s">
        <v>3762</v>
      </c>
      <c r="R274" s="137" t="s">
        <v>25</v>
      </c>
      <c r="S274" s="129"/>
      <c r="T274" s="137" t="s">
        <v>4772</v>
      </c>
      <c r="U274" s="143"/>
      <c r="V274" s="143"/>
      <c r="W274" s="143"/>
      <c r="X274" s="143" t="s">
        <v>87</v>
      </c>
    </row>
    <row r="275" spans="1:24" ht="26.25" hidden="1" customHeight="1">
      <c r="A275" s="17">
        <f t="shared" si="1"/>
        <v>272</v>
      </c>
      <c r="B275" s="18" t="s">
        <v>132</v>
      </c>
      <c r="C275" s="31" t="s">
        <v>391</v>
      </c>
      <c r="D275" s="19" t="s">
        <v>722</v>
      </c>
      <c r="E275" s="20" t="s">
        <v>392</v>
      </c>
      <c r="F275" s="32" t="s">
        <v>1761</v>
      </c>
      <c r="G275" s="22" t="s">
        <v>42</v>
      </c>
      <c r="H275" s="23" t="s">
        <v>1762</v>
      </c>
      <c r="I275" s="24" t="s">
        <v>55</v>
      </c>
      <c r="J275" s="1" t="str">
        <f t="shared" si="0"/>
        <v/>
      </c>
      <c r="K275" s="1"/>
      <c r="L275" s="1"/>
      <c r="M275" s="145">
        <v>2</v>
      </c>
      <c r="N275" s="137" t="s">
        <v>4617</v>
      </c>
      <c r="O275" s="137" t="s">
        <v>4773</v>
      </c>
      <c r="P275" s="137" t="s">
        <v>4774</v>
      </c>
      <c r="Q275" s="137" t="s">
        <v>3838</v>
      </c>
      <c r="R275" s="137" t="s">
        <v>36</v>
      </c>
      <c r="S275" s="129"/>
      <c r="T275" s="137" t="s">
        <v>4775</v>
      </c>
      <c r="U275" s="143"/>
      <c r="V275" s="143"/>
      <c r="W275" s="143"/>
      <c r="X275" s="143" t="s">
        <v>87</v>
      </c>
    </row>
    <row r="276" spans="1:24" ht="26.25" customHeight="1">
      <c r="A276" s="17">
        <f t="shared" si="1"/>
        <v>273</v>
      </c>
      <c r="B276" s="18" t="s">
        <v>105</v>
      </c>
      <c r="C276" s="19" t="s">
        <v>1765</v>
      </c>
      <c r="D276" s="19" t="s">
        <v>124</v>
      </c>
      <c r="E276" s="20" t="s">
        <v>1766</v>
      </c>
      <c r="F276" s="21" t="s">
        <v>1011</v>
      </c>
      <c r="G276" s="33" t="s">
        <v>1290</v>
      </c>
      <c r="H276" s="23" t="s">
        <v>1767</v>
      </c>
      <c r="I276" s="24" t="s">
        <v>20</v>
      </c>
      <c r="J276" s="1" t="str">
        <f t="shared" si="0"/>
        <v>FRIC</v>
      </c>
      <c r="K276" s="1"/>
      <c r="L276" s="1"/>
      <c r="M276" s="145">
        <v>3</v>
      </c>
      <c r="N276" s="137" t="s">
        <v>4617</v>
      </c>
      <c r="O276" s="137" t="s">
        <v>4776</v>
      </c>
      <c r="P276" s="137" t="s">
        <v>4777</v>
      </c>
      <c r="Q276" s="137" t="s">
        <v>3905</v>
      </c>
      <c r="R276" s="137" t="s">
        <v>25</v>
      </c>
      <c r="S276" s="129"/>
      <c r="T276" s="137" t="s">
        <v>4778</v>
      </c>
      <c r="U276" s="143"/>
      <c r="V276" s="143"/>
      <c r="W276" s="143"/>
      <c r="X276" s="143" t="s">
        <v>87</v>
      </c>
    </row>
    <row r="277" spans="1:24" ht="26.25" hidden="1" customHeight="1">
      <c r="A277" s="17">
        <f t="shared" si="1"/>
        <v>274</v>
      </c>
      <c r="B277" s="18" t="s">
        <v>132</v>
      </c>
      <c r="C277" s="31" t="s">
        <v>1041</v>
      </c>
      <c r="D277" s="19" t="s">
        <v>1042</v>
      </c>
      <c r="E277" s="20" t="s">
        <v>1043</v>
      </c>
      <c r="F277" s="32" t="s">
        <v>170</v>
      </c>
      <c r="G277" s="22" t="s">
        <v>31</v>
      </c>
      <c r="H277" s="23" t="s">
        <v>1771</v>
      </c>
      <c r="I277" s="24" t="s">
        <v>55</v>
      </c>
      <c r="J277" s="1" t="str">
        <f t="shared" si="0"/>
        <v/>
      </c>
      <c r="K277" s="1"/>
      <c r="L277" s="1"/>
      <c r="M277" s="145">
        <v>4</v>
      </c>
      <c r="N277" s="137" t="s">
        <v>4617</v>
      </c>
      <c r="O277" s="137" t="s">
        <v>4779</v>
      </c>
      <c r="P277" s="137" t="s">
        <v>4780</v>
      </c>
      <c r="Q277" s="137" t="s">
        <v>1969</v>
      </c>
      <c r="R277" s="137" t="s">
        <v>25</v>
      </c>
      <c r="S277" s="129"/>
      <c r="T277" s="137" t="s">
        <v>4781</v>
      </c>
      <c r="U277" s="143"/>
      <c r="V277" s="143"/>
      <c r="W277" s="143"/>
      <c r="X277" s="143" t="s">
        <v>87</v>
      </c>
    </row>
    <row r="278" spans="1:24" ht="26.25" hidden="1" customHeight="1">
      <c r="A278" s="17">
        <f t="shared" si="1"/>
        <v>275</v>
      </c>
      <c r="B278" s="18" t="s">
        <v>81</v>
      </c>
      <c r="C278" s="31" t="s">
        <v>1775</v>
      </c>
      <c r="D278" s="19" t="s">
        <v>1776</v>
      </c>
      <c r="E278" s="20" t="s">
        <v>1777</v>
      </c>
      <c r="F278" s="32" t="s">
        <v>222</v>
      </c>
      <c r="G278" s="33" t="s">
        <v>42</v>
      </c>
      <c r="H278" s="23" t="s">
        <v>1778</v>
      </c>
      <c r="I278" s="24" t="s">
        <v>55</v>
      </c>
      <c r="J278" s="1" t="str">
        <f t="shared" si="0"/>
        <v/>
      </c>
      <c r="K278" s="1"/>
      <c r="L278" s="1"/>
      <c r="M278" s="145">
        <v>5</v>
      </c>
      <c r="N278" s="137" t="s">
        <v>4617</v>
      </c>
      <c r="O278" s="137" t="s">
        <v>3912</v>
      </c>
      <c r="P278" s="137" t="s">
        <v>4782</v>
      </c>
      <c r="Q278" s="137" t="s">
        <v>3914</v>
      </c>
      <c r="R278" s="137" t="s">
        <v>47</v>
      </c>
      <c r="S278" s="129"/>
      <c r="T278" s="137" t="s">
        <v>4783</v>
      </c>
      <c r="U278" s="143"/>
      <c r="V278" s="143"/>
      <c r="W278" s="143"/>
      <c r="X278" s="143" t="s">
        <v>87</v>
      </c>
    </row>
    <row r="279" spans="1:24" ht="26.25" hidden="1" customHeight="1">
      <c r="A279" s="17">
        <f t="shared" si="1"/>
        <v>276</v>
      </c>
      <c r="B279" s="18" t="s">
        <v>81</v>
      </c>
      <c r="C279" s="31" t="s">
        <v>1782</v>
      </c>
      <c r="D279" s="19" t="s">
        <v>1783</v>
      </c>
      <c r="E279" s="20" t="s">
        <v>1784</v>
      </c>
      <c r="F279" s="21" t="s">
        <v>293</v>
      </c>
      <c r="G279" s="33" t="s">
        <v>1086</v>
      </c>
      <c r="H279" s="23" t="s">
        <v>1785</v>
      </c>
      <c r="I279" s="34" t="s">
        <v>20</v>
      </c>
      <c r="J279" s="1" t="str">
        <f t="shared" si="0"/>
        <v>과기</v>
      </c>
      <c r="K279" s="25"/>
      <c r="L279" s="25"/>
      <c r="M279" s="146">
        <v>6</v>
      </c>
      <c r="N279" s="139" t="s">
        <v>4617</v>
      </c>
      <c r="O279" s="139" t="s">
        <v>4784</v>
      </c>
      <c r="P279" s="139" t="s">
        <v>4785</v>
      </c>
      <c r="Q279" s="139" t="s">
        <v>3936</v>
      </c>
      <c r="R279" s="139" t="s">
        <v>36</v>
      </c>
      <c r="S279" s="135"/>
      <c r="T279" s="139" t="s">
        <v>4786</v>
      </c>
      <c r="U279" s="147"/>
      <c r="V279" s="147"/>
      <c r="W279" s="147"/>
      <c r="X279" s="147" t="s">
        <v>87</v>
      </c>
    </row>
    <row r="280" spans="1:24" ht="26.25" customHeight="1">
      <c r="A280" s="17">
        <f t="shared" si="1"/>
        <v>277</v>
      </c>
      <c r="B280" s="18" t="s">
        <v>132</v>
      </c>
      <c r="C280" s="19" t="s">
        <v>1788</v>
      </c>
      <c r="D280" s="19" t="s">
        <v>1789</v>
      </c>
      <c r="E280" s="20" t="s">
        <v>1790</v>
      </c>
      <c r="F280" s="21" t="s">
        <v>135</v>
      </c>
      <c r="G280" s="22" t="s">
        <v>31</v>
      </c>
      <c r="H280" s="23" t="s">
        <v>1791</v>
      </c>
      <c r="I280" s="24" t="s">
        <v>20</v>
      </c>
      <c r="J280" s="1" t="str">
        <f t="shared" si="0"/>
        <v>FRIC</v>
      </c>
      <c r="K280" s="1"/>
      <c r="L280" s="1"/>
      <c r="M280" s="145">
        <v>7</v>
      </c>
      <c r="N280" s="137" t="s">
        <v>4617</v>
      </c>
      <c r="O280" s="137" t="s">
        <v>4787</v>
      </c>
      <c r="P280" s="137" t="s">
        <v>4788</v>
      </c>
      <c r="Q280" s="137" t="s">
        <v>3948</v>
      </c>
      <c r="R280" s="137" t="s">
        <v>36</v>
      </c>
      <c r="S280" s="129"/>
      <c r="T280" s="137" t="s">
        <v>4789</v>
      </c>
      <c r="U280" s="143"/>
      <c r="V280" s="143"/>
      <c r="W280" s="143"/>
      <c r="X280" s="143" t="s">
        <v>87</v>
      </c>
    </row>
    <row r="281" spans="1:24" ht="26.25" hidden="1" customHeight="1">
      <c r="A281" s="17">
        <f t="shared" si="1"/>
        <v>278</v>
      </c>
      <c r="B281" s="18" t="s">
        <v>248</v>
      </c>
      <c r="C281" s="31" t="s">
        <v>1047</v>
      </c>
      <c r="D281" s="19" t="s">
        <v>1789</v>
      </c>
      <c r="E281" s="20" t="s">
        <v>1048</v>
      </c>
      <c r="F281" s="32" t="s">
        <v>962</v>
      </c>
      <c r="G281" s="33" t="s">
        <v>53</v>
      </c>
      <c r="H281" s="23" t="s">
        <v>1795</v>
      </c>
      <c r="I281" s="24" t="s">
        <v>55</v>
      </c>
      <c r="J281" s="1" t="str">
        <f t="shared" si="0"/>
        <v/>
      </c>
      <c r="K281" s="1"/>
      <c r="L281" s="1"/>
      <c r="M281" s="145">
        <v>8</v>
      </c>
      <c r="N281" s="137" t="s">
        <v>4617</v>
      </c>
      <c r="O281" s="137" t="s">
        <v>4790</v>
      </c>
      <c r="P281" s="137" t="s">
        <v>4791</v>
      </c>
      <c r="Q281" s="137" t="s">
        <v>3984</v>
      </c>
      <c r="R281" s="137" t="s">
        <v>1614</v>
      </c>
      <c r="S281" s="129"/>
      <c r="T281" s="137" t="s">
        <v>4792</v>
      </c>
      <c r="U281" s="143"/>
      <c r="V281" s="143"/>
      <c r="W281" s="143"/>
      <c r="X281" s="143" t="s">
        <v>87</v>
      </c>
    </row>
    <row r="282" spans="1:24" ht="26.25" hidden="1" customHeight="1">
      <c r="A282" s="17">
        <f t="shared" si="1"/>
        <v>279</v>
      </c>
      <c r="B282" s="18" t="s">
        <v>37</v>
      </c>
      <c r="C282" s="33" t="s">
        <v>1054</v>
      </c>
      <c r="D282" s="83" t="s">
        <v>1055</v>
      </c>
      <c r="E282" s="84" t="s">
        <v>1056</v>
      </c>
      <c r="F282" s="44">
        <v>2019</v>
      </c>
      <c r="G282" s="22" t="s">
        <v>42</v>
      </c>
      <c r="H282" s="59" t="s">
        <v>1799</v>
      </c>
      <c r="I282" s="24" t="s">
        <v>55</v>
      </c>
      <c r="J282" s="1" t="str">
        <f t="shared" si="0"/>
        <v/>
      </c>
      <c r="K282" s="1"/>
      <c r="L282" s="1"/>
      <c r="M282" s="145">
        <v>9</v>
      </c>
      <c r="N282" s="137" t="s">
        <v>4617</v>
      </c>
      <c r="O282" s="137" t="s">
        <v>4793</v>
      </c>
      <c r="P282" s="137" t="s">
        <v>4794</v>
      </c>
      <c r="Q282" s="137" t="s">
        <v>3996</v>
      </c>
      <c r="R282" s="137" t="s">
        <v>36</v>
      </c>
      <c r="S282" s="129"/>
      <c r="T282" s="137" t="s">
        <v>4795</v>
      </c>
      <c r="U282" s="143"/>
      <c r="V282" s="143"/>
      <c r="W282" s="143"/>
      <c r="X282" s="143" t="s">
        <v>87</v>
      </c>
    </row>
    <row r="283" spans="1:24" ht="26.25" customHeight="1">
      <c r="A283" s="17">
        <f t="shared" si="1"/>
        <v>280</v>
      </c>
      <c r="B283" s="18" t="s">
        <v>37</v>
      </c>
      <c r="C283" s="19" t="s">
        <v>1803</v>
      </c>
      <c r="D283" s="19" t="s">
        <v>1804</v>
      </c>
      <c r="E283" s="20" t="s">
        <v>1805</v>
      </c>
      <c r="F283" s="21" t="s">
        <v>905</v>
      </c>
      <c r="G283" s="22" t="s">
        <v>42</v>
      </c>
      <c r="H283" s="23" t="s">
        <v>1806</v>
      </c>
      <c r="I283" s="24" t="s">
        <v>20</v>
      </c>
      <c r="J283" s="1" t="str">
        <f t="shared" si="0"/>
        <v>FRIC</v>
      </c>
      <c r="K283" s="1"/>
      <c r="L283" s="1"/>
      <c r="M283" s="145">
        <v>10</v>
      </c>
      <c r="N283" s="137" t="s">
        <v>4617</v>
      </c>
      <c r="O283" s="137" t="s">
        <v>4796</v>
      </c>
      <c r="P283" s="137" t="s">
        <v>4797</v>
      </c>
      <c r="Q283" s="137" t="s">
        <v>4004</v>
      </c>
      <c r="R283" s="137" t="s">
        <v>25</v>
      </c>
      <c r="S283" s="129"/>
      <c r="T283" s="137" t="s">
        <v>4798</v>
      </c>
      <c r="U283" s="143"/>
      <c r="V283" s="143"/>
      <c r="W283" s="143"/>
      <c r="X283" s="143" t="s">
        <v>87</v>
      </c>
    </row>
    <row r="284" spans="1:24" ht="26.25" hidden="1" customHeight="1">
      <c r="A284" s="17">
        <f t="shared" si="1"/>
        <v>281</v>
      </c>
      <c r="B284" s="18" t="s">
        <v>132</v>
      </c>
      <c r="C284" s="31" t="s">
        <v>1061</v>
      </c>
      <c r="D284" s="19" t="s">
        <v>1789</v>
      </c>
      <c r="E284" s="20" t="s">
        <v>1062</v>
      </c>
      <c r="F284" s="32" t="s">
        <v>62</v>
      </c>
      <c r="G284" s="22" t="s">
        <v>53</v>
      </c>
      <c r="H284" s="23" t="s">
        <v>1810</v>
      </c>
      <c r="I284" s="24" t="s">
        <v>55</v>
      </c>
      <c r="J284" s="1" t="str">
        <f t="shared" si="0"/>
        <v/>
      </c>
      <c r="K284" s="1"/>
      <c r="L284" s="1"/>
      <c r="M284" s="145">
        <v>11</v>
      </c>
      <c r="N284" s="137" t="s">
        <v>4617</v>
      </c>
      <c r="O284" s="137" t="s">
        <v>4799</v>
      </c>
      <c r="P284" s="137" t="s">
        <v>4800</v>
      </c>
      <c r="Q284" s="137" t="s">
        <v>3919</v>
      </c>
      <c r="R284" s="137" t="s">
        <v>36</v>
      </c>
      <c r="S284" s="129"/>
      <c r="T284" s="137" t="s">
        <v>4801</v>
      </c>
      <c r="U284" s="143"/>
      <c r="V284" s="143"/>
      <c r="W284" s="143"/>
      <c r="X284" s="143" t="s">
        <v>87</v>
      </c>
    </row>
    <row r="285" spans="1:24" ht="26.25" customHeight="1">
      <c r="A285" s="17">
        <f t="shared" si="1"/>
        <v>282</v>
      </c>
      <c r="B285" s="18" t="s">
        <v>37</v>
      </c>
      <c r="C285" s="19" t="s">
        <v>1814</v>
      </c>
      <c r="D285" s="19" t="s">
        <v>1789</v>
      </c>
      <c r="E285" s="20" t="s">
        <v>1815</v>
      </c>
      <c r="F285" s="21" t="s">
        <v>905</v>
      </c>
      <c r="G285" s="22" t="s">
        <v>31</v>
      </c>
      <c r="H285" s="23" t="s">
        <v>1816</v>
      </c>
      <c r="I285" s="24" t="s">
        <v>20</v>
      </c>
      <c r="J285" s="1" t="str">
        <f t="shared" si="0"/>
        <v>FRIC</v>
      </c>
      <c r="K285" s="1"/>
      <c r="L285" s="1"/>
      <c r="M285" s="145">
        <v>12</v>
      </c>
      <c r="N285" s="137" t="s">
        <v>4617</v>
      </c>
      <c r="O285" s="137" t="s">
        <v>4074</v>
      </c>
      <c r="P285" s="137" t="s">
        <v>4802</v>
      </c>
      <c r="Q285" s="137" t="s">
        <v>4076</v>
      </c>
      <c r="R285" s="137" t="s">
        <v>36</v>
      </c>
      <c r="S285" s="129"/>
      <c r="T285" s="137" t="s">
        <v>4803</v>
      </c>
      <c r="U285" s="143"/>
      <c r="V285" s="143"/>
      <c r="W285" s="143"/>
      <c r="X285" s="143" t="s">
        <v>87</v>
      </c>
    </row>
    <row r="286" spans="1:24" ht="26.25" customHeight="1">
      <c r="A286" s="17">
        <f t="shared" si="1"/>
        <v>283</v>
      </c>
      <c r="B286" s="18" t="s">
        <v>146</v>
      </c>
      <c r="C286" s="19" t="s">
        <v>1820</v>
      </c>
      <c r="D286" s="19" t="s">
        <v>1821</v>
      </c>
      <c r="E286" s="20" t="s">
        <v>1822</v>
      </c>
      <c r="F286" s="21" t="s">
        <v>905</v>
      </c>
      <c r="G286" s="33" t="s">
        <v>42</v>
      </c>
      <c r="H286" s="23" t="s">
        <v>1823</v>
      </c>
      <c r="I286" s="24" t="s">
        <v>20</v>
      </c>
      <c r="J286" s="1" t="str">
        <f t="shared" si="0"/>
        <v>FRIC</v>
      </c>
      <c r="K286" s="1"/>
      <c r="L286" s="1"/>
      <c r="M286" s="145">
        <v>13</v>
      </c>
      <c r="N286" s="137" t="s">
        <v>4617</v>
      </c>
      <c r="O286" s="137" t="s">
        <v>4804</v>
      </c>
      <c r="P286" s="137" t="s">
        <v>407</v>
      </c>
      <c r="Q286" s="137" t="s">
        <v>4108</v>
      </c>
      <c r="R286" s="137" t="s">
        <v>36</v>
      </c>
      <c r="S286" s="129"/>
      <c r="T286" s="137" t="s">
        <v>4805</v>
      </c>
      <c r="U286" s="143"/>
      <c r="V286" s="143"/>
      <c r="W286" s="143"/>
      <c r="X286" s="143" t="s">
        <v>87</v>
      </c>
    </row>
    <row r="287" spans="1:24" ht="26.25" hidden="1" customHeight="1">
      <c r="A287" s="17">
        <f t="shared" si="1"/>
        <v>284</v>
      </c>
      <c r="B287" s="18" t="s">
        <v>132</v>
      </c>
      <c r="C287" s="31" t="s">
        <v>254</v>
      </c>
      <c r="D287" s="19" t="s">
        <v>124</v>
      </c>
      <c r="E287" s="20" t="s">
        <v>256</v>
      </c>
      <c r="F287" s="32" t="s">
        <v>62</v>
      </c>
      <c r="G287" s="22" t="s">
        <v>42</v>
      </c>
      <c r="H287" s="23" t="s">
        <v>1827</v>
      </c>
      <c r="I287" s="24" t="s">
        <v>55</v>
      </c>
      <c r="J287" s="1" t="str">
        <f t="shared" si="0"/>
        <v/>
      </c>
      <c r="K287" s="1"/>
      <c r="L287" s="1"/>
      <c r="M287" s="145">
        <v>14</v>
      </c>
      <c r="N287" s="137" t="s">
        <v>4617</v>
      </c>
      <c r="O287" s="137" t="s">
        <v>4806</v>
      </c>
      <c r="P287" s="137" t="s">
        <v>4807</v>
      </c>
      <c r="Q287" s="137" t="s">
        <v>4120</v>
      </c>
      <c r="R287" s="137" t="s">
        <v>25</v>
      </c>
      <c r="S287" s="129"/>
      <c r="T287" s="137" t="s">
        <v>4786</v>
      </c>
      <c r="U287" s="143"/>
      <c r="V287" s="143"/>
      <c r="W287" s="143"/>
      <c r="X287" s="143" t="s">
        <v>87</v>
      </c>
    </row>
    <row r="288" spans="1:24" ht="26.25" customHeight="1">
      <c r="A288" s="17">
        <f t="shared" si="1"/>
        <v>285</v>
      </c>
      <c r="B288" s="18" t="s">
        <v>27</v>
      </c>
      <c r="C288" s="19" t="s">
        <v>1831</v>
      </c>
      <c r="D288" s="19" t="s">
        <v>124</v>
      </c>
      <c r="E288" s="20" t="s">
        <v>1832</v>
      </c>
      <c r="F288" s="21" t="s">
        <v>905</v>
      </c>
      <c r="G288" s="22" t="s">
        <v>42</v>
      </c>
      <c r="H288" s="23" t="s">
        <v>1833</v>
      </c>
      <c r="I288" s="24" t="s">
        <v>20</v>
      </c>
      <c r="J288" s="1" t="str">
        <f t="shared" si="0"/>
        <v>FRIC</v>
      </c>
      <c r="K288" s="1"/>
      <c r="L288" s="1"/>
      <c r="M288" s="145">
        <v>15</v>
      </c>
      <c r="N288" s="137" t="s">
        <v>4617</v>
      </c>
      <c r="O288" s="137" t="s">
        <v>4808</v>
      </c>
      <c r="P288" s="137" t="s">
        <v>4809</v>
      </c>
      <c r="Q288" s="137" t="s">
        <v>3787</v>
      </c>
      <c r="R288" s="137" t="s">
        <v>25</v>
      </c>
      <c r="S288" s="129"/>
      <c r="T288" s="137" t="s">
        <v>4810</v>
      </c>
      <c r="U288" s="143"/>
      <c r="V288" s="143"/>
      <c r="W288" s="143"/>
      <c r="X288" s="143" t="s">
        <v>87</v>
      </c>
    </row>
    <row r="289" spans="1:24" ht="26.25" customHeight="1">
      <c r="A289" s="17">
        <f t="shared" si="1"/>
        <v>286</v>
      </c>
      <c r="B289" s="18" t="s">
        <v>37</v>
      </c>
      <c r="C289" s="19" t="s">
        <v>1837</v>
      </c>
      <c r="D289" s="19" t="s">
        <v>1838</v>
      </c>
      <c r="E289" s="20" t="s">
        <v>1839</v>
      </c>
      <c r="F289" s="21" t="s">
        <v>905</v>
      </c>
      <c r="G289" s="22" t="s">
        <v>31</v>
      </c>
      <c r="H289" s="23" t="s">
        <v>1840</v>
      </c>
      <c r="I289" s="24" t="s">
        <v>20</v>
      </c>
      <c r="J289" s="1" t="str">
        <f t="shared" si="0"/>
        <v>FRIC</v>
      </c>
      <c r="K289" s="1"/>
      <c r="L289" s="1"/>
      <c r="M289" s="145">
        <v>16</v>
      </c>
      <c r="N289" s="137" t="s">
        <v>4617</v>
      </c>
      <c r="O289" s="137" t="s">
        <v>4811</v>
      </c>
      <c r="P289" s="137" t="s">
        <v>4812</v>
      </c>
      <c r="Q289" s="137" t="s">
        <v>4283</v>
      </c>
      <c r="R289" s="137" t="s">
        <v>47</v>
      </c>
      <c r="S289" s="129"/>
      <c r="T289" s="137" t="s">
        <v>4813</v>
      </c>
      <c r="U289" s="143"/>
      <c r="V289" s="143"/>
      <c r="W289" s="143"/>
      <c r="X289" s="143" t="s">
        <v>87</v>
      </c>
    </row>
    <row r="290" spans="1:24" ht="26.25" hidden="1" customHeight="1">
      <c r="A290" s="17">
        <f t="shared" si="1"/>
        <v>287</v>
      </c>
      <c r="B290" s="18" t="s">
        <v>48</v>
      </c>
      <c r="C290" s="31" t="s">
        <v>1844</v>
      </c>
      <c r="D290" s="19" t="s">
        <v>1068</v>
      </c>
      <c r="E290" s="20" t="s">
        <v>1069</v>
      </c>
      <c r="F290" s="32" t="s">
        <v>1845</v>
      </c>
      <c r="G290" s="33" t="s">
        <v>1846</v>
      </c>
      <c r="H290" s="23" t="s">
        <v>1847</v>
      </c>
      <c r="I290" s="24" t="s">
        <v>55</v>
      </c>
      <c r="J290" s="1" t="str">
        <f t="shared" si="0"/>
        <v/>
      </c>
      <c r="K290" s="1"/>
      <c r="L290" s="1"/>
      <c r="M290" s="145">
        <v>17</v>
      </c>
      <c r="N290" s="137" t="s">
        <v>4617</v>
      </c>
      <c r="O290" s="137" t="s">
        <v>4290</v>
      </c>
      <c r="P290" s="137" t="s">
        <v>4814</v>
      </c>
      <c r="Q290" s="137" t="s">
        <v>4292</v>
      </c>
      <c r="R290" s="137" t="s">
        <v>25</v>
      </c>
      <c r="S290" s="129"/>
      <c r="T290" s="137" t="s">
        <v>4815</v>
      </c>
      <c r="U290" s="143"/>
      <c r="V290" s="143"/>
      <c r="W290" s="143"/>
      <c r="X290" s="143" t="s">
        <v>87</v>
      </c>
    </row>
    <row r="291" spans="1:24" ht="26.25" hidden="1" customHeight="1">
      <c r="A291" s="17">
        <f t="shared" si="1"/>
        <v>288</v>
      </c>
      <c r="B291" s="18" t="s">
        <v>13</v>
      </c>
      <c r="C291" s="31" t="s">
        <v>1851</v>
      </c>
      <c r="D291" s="19" t="s">
        <v>227</v>
      </c>
      <c r="E291" s="20" t="s">
        <v>1852</v>
      </c>
      <c r="F291" s="32" t="s">
        <v>1853</v>
      </c>
      <c r="G291" s="22" t="s">
        <v>42</v>
      </c>
      <c r="H291" s="23" t="s">
        <v>1854</v>
      </c>
      <c r="I291" s="24" t="s">
        <v>55</v>
      </c>
      <c r="J291" s="1" t="str">
        <f t="shared" si="0"/>
        <v/>
      </c>
      <c r="K291" s="1"/>
      <c r="L291" s="1"/>
      <c r="M291" s="145">
        <v>18</v>
      </c>
      <c r="N291" s="137" t="s">
        <v>4617</v>
      </c>
      <c r="O291" s="137" t="s">
        <v>4306</v>
      </c>
      <c r="P291" s="137" t="s">
        <v>4816</v>
      </c>
      <c r="Q291" s="137" t="s">
        <v>4308</v>
      </c>
      <c r="R291" s="137" t="s">
        <v>47</v>
      </c>
      <c r="S291" s="129"/>
      <c r="T291" s="137" t="s">
        <v>4810</v>
      </c>
      <c r="U291" s="143"/>
      <c r="V291" s="143"/>
      <c r="W291" s="143"/>
      <c r="X291" s="143" t="s">
        <v>87</v>
      </c>
    </row>
    <row r="292" spans="1:24" ht="26.25" hidden="1" customHeight="1">
      <c r="A292" s="17">
        <f t="shared" si="1"/>
        <v>289</v>
      </c>
      <c r="B292" s="18" t="s">
        <v>81</v>
      </c>
      <c r="C292" s="31" t="s">
        <v>1858</v>
      </c>
      <c r="D292" s="19" t="s">
        <v>1859</v>
      </c>
      <c r="E292" s="20" t="s">
        <v>1860</v>
      </c>
      <c r="F292" s="32" t="s">
        <v>416</v>
      </c>
      <c r="G292" s="33" t="s">
        <v>42</v>
      </c>
      <c r="H292" s="23" t="s">
        <v>1861</v>
      </c>
      <c r="I292" s="24" t="s">
        <v>55</v>
      </c>
      <c r="J292" s="1" t="str">
        <f t="shared" si="0"/>
        <v/>
      </c>
      <c r="K292" s="1"/>
      <c r="L292" s="1"/>
      <c r="M292" s="145">
        <v>19</v>
      </c>
      <c r="N292" s="137" t="s">
        <v>4617</v>
      </c>
      <c r="O292" s="137" t="s">
        <v>4817</v>
      </c>
      <c r="P292" s="137" t="s">
        <v>4818</v>
      </c>
      <c r="Q292" s="137" t="s">
        <v>3882</v>
      </c>
      <c r="R292" s="137" t="s">
        <v>25</v>
      </c>
      <c r="S292" s="129"/>
      <c r="T292" s="137" t="s">
        <v>4819</v>
      </c>
      <c r="U292" s="143"/>
      <c r="V292" s="143"/>
      <c r="W292" s="143"/>
      <c r="X292" s="143" t="s">
        <v>87</v>
      </c>
    </row>
    <row r="293" spans="1:24" ht="26.25" hidden="1" customHeight="1">
      <c r="A293" s="17">
        <f t="shared" si="1"/>
        <v>290</v>
      </c>
      <c r="B293" s="18" t="s">
        <v>81</v>
      </c>
      <c r="C293" s="31" t="s">
        <v>557</v>
      </c>
      <c r="D293" s="19" t="s">
        <v>141</v>
      </c>
      <c r="E293" s="20" t="s">
        <v>559</v>
      </c>
      <c r="F293" s="32" t="s">
        <v>1865</v>
      </c>
      <c r="G293" s="33" t="s">
        <v>42</v>
      </c>
      <c r="H293" s="23" t="s">
        <v>1866</v>
      </c>
      <c r="I293" s="24" t="s">
        <v>55</v>
      </c>
      <c r="J293" s="1" t="str">
        <f t="shared" si="0"/>
        <v/>
      </c>
      <c r="K293" s="1"/>
      <c r="L293" s="1"/>
      <c r="M293" s="145">
        <v>20</v>
      </c>
      <c r="N293" s="137" t="s">
        <v>4617</v>
      </c>
      <c r="O293" s="137" t="s">
        <v>4820</v>
      </c>
      <c r="P293" s="137" t="s">
        <v>4821</v>
      </c>
      <c r="Q293" s="137" t="s">
        <v>3857</v>
      </c>
      <c r="R293" s="137" t="s">
        <v>36</v>
      </c>
      <c r="S293" s="129"/>
      <c r="T293" s="137" t="s">
        <v>4822</v>
      </c>
      <c r="U293" s="143"/>
      <c r="V293" s="143"/>
      <c r="W293" s="143"/>
      <c r="X293" s="143" t="s">
        <v>87</v>
      </c>
    </row>
    <row r="294" spans="1:24" ht="26.25" hidden="1" customHeight="1">
      <c r="A294" s="17">
        <f t="shared" si="1"/>
        <v>291</v>
      </c>
      <c r="B294" s="18" t="s">
        <v>105</v>
      </c>
      <c r="C294" s="31" t="s">
        <v>1870</v>
      </c>
      <c r="D294" s="19" t="s">
        <v>124</v>
      </c>
      <c r="E294" s="20" t="s">
        <v>500</v>
      </c>
      <c r="F294" s="32" t="s">
        <v>1871</v>
      </c>
      <c r="G294" s="33" t="s">
        <v>350</v>
      </c>
      <c r="H294" s="23" t="s">
        <v>1872</v>
      </c>
      <c r="I294" s="24" t="s">
        <v>55</v>
      </c>
      <c r="J294" s="1" t="str">
        <f t="shared" si="0"/>
        <v/>
      </c>
      <c r="K294" s="1"/>
      <c r="L294" s="1"/>
      <c r="M294" s="145">
        <v>21</v>
      </c>
      <c r="N294" s="137" t="s">
        <v>4617</v>
      </c>
      <c r="O294" s="137" t="s">
        <v>4823</v>
      </c>
      <c r="P294" s="137" t="s">
        <v>4824</v>
      </c>
      <c r="Q294" s="137" t="s">
        <v>3862</v>
      </c>
      <c r="R294" s="137" t="s">
        <v>36</v>
      </c>
      <c r="S294" s="129"/>
      <c r="T294" s="137" t="s">
        <v>4825</v>
      </c>
      <c r="U294" s="143"/>
      <c r="V294" s="143"/>
      <c r="W294" s="143"/>
      <c r="X294" s="143" t="s">
        <v>87</v>
      </c>
    </row>
    <row r="295" spans="1:24" ht="26.25" hidden="1" customHeight="1">
      <c r="A295" s="17">
        <f t="shared" si="1"/>
        <v>292</v>
      </c>
      <c r="B295" s="18" t="s">
        <v>105</v>
      </c>
      <c r="C295" s="31" t="s">
        <v>1876</v>
      </c>
      <c r="D295" s="19" t="s">
        <v>499</v>
      </c>
      <c r="E295" s="20" t="s">
        <v>1877</v>
      </c>
      <c r="F295" s="32">
        <v>2017</v>
      </c>
      <c r="G295" s="33" t="s">
        <v>1086</v>
      </c>
      <c r="H295" s="23" t="s">
        <v>1878</v>
      </c>
      <c r="I295" s="24" t="s">
        <v>55</v>
      </c>
      <c r="J295" s="1" t="str">
        <f t="shared" si="0"/>
        <v/>
      </c>
      <c r="K295" s="1"/>
      <c r="L295" s="1"/>
      <c r="M295" s="145">
        <v>22</v>
      </c>
      <c r="N295" s="137" t="s">
        <v>4617</v>
      </c>
      <c r="O295" s="137" t="s">
        <v>4826</v>
      </c>
      <c r="P295" s="137" t="s">
        <v>4827</v>
      </c>
      <c r="Q295" s="137" t="s">
        <v>3870</v>
      </c>
      <c r="R295" s="137" t="s">
        <v>36</v>
      </c>
      <c r="S295" s="129"/>
      <c r="T295" s="137" t="s">
        <v>4828</v>
      </c>
      <c r="U295" s="143"/>
      <c r="V295" s="143"/>
      <c r="W295" s="143"/>
      <c r="X295" s="143" t="s">
        <v>87</v>
      </c>
    </row>
    <row r="296" spans="1:24" ht="26.25" hidden="1" customHeight="1">
      <c r="A296" s="17">
        <f t="shared" si="1"/>
        <v>293</v>
      </c>
      <c r="B296" s="18" t="s">
        <v>132</v>
      </c>
      <c r="C296" s="31" t="s">
        <v>1882</v>
      </c>
      <c r="D296" s="19" t="s">
        <v>1776</v>
      </c>
      <c r="E296" s="20" t="s">
        <v>1883</v>
      </c>
      <c r="F296" s="32" t="s">
        <v>222</v>
      </c>
      <c r="G296" s="22" t="s">
        <v>42</v>
      </c>
      <c r="H296" s="23" t="s">
        <v>1884</v>
      </c>
      <c r="I296" s="24" t="s">
        <v>55</v>
      </c>
      <c r="J296" s="1" t="str">
        <f t="shared" si="0"/>
        <v/>
      </c>
      <c r="K296" s="1"/>
      <c r="L296" s="1"/>
      <c r="M296" s="145">
        <v>23</v>
      </c>
      <c r="N296" s="137" t="s">
        <v>4617</v>
      </c>
      <c r="O296" s="137" t="s">
        <v>4829</v>
      </c>
      <c r="P296" s="137" t="s">
        <v>4830</v>
      </c>
      <c r="Q296" s="137" t="s">
        <v>117</v>
      </c>
      <c r="R296" s="137" t="s">
        <v>1614</v>
      </c>
      <c r="S296" s="129"/>
      <c r="T296" s="137" t="s">
        <v>4831</v>
      </c>
      <c r="U296" s="143"/>
      <c r="V296" s="143"/>
      <c r="W296" s="143"/>
      <c r="X296" s="143" t="s">
        <v>87</v>
      </c>
    </row>
    <row r="297" spans="1:24" ht="26.25" hidden="1" customHeight="1">
      <c r="A297" s="17">
        <f t="shared" si="1"/>
        <v>294</v>
      </c>
      <c r="B297" s="18" t="s">
        <v>248</v>
      </c>
      <c r="C297" s="31" t="s">
        <v>1887</v>
      </c>
      <c r="D297" s="19" t="s">
        <v>124</v>
      </c>
      <c r="E297" s="20" t="s">
        <v>1888</v>
      </c>
      <c r="F297" s="32" t="s">
        <v>1889</v>
      </c>
      <c r="G297" s="33" t="s">
        <v>42</v>
      </c>
      <c r="H297" s="23" t="s">
        <v>1890</v>
      </c>
      <c r="I297" s="24" t="s">
        <v>55</v>
      </c>
      <c r="J297" s="1" t="str">
        <f t="shared" si="0"/>
        <v/>
      </c>
      <c r="K297" s="1"/>
      <c r="L297" s="1"/>
      <c r="M297" s="145">
        <v>24</v>
      </c>
      <c r="N297" s="137" t="s">
        <v>4617</v>
      </c>
      <c r="O297" s="137" t="s">
        <v>672</v>
      </c>
      <c r="P297" s="137" t="s">
        <v>4827</v>
      </c>
      <c r="Q297" s="137" t="s">
        <v>674</v>
      </c>
      <c r="R297" s="137" t="s">
        <v>36</v>
      </c>
      <c r="S297" s="129"/>
      <c r="T297" s="137" t="s">
        <v>4832</v>
      </c>
      <c r="U297" s="143"/>
      <c r="V297" s="143"/>
      <c r="W297" s="143"/>
      <c r="X297" s="143" t="s">
        <v>87</v>
      </c>
    </row>
    <row r="298" spans="1:24" ht="26.25" customHeight="1">
      <c r="A298" s="17">
        <f t="shared" si="1"/>
        <v>295</v>
      </c>
      <c r="B298" s="18" t="s">
        <v>248</v>
      </c>
      <c r="C298" s="19" t="s">
        <v>1891</v>
      </c>
      <c r="D298" s="19" t="s">
        <v>1789</v>
      </c>
      <c r="E298" s="20" t="s">
        <v>1892</v>
      </c>
      <c r="F298" s="21" t="s">
        <v>135</v>
      </c>
      <c r="G298" s="33" t="s">
        <v>1893</v>
      </c>
      <c r="H298" s="23" t="s">
        <v>1894</v>
      </c>
      <c r="I298" s="24" t="s">
        <v>20</v>
      </c>
      <c r="J298" s="1" t="str">
        <f t="shared" si="0"/>
        <v>FRIC</v>
      </c>
      <c r="K298" s="1"/>
      <c r="L298" s="1"/>
      <c r="M298" s="145">
        <v>25</v>
      </c>
      <c r="N298" s="137" t="s">
        <v>4617</v>
      </c>
      <c r="O298" s="137" t="s">
        <v>874</v>
      </c>
      <c r="P298" s="137" t="s">
        <v>4827</v>
      </c>
      <c r="Q298" s="137" t="s">
        <v>875</v>
      </c>
      <c r="R298" s="137" t="s">
        <v>36</v>
      </c>
      <c r="S298" s="129"/>
      <c r="T298" s="137" t="s">
        <v>4832</v>
      </c>
      <c r="U298" s="143"/>
      <c r="V298" s="143"/>
      <c r="W298" s="143"/>
      <c r="X298" s="143" t="s">
        <v>87</v>
      </c>
    </row>
    <row r="299" spans="1:24" ht="26.25" customHeight="1">
      <c r="A299" s="17">
        <f t="shared" si="1"/>
        <v>296</v>
      </c>
      <c r="B299" s="18" t="s">
        <v>233</v>
      </c>
      <c r="C299" s="19" t="s">
        <v>1895</v>
      </c>
      <c r="D299" s="19" t="s">
        <v>112</v>
      </c>
      <c r="E299" s="20" t="s">
        <v>1896</v>
      </c>
      <c r="F299" s="21" t="s">
        <v>135</v>
      </c>
      <c r="G299" s="22" t="s">
        <v>42</v>
      </c>
      <c r="H299" s="23" t="s">
        <v>1897</v>
      </c>
      <c r="I299" s="24" t="s">
        <v>20</v>
      </c>
      <c r="J299" s="1" t="str">
        <f t="shared" si="0"/>
        <v>FRIC</v>
      </c>
      <c r="K299" s="1"/>
      <c r="L299" s="1"/>
      <c r="M299" s="145">
        <v>26</v>
      </c>
      <c r="N299" s="137" t="s">
        <v>4617</v>
      </c>
      <c r="O299" s="137" t="s">
        <v>4833</v>
      </c>
      <c r="P299" s="137" t="s">
        <v>4834</v>
      </c>
      <c r="Q299" s="137" t="s">
        <v>1924</v>
      </c>
      <c r="R299" s="137" t="s">
        <v>4835</v>
      </c>
      <c r="S299" s="137" t="s">
        <v>4836</v>
      </c>
      <c r="T299" s="137" t="s">
        <v>4837</v>
      </c>
      <c r="U299" s="143"/>
      <c r="V299" s="143"/>
      <c r="W299" s="143"/>
      <c r="X299" s="143" t="s">
        <v>87</v>
      </c>
    </row>
    <row r="300" spans="1:24" ht="26.25" customHeight="1">
      <c r="A300" s="17">
        <f t="shared" si="1"/>
        <v>297</v>
      </c>
      <c r="B300" s="18" t="s">
        <v>132</v>
      </c>
      <c r="C300" s="19" t="s">
        <v>1898</v>
      </c>
      <c r="D300" s="19" t="s">
        <v>1789</v>
      </c>
      <c r="E300" s="20" t="s">
        <v>1899</v>
      </c>
      <c r="F300" s="21" t="s">
        <v>135</v>
      </c>
      <c r="G300" s="22" t="s">
        <v>31</v>
      </c>
      <c r="H300" s="23" t="s">
        <v>1900</v>
      </c>
      <c r="I300" s="24" t="s">
        <v>20</v>
      </c>
      <c r="J300" s="1" t="str">
        <f t="shared" si="0"/>
        <v>FRIC</v>
      </c>
      <c r="K300" s="1"/>
      <c r="L300" s="1"/>
      <c r="M300" s="145">
        <v>27</v>
      </c>
      <c r="N300" s="137" t="s">
        <v>4617</v>
      </c>
      <c r="O300" s="137" t="s">
        <v>4838</v>
      </c>
      <c r="P300" s="137" t="s">
        <v>4834</v>
      </c>
      <c r="Q300" s="137" t="s">
        <v>461</v>
      </c>
      <c r="R300" s="137" t="s">
        <v>36</v>
      </c>
      <c r="S300" s="129"/>
      <c r="T300" s="137" t="s">
        <v>4839</v>
      </c>
      <c r="U300" s="143"/>
      <c r="V300" s="143"/>
      <c r="W300" s="143"/>
      <c r="X300" s="143" t="s">
        <v>87</v>
      </c>
    </row>
    <row r="301" spans="1:24" ht="26.25" customHeight="1">
      <c r="A301" s="17">
        <f t="shared" si="1"/>
        <v>298</v>
      </c>
      <c r="B301" s="18" t="s">
        <v>13</v>
      </c>
      <c r="C301" s="19" t="s">
        <v>1901</v>
      </c>
      <c r="D301" s="19" t="s">
        <v>124</v>
      </c>
      <c r="E301" s="20" t="s">
        <v>1902</v>
      </c>
      <c r="F301" s="21" t="s">
        <v>293</v>
      </c>
      <c r="G301" s="22" t="s">
        <v>42</v>
      </c>
      <c r="H301" s="23" t="s">
        <v>1903</v>
      </c>
      <c r="I301" s="24" t="s">
        <v>20</v>
      </c>
      <c r="J301" s="1" t="str">
        <f t="shared" si="0"/>
        <v>FRIC</v>
      </c>
      <c r="K301" s="1"/>
      <c r="L301" s="1"/>
      <c r="M301" s="145">
        <v>28</v>
      </c>
      <c r="N301" s="137" t="s">
        <v>4617</v>
      </c>
      <c r="O301" s="137" t="s">
        <v>4840</v>
      </c>
      <c r="P301" s="137" t="s">
        <v>4841</v>
      </c>
      <c r="Q301" s="137" t="s">
        <v>3387</v>
      </c>
      <c r="R301" s="137" t="s">
        <v>25</v>
      </c>
      <c r="S301" s="129"/>
      <c r="T301" s="137" t="s">
        <v>4842</v>
      </c>
      <c r="U301" s="143"/>
      <c r="V301" s="143"/>
      <c r="W301" s="143"/>
      <c r="X301" s="143" t="s">
        <v>87</v>
      </c>
    </row>
    <row r="302" spans="1:24" ht="26.25" customHeight="1">
      <c r="A302" s="17">
        <f t="shared" si="1"/>
        <v>299</v>
      </c>
      <c r="B302" s="18" t="s">
        <v>1197</v>
      </c>
      <c r="C302" s="19" t="s">
        <v>1904</v>
      </c>
      <c r="D302" s="19" t="s">
        <v>499</v>
      </c>
      <c r="E302" s="20" t="s">
        <v>1905</v>
      </c>
      <c r="F302" s="21" t="s">
        <v>905</v>
      </c>
      <c r="G302" s="33" t="s">
        <v>42</v>
      </c>
      <c r="H302" s="23" t="s">
        <v>1906</v>
      </c>
      <c r="I302" s="24" t="s">
        <v>20</v>
      </c>
      <c r="J302" s="1" t="str">
        <f t="shared" si="0"/>
        <v>FRIC</v>
      </c>
      <c r="K302" s="1"/>
      <c r="L302" s="1"/>
      <c r="M302" s="145">
        <v>29</v>
      </c>
      <c r="N302" s="137" t="s">
        <v>4617</v>
      </c>
      <c r="O302" s="137" t="s">
        <v>2471</v>
      </c>
      <c r="P302" s="137" t="s">
        <v>4843</v>
      </c>
      <c r="Q302" s="137" t="s">
        <v>2473</v>
      </c>
      <c r="R302" s="137" t="s">
        <v>36</v>
      </c>
      <c r="S302" s="129"/>
      <c r="T302" s="137" t="s">
        <v>4844</v>
      </c>
      <c r="U302" s="143"/>
      <c r="V302" s="143"/>
      <c r="W302" s="143"/>
      <c r="X302" s="143" t="s">
        <v>87</v>
      </c>
    </row>
    <row r="303" spans="1:24" ht="26.25" customHeight="1">
      <c r="A303" s="17">
        <f t="shared" si="1"/>
        <v>300</v>
      </c>
      <c r="B303" s="18" t="s">
        <v>37</v>
      </c>
      <c r="C303" s="19" t="s">
        <v>1907</v>
      </c>
      <c r="D303" s="19" t="s">
        <v>124</v>
      </c>
      <c r="E303" s="20" t="s">
        <v>1908</v>
      </c>
      <c r="F303" s="21" t="s">
        <v>1909</v>
      </c>
      <c r="G303" s="22" t="s">
        <v>42</v>
      </c>
      <c r="H303" s="23" t="s">
        <v>1910</v>
      </c>
      <c r="I303" s="24" t="s">
        <v>20</v>
      </c>
      <c r="J303" s="1" t="str">
        <f t="shared" si="0"/>
        <v>FRIC</v>
      </c>
      <c r="K303" s="1"/>
      <c r="L303" s="1"/>
      <c r="M303" s="145">
        <v>30</v>
      </c>
      <c r="N303" s="137" t="s">
        <v>4617</v>
      </c>
      <c r="O303" s="137" t="s">
        <v>4845</v>
      </c>
      <c r="P303" s="137" t="s">
        <v>4846</v>
      </c>
      <c r="Q303" s="137" t="s">
        <v>3560</v>
      </c>
      <c r="R303" s="137" t="s">
        <v>36</v>
      </c>
      <c r="S303" s="129"/>
      <c r="T303" s="137" t="s">
        <v>4847</v>
      </c>
      <c r="U303" s="143"/>
      <c r="V303" s="143"/>
      <c r="W303" s="143"/>
      <c r="X303" s="143" t="s">
        <v>87</v>
      </c>
    </row>
    <row r="304" spans="1:24" ht="26.25" hidden="1" customHeight="1">
      <c r="A304" s="17">
        <f t="shared" si="1"/>
        <v>301</v>
      </c>
      <c r="B304" s="18" t="s">
        <v>1375</v>
      </c>
      <c r="C304" s="31" t="s">
        <v>1911</v>
      </c>
      <c r="D304" s="19" t="s">
        <v>1068</v>
      </c>
      <c r="E304" s="20" t="s">
        <v>1912</v>
      </c>
      <c r="F304" s="32" t="s">
        <v>1913</v>
      </c>
      <c r="G304" s="22" t="s">
        <v>1086</v>
      </c>
      <c r="H304" s="23" t="s">
        <v>1914</v>
      </c>
      <c r="I304" s="24" t="s">
        <v>55</v>
      </c>
      <c r="J304" s="1" t="str">
        <f t="shared" si="0"/>
        <v/>
      </c>
      <c r="K304" s="1"/>
      <c r="L304" s="1"/>
      <c r="M304" s="145">
        <v>31</v>
      </c>
      <c r="N304" s="137" t="s">
        <v>4617</v>
      </c>
      <c r="O304" s="137" t="s">
        <v>4848</v>
      </c>
      <c r="P304" s="137" t="s">
        <v>4849</v>
      </c>
      <c r="Q304" s="137" t="s">
        <v>3577</v>
      </c>
      <c r="R304" s="137" t="s">
        <v>36</v>
      </c>
      <c r="S304" s="129"/>
      <c r="T304" s="137" t="s">
        <v>4850</v>
      </c>
      <c r="U304" s="143"/>
      <c r="V304" s="143"/>
      <c r="W304" s="143"/>
      <c r="X304" s="143" t="s">
        <v>87</v>
      </c>
    </row>
    <row r="305" spans="1:24" ht="26.25" customHeight="1">
      <c r="A305" s="17">
        <f t="shared" si="1"/>
        <v>302</v>
      </c>
      <c r="B305" s="18" t="s">
        <v>81</v>
      </c>
      <c r="C305" s="19" t="s">
        <v>1915</v>
      </c>
      <c r="D305" s="19" t="s">
        <v>124</v>
      </c>
      <c r="E305" s="20" t="s">
        <v>1916</v>
      </c>
      <c r="F305" s="21" t="s">
        <v>135</v>
      </c>
      <c r="G305" s="33" t="s">
        <v>42</v>
      </c>
      <c r="H305" s="23" t="s">
        <v>1917</v>
      </c>
      <c r="I305" s="24" t="s">
        <v>20</v>
      </c>
      <c r="J305" s="1" t="str">
        <f t="shared" si="0"/>
        <v>FRIC</v>
      </c>
      <c r="K305" s="1"/>
      <c r="L305" s="1"/>
      <c r="M305" s="145">
        <v>32</v>
      </c>
      <c r="N305" s="137" t="s">
        <v>4617</v>
      </c>
      <c r="O305" s="137" t="s">
        <v>4851</v>
      </c>
      <c r="P305" s="137" t="s">
        <v>4852</v>
      </c>
      <c r="Q305" s="137" t="s">
        <v>1784</v>
      </c>
      <c r="R305" s="137" t="s">
        <v>36</v>
      </c>
      <c r="S305" s="129"/>
      <c r="T305" s="137" t="s">
        <v>4853</v>
      </c>
      <c r="U305" s="143"/>
      <c r="V305" s="143"/>
      <c r="W305" s="143"/>
      <c r="X305" s="143" t="s">
        <v>87</v>
      </c>
    </row>
    <row r="306" spans="1:24" ht="26.25" hidden="1" customHeight="1">
      <c r="A306" s="17">
        <f t="shared" si="1"/>
        <v>303</v>
      </c>
      <c r="B306" s="18" t="s">
        <v>105</v>
      </c>
      <c r="C306" s="31" t="s">
        <v>1918</v>
      </c>
      <c r="D306" s="19" t="s">
        <v>1919</v>
      </c>
      <c r="E306" s="20" t="s">
        <v>1920</v>
      </c>
      <c r="F306" s="32" t="s">
        <v>1921</v>
      </c>
      <c r="G306" s="33" t="s">
        <v>42</v>
      </c>
      <c r="H306" s="23" t="s">
        <v>1922</v>
      </c>
      <c r="I306" s="24" t="s">
        <v>55</v>
      </c>
      <c r="J306" s="1" t="str">
        <f t="shared" si="0"/>
        <v/>
      </c>
      <c r="K306" s="1"/>
      <c r="L306" s="1"/>
      <c r="M306" s="145">
        <v>33</v>
      </c>
      <c r="N306" s="137" t="s">
        <v>4337</v>
      </c>
      <c r="O306" s="137" t="s">
        <v>82</v>
      </c>
      <c r="P306" s="137" t="s">
        <v>1441</v>
      </c>
      <c r="Q306" s="137" t="s">
        <v>84</v>
      </c>
      <c r="R306" s="145">
        <v>4</v>
      </c>
      <c r="S306" s="129"/>
      <c r="T306" s="137" t="s">
        <v>4854</v>
      </c>
      <c r="U306" s="143"/>
      <c r="V306" s="143"/>
      <c r="W306" s="143"/>
      <c r="X306" s="143" t="s">
        <v>87</v>
      </c>
    </row>
    <row r="307" spans="1:24" ht="26.25" hidden="1" customHeight="1">
      <c r="A307" s="17">
        <f t="shared" si="1"/>
        <v>304</v>
      </c>
      <c r="B307" s="18" t="s">
        <v>248</v>
      </c>
      <c r="C307" s="31" t="s">
        <v>1923</v>
      </c>
      <c r="D307" s="19" t="s">
        <v>1338</v>
      </c>
      <c r="E307" s="20" t="s">
        <v>1924</v>
      </c>
      <c r="F307" s="21" t="s">
        <v>1925</v>
      </c>
      <c r="G307" s="33" t="s">
        <v>31</v>
      </c>
      <c r="H307" s="23" t="s">
        <v>1926</v>
      </c>
      <c r="I307" s="34" t="s">
        <v>20</v>
      </c>
      <c r="J307" s="1" t="str">
        <f t="shared" si="0"/>
        <v>과기</v>
      </c>
      <c r="K307" s="25"/>
      <c r="L307" s="25"/>
      <c r="M307" s="146">
        <v>34</v>
      </c>
      <c r="N307" s="139" t="s">
        <v>4337</v>
      </c>
      <c r="O307" s="139" t="s">
        <v>4855</v>
      </c>
      <c r="P307" s="139" t="s">
        <v>255</v>
      </c>
      <c r="Q307" s="139" t="s">
        <v>228</v>
      </c>
      <c r="R307" s="146">
        <v>12</v>
      </c>
      <c r="S307" s="139" t="s">
        <v>4347</v>
      </c>
      <c r="T307" s="139" t="s">
        <v>4856</v>
      </c>
      <c r="U307" s="147"/>
      <c r="V307" s="147"/>
      <c r="W307" s="147"/>
      <c r="X307" s="147" t="s">
        <v>87</v>
      </c>
    </row>
    <row r="308" spans="1:24" ht="26.25" hidden="1" customHeight="1">
      <c r="A308" s="17">
        <f t="shared" si="1"/>
        <v>305</v>
      </c>
      <c r="B308" s="18" t="s">
        <v>175</v>
      </c>
      <c r="C308" s="31" t="s">
        <v>1927</v>
      </c>
      <c r="D308" s="19" t="s">
        <v>1928</v>
      </c>
      <c r="E308" s="20" t="s">
        <v>1929</v>
      </c>
      <c r="F308" s="32" t="s">
        <v>1930</v>
      </c>
      <c r="G308" s="33" t="s">
        <v>63</v>
      </c>
      <c r="H308" s="23" t="s">
        <v>1931</v>
      </c>
      <c r="I308" s="24" t="s">
        <v>55</v>
      </c>
      <c r="J308" s="1" t="str">
        <f t="shared" si="0"/>
        <v/>
      </c>
      <c r="K308" s="1"/>
      <c r="L308" s="1"/>
      <c r="M308" s="145">
        <v>35</v>
      </c>
      <c r="N308" s="137" t="s">
        <v>4337</v>
      </c>
      <c r="O308" s="137" t="s">
        <v>234</v>
      </c>
      <c r="P308" s="137" t="s">
        <v>235</v>
      </c>
      <c r="Q308" s="137" t="s">
        <v>236</v>
      </c>
      <c r="R308" s="145">
        <v>12</v>
      </c>
      <c r="S308" s="129"/>
      <c r="T308" s="137" t="s">
        <v>4857</v>
      </c>
      <c r="U308" s="143"/>
      <c r="V308" s="143"/>
      <c r="W308" s="143"/>
      <c r="X308" s="143" t="s">
        <v>87</v>
      </c>
    </row>
    <row r="309" spans="1:24" ht="26.25" hidden="1" customHeight="1">
      <c r="A309" s="17">
        <f t="shared" si="1"/>
        <v>306</v>
      </c>
      <c r="B309" s="64" t="s">
        <v>37</v>
      </c>
      <c r="C309" s="85" t="s">
        <v>1932</v>
      </c>
      <c r="D309" s="19" t="s">
        <v>965</v>
      </c>
      <c r="E309" s="20" t="s">
        <v>966</v>
      </c>
      <c r="F309" s="32" t="s">
        <v>1033</v>
      </c>
      <c r="G309" s="22" t="s">
        <v>31</v>
      </c>
      <c r="H309" s="23" t="s">
        <v>1933</v>
      </c>
      <c r="I309" s="24" t="s">
        <v>55</v>
      </c>
      <c r="J309" s="1" t="str">
        <f t="shared" si="0"/>
        <v/>
      </c>
      <c r="K309" s="1"/>
      <c r="L309" s="1"/>
      <c r="M309" s="145">
        <v>36</v>
      </c>
      <c r="N309" s="137" t="s">
        <v>4337</v>
      </c>
      <c r="O309" s="137" t="s">
        <v>4858</v>
      </c>
      <c r="P309" s="137" t="s">
        <v>4859</v>
      </c>
      <c r="Q309" s="137" t="s">
        <v>292</v>
      </c>
      <c r="R309" s="145">
        <v>4</v>
      </c>
      <c r="S309" s="129"/>
      <c r="T309" s="137" t="s">
        <v>4801</v>
      </c>
      <c r="U309" s="143"/>
      <c r="V309" s="143"/>
      <c r="W309" s="143"/>
      <c r="X309" s="143" t="s">
        <v>87</v>
      </c>
    </row>
    <row r="310" spans="1:24" ht="26.25" hidden="1" customHeight="1">
      <c r="A310" s="17">
        <f t="shared" si="1"/>
        <v>307</v>
      </c>
      <c r="B310" s="86" t="s">
        <v>27</v>
      </c>
      <c r="C310" s="31" t="s">
        <v>1934</v>
      </c>
      <c r="D310" s="66" t="s">
        <v>1935</v>
      </c>
      <c r="E310" s="20" t="s">
        <v>530</v>
      </c>
      <c r="F310" s="32" t="s">
        <v>918</v>
      </c>
      <c r="G310" s="22" t="s">
        <v>53</v>
      </c>
      <c r="H310" s="23" t="s">
        <v>1936</v>
      </c>
      <c r="I310" s="24" t="s">
        <v>55</v>
      </c>
      <c r="J310" s="1" t="str">
        <f t="shared" si="0"/>
        <v/>
      </c>
      <c r="K310" s="1"/>
      <c r="L310" s="1"/>
      <c r="M310" s="145">
        <v>37</v>
      </c>
      <c r="N310" s="137" t="s">
        <v>4337</v>
      </c>
      <c r="O310" s="137" t="s">
        <v>323</v>
      </c>
      <c r="P310" s="137" t="s">
        <v>324</v>
      </c>
      <c r="Q310" s="137" t="s">
        <v>325</v>
      </c>
      <c r="R310" s="145">
        <v>12</v>
      </c>
      <c r="S310" s="129"/>
      <c r="T310" s="137" t="s">
        <v>4860</v>
      </c>
      <c r="U310" s="143"/>
      <c r="V310" s="143"/>
      <c r="W310" s="143"/>
      <c r="X310" s="143" t="s">
        <v>87</v>
      </c>
    </row>
    <row r="311" spans="1:24" ht="26.25" hidden="1" customHeight="1">
      <c r="A311" s="17">
        <f t="shared" si="1"/>
        <v>308</v>
      </c>
      <c r="B311" s="86" t="s">
        <v>1197</v>
      </c>
      <c r="C311" s="31" t="s">
        <v>1937</v>
      </c>
      <c r="D311" s="66" t="s">
        <v>89</v>
      </c>
      <c r="E311" s="20" t="s">
        <v>90</v>
      </c>
      <c r="F311" s="32" t="s">
        <v>1938</v>
      </c>
      <c r="G311" s="33" t="s">
        <v>31</v>
      </c>
      <c r="H311" s="23" t="s">
        <v>1939</v>
      </c>
      <c r="I311" s="24" t="s">
        <v>55</v>
      </c>
      <c r="J311" s="1" t="str">
        <f t="shared" si="0"/>
        <v/>
      </c>
      <c r="K311" s="1"/>
      <c r="L311" s="1"/>
      <c r="M311" s="145">
        <v>38</v>
      </c>
      <c r="N311" s="137" t="s">
        <v>4337</v>
      </c>
      <c r="O311" s="137" t="s">
        <v>4861</v>
      </c>
      <c r="P311" s="137" t="s">
        <v>361</v>
      </c>
      <c r="Q311" s="137" t="s">
        <v>3307</v>
      </c>
      <c r="R311" s="145">
        <v>10</v>
      </c>
      <c r="S311" s="129"/>
      <c r="T311" s="137" t="s">
        <v>4862</v>
      </c>
      <c r="U311" s="143"/>
      <c r="V311" s="143"/>
      <c r="W311" s="143"/>
      <c r="X311" s="143" t="s">
        <v>87</v>
      </c>
    </row>
    <row r="312" spans="1:24" ht="26.25" customHeight="1">
      <c r="A312" s="17">
        <f t="shared" si="1"/>
        <v>309</v>
      </c>
      <c r="B312" s="18" t="s">
        <v>37</v>
      </c>
      <c r="C312" s="87" t="s">
        <v>1940</v>
      </c>
      <c r="D312" s="19" t="s">
        <v>277</v>
      </c>
      <c r="E312" s="20" t="s">
        <v>1941</v>
      </c>
      <c r="F312" s="21" t="s">
        <v>1942</v>
      </c>
      <c r="G312" s="22" t="s">
        <v>42</v>
      </c>
      <c r="H312" s="23" t="s">
        <v>1943</v>
      </c>
      <c r="I312" s="24" t="s">
        <v>20</v>
      </c>
      <c r="J312" s="1" t="str">
        <f t="shared" si="0"/>
        <v>FRIC</v>
      </c>
      <c r="K312" s="1"/>
      <c r="L312" s="1"/>
      <c r="M312" s="145">
        <v>39</v>
      </c>
      <c r="N312" s="137" t="s">
        <v>4337</v>
      </c>
      <c r="O312" s="137" t="s">
        <v>4863</v>
      </c>
      <c r="P312" s="137" t="s">
        <v>3046</v>
      </c>
      <c r="Q312" s="137" t="s">
        <v>3311</v>
      </c>
      <c r="R312" s="145">
        <v>8</v>
      </c>
      <c r="S312" s="137" t="s">
        <v>4347</v>
      </c>
      <c r="T312" s="137" t="s">
        <v>4864</v>
      </c>
      <c r="U312" s="143"/>
      <c r="V312" s="143"/>
      <c r="W312" s="143"/>
      <c r="X312" s="143" t="s">
        <v>87</v>
      </c>
    </row>
    <row r="313" spans="1:24" ht="26.25" hidden="1" customHeight="1">
      <c r="A313" s="17">
        <f t="shared" si="1"/>
        <v>310</v>
      </c>
      <c r="B313" s="18" t="s">
        <v>37</v>
      </c>
      <c r="C313" s="31" t="s">
        <v>1944</v>
      </c>
      <c r="D313" s="19" t="s">
        <v>1945</v>
      </c>
      <c r="E313" s="20" t="s">
        <v>1946</v>
      </c>
      <c r="F313" s="32" t="s">
        <v>1947</v>
      </c>
      <c r="G313" s="22" t="s">
        <v>42</v>
      </c>
      <c r="H313" s="23" t="s">
        <v>1948</v>
      </c>
      <c r="I313" s="24" t="s">
        <v>55</v>
      </c>
      <c r="J313" s="1" t="str">
        <f t="shared" si="0"/>
        <v/>
      </c>
      <c r="K313" s="1"/>
      <c r="L313" s="1"/>
      <c r="M313" s="145">
        <v>40</v>
      </c>
      <c r="N313" s="137" t="s">
        <v>4337</v>
      </c>
      <c r="O313" s="137" t="s">
        <v>380</v>
      </c>
      <c r="P313" s="137" t="s">
        <v>4865</v>
      </c>
      <c r="Q313" s="137" t="s">
        <v>382</v>
      </c>
      <c r="R313" s="145">
        <v>6</v>
      </c>
      <c r="S313" s="137" t="s">
        <v>4347</v>
      </c>
      <c r="T313" s="137" t="s">
        <v>4866</v>
      </c>
      <c r="U313" s="143"/>
      <c r="V313" s="143"/>
      <c r="W313" s="143"/>
      <c r="X313" s="143" t="s">
        <v>87</v>
      </c>
    </row>
    <row r="314" spans="1:24" ht="26.25" hidden="1" customHeight="1">
      <c r="A314" s="17">
        <f t="shared" si="1"/>
        <v>311</v>
      </c>
      <c r="B314" s="18" t="s">
        <v>105</v>
      </c>
      <c r="C314" s="31" t="s">
        <v>1949</v>
      </c>
      <c r="D314" s="19" t="s">
        <v>1950</v>
      </c>
      <c r="E314" s="20" t="s">
        <v>1951</v>
      </c>
      <c r="F314" s="32" t="s">
        <v>1952</v>
      </c>
      <c r="G314" s="33" t="s">
        <v>42</v>
      </c>
      <c r="H314" s="23" t="s">
        <v>1953</v>
      </c>
      <c r="I314" s="24" t="s">
        <v>55</v>
      </c>
      <c r="J314" s="1" t="str">
        <f t="shared" si="0"/>
        <v/>
      </c>
      <c r="K314" s="1"/>
      <c r="L314" s="1"/>
      <c r="M314" s="145">
        <v>41</v>
      </c>
      <c r="N314" s="137" t="s">
        <v>4337</v>
      </c>
      <c r="O314" s="137" t="s">
        <v>4867</v>
      </c>
      <c r="P314" s="137" t="s">
        <v>3206</v>
      </c>
      <c r="Q314" s="137" t="s">
        <v>3315</v>
      </c>
      <c r="R314" s="145">
        <v>6</v>
      </c>
      <c r="S314" s="137" t="s">
        <v>4347</v>
      </c>
      <c r="T314" s="137" t="s">
        <v>4868</v>
      </c>
      <c r="U314" s="143"/>
      <c r="V314" s="143"/>
      <c r="W314" s="143"/>
      <c r="X314" s="143" t="s">
        <v>87</v>
      </c>
    </row>
    <row r="315" spans="1:24" ht="26.25" hidden="1" customHeight="1">
      <c r="A315" s="17">
        <f t="shared" si="1"/>
        <v>312</v>
      </c>
      <c r="B315" s="18" t="s">
        <v>867</v>
      </c>
      <c r="C315" s="31" t="s">
        <v>1954</v>
      </c>
      <c r="D315" s="19" t="s">
        <v>1955</v>
      </c>
      <c r="E315" s="20" t="s">
        <v>1956</v>
      </c>
      <c r="F315" s="32" t="s">
        <v>1957</v>
      </c>
      <c r="G315" s="33" t="s">
        <v>42</v>
      </c>
      <c r="H315" s="23" t="s">
        <v>1958</v>
      </c>
      <c r="I315" s="24" t="s">
        <v>55</v>
      </c>
      <c r="J315" s="1" t="str">
        <f t="shared" si="0"/>
        <v/>
      </c>
      <c r="K315" s="1"/>
      <c r="L315" s="1"/>
      <c r="M315" s="145">
        <v>42</v>
      </c>
      <c r="N315" s="137" t="s">
        <v>4337</v>
      </c>
      <c r="O315" s="137" t="s">
        <v>420</v>
      </c>
      <c r="P315" s="137" t="s">
        <v>394</v>
      </c>
      <c r="Q315" s="137" t="s">
        <v>421</v>
      </c>
      <c r="R315" s="145">
        <v>1</v>
      </c>
      <c r="S315" s="129"/>
      <c r="T315" s="137" t="s">
        <v>4869</v>
      </c>
      <c r="U315" s="143"/>
      <c r="V315" s="143"/>
      <c r="W315" s="143"/>
      <c r="X315" s="143" t="s">
        <v>87</v>
      </c>
    </row>
    <row r="316" spans="1:24" ht="26.25" hidden="1" customHeight="1">
      <c r="A316" s="17">
        <f t="shared" si="1"/>
        <v>313</v>
      </c>
      <c r="B316" s="18" t="s">
        <v>1368</v>
      </c>
      <c r="C316" s="31" t="s">
        <v>1959</v>
      </c>
      <c r="D316" s="19" t="s">
        <v>1754</v>
      </c>
      <c r="E316" s="20" t="s">
        <v>1072</v>
      </c>
      <c r="F316" s="32" t="s">
        <v>1960</v>
      </c>
      <c r="G316" s="33" t="s">
        <v>18</v>
      </c>
      <c r="H316" s="23" t="s">
        <v>1961</v>
      </c>
      <c r="I316" s="24" t="s">
        <v>55</v>
      </c>
      <c r="J316" s="1" t="str">
        <f t="shared" si="0"/>
        <v/>
      </c>
      <c r="K316" s="1"/>
      <c r="L316" s="1"/>
      <c r="M316" s="145">
        <v>43</v>
      </c>
      <c r="N316" s="137" t="s">
        <v>4337</v>
      </c>
      <c r="O316" s="137" t="s">
        <v>474</v>
      </c>
      <c r="P316" s="137" t="s">
        <v>255</v>
      </c>
      <c r="Q316" s="137" t="s">
        <v>475</v>
      </c>
      <c r="R316" s="145">
        <v>2</v>
      </c>
      <c r="S316" s="137" t="s">
        <v>4347</v>
      </c>
      <c r="T316" s="137" t="s">
        <v>4870</v>
      </c>
      <c r="U316" s="143"/>
      <c r="V316" s="143"/>
      <c r="W316" s="143"/>
      <c r="X316" s="143" t="s">
        <v>87</v>
      </c>
    </row>
    <row r="317" spans="1:24" ht="26.25" hidden="1" customHeight="1">
      <c r="A317" s="17">
        <f t="shared" si="1"/>
        <v>314</v>
      </c>
      <c r="B317" s="18" t="s">
        <v>1197</v>
      </c>
      <c r="C317" s="31" t="s">
        <v>1962</v>
      </c>
      <c r="D317" s="19" t="s">
        <v>1963</v>
      </c>
      <c r="E317" s="20" t="s">
        <v>1964</v>
      </c>
      <c r="F317" s="32" t="s">
        <v>1965</v>
      </c>
      <c r="G317" s="33" t="s">
        <v>53</v>
      </c>
      <c r="H317" s="23" t="s">
        <v>1966</v>
      </c>
      <c r="I317" s="24" t="s">
        <v>55</v>
      </c>
      <c r="J317" s="1" t="str">
        <f t="shared" si="0"/>
        <v/>
      </c>
      <c r="K317" s="1"/>
      <c r="L317" s="1"/>
      <c r="M317" s="145">
        <v>44</v>
      </c>
      <c r="N317" s="137" t="s">
        <v>4337</v>
      </c>
      <c r="O317" s="137" t="s">
        <v>4871</v>
      </c>
      <c r="P317" s="137" t="s">
        <v>4872</v>
      </c>
      <c r="Q317" s="137" t="s">
        <v>3320</v>
      </c>
      <c r="R317" s="145">
        <v>24</v>
      </c>
      <c r="S317" s="137" t="s">
        <v>4873</v>
      </c>
      <c r="T317" s="137" t="s">
        <v>4874</v>
      </c>
      <c r="U317" s="143"/>
      <c r="V317" s="143"/>
      <c r="W317" s="143"/>
      <c r="X317" s="143" t="s">
        <v>87</v>
      </c>
    </row>
    <row r="318" spans="1:24" ht="26.25" hidden="1" customHeight="1">
      <c r="A318" s="17">
        <f t="shared" si="1"/>
        <v>315</v>
      </c>
      <c r="B318" s="18" t="s">
        <v>81</v>
      </c>
      <c r="C318" s="31" t="s">
        <v>1967</v>
      </c>
      <c r="D318" s="19" t="s">
        <v>1968</v>
      </c>
      <c r="E318" s="20" t="s">
        <v>1969</v>
      </c>
      <c r="F318" s="21" t="s">
        <v>1970</v>
      </c>
      <c r="G318" s="33" t="s">
        <v>53</v>
      </c>
      <c r="H318" s="23" t="s">
        <v>1971</v>
      </c>
      <c r="I318" s="34" t="s">
        <v>20</v>
      </c>
      <c r="J318" s="1" t="str">
        <f t="shared" si="0"/>
        <v>과기</v>
      </c>
      <c r="K318" s="25"/>
      <c r="L318" s="25"/>
      <c r="M318" s="146">
        <v>45</v>
      </c>
      <c r="N318" s="139" t="s">
        <v>4337</v>
      </c>
      <c r="O318" s="139" t="s">
        <v>4875</v>
      </c>
      <c r="P318" s="139" t="s">
        <v>729</v>
      </c>
      <c r="Q318" s="139" t="s">
        <v>730</v>
      </c>
      <c r="R318" s="146">
        <v>12</v>
      </c>
      <c r="S318" s="135"/>
      <c r="T318" s="139" t="s">
        <v>4876</v>
      </c>
      <c r="U318" s="147"/>
      <c r="V318" s="147"/>
      <c r="W318" s="147"/>
      <c r="X318" s="147" t="s">
        <v>87</v>
      </c>
    </row>
    <row r="319" spans="1:24" ht="26.25" hidden="1" customHeight="1">
      <c r="A319" s="17">
        <f t="shared" si="1"/>
        <v>316</v>
      </c>
      <c r="B319" s="18" t="s">
        <v>105</v>
      </c>
      <c r="C319" s="31" t="s">
        <v>1972</v>
      </c>
      <c r="D319" s="19" t="s">
        <v>1973</v>
      </c>
      <c r="E319" s="20" t="s">
        <v>1974</v>
      </c>
      <c r="F319" s="32" t="s">
        <v>209</v>
      </c>
      <c r="G319" s="33" t="s">
        <v>53</v>
      </c>
      <c r="H319" s="23" t="s">
        <v>1975</v>
      </c>
      <c r="I319" s="24" t="s">
        <v>55</v>
      </c>
      <c r="J319" s="1" t="str">
        <f t="shared" si="0"/>
        <v/>
      </c>
      <c r="K319" s="1"/>
      <c r="L319" s="1"/>
      <c r="M319" s="145">
        <v>46</v>
      </c>
      <c r="N319" s="137" t="s">
        <v>4337</v>
      </c>
      <c r="O319" s="137" t="s">
        <v>815</v>
      </c>
      <c r="P319" s="137" t="s">
        <v>4877</v>
      </c>
      <c r="Q319" s="137" t="s">
        <v>816</v>
      </c>
      <c r="R319" s="145">
        <v>6</v>
      </c>
      <c r="S319" s="137" t="s">
        <v>4347</v>
      </c>
      <c r="T319" s="137" t="s">
        <v>4878</v>
      </c>
      <c r="U319" s="143"/>
      <c r="V319" s="143"/>
      <c r="W319" s="143"/>
      <c r="X319" s="143" t="s">
        <v>87</v>
      </c>
    </row>
    <row r="320" spans="1:24" ht="26.25" customHeight="1">
      <c r="A320" s="17">
        <f t="shared" si="1"/>
        <v>317</v>
      </c>
      <c r="B320" s="18" t="s">
        <v>37</v>
      </c>
      <c r="C320" s="19" t="s">
        <v>1976</v>
      </c>
      <c r="D320" s="19" t="s">
        <v>124</v>
      </c>
      <c r="E320" s="20" t="s">
        <v>1977</v>
      </c>
      <c r="F320" s="21" t="s">
        <v>135</v>
      </c>
      <c r="G320" s="22" t="s">
        <v>42</v>
      </c>
      <c r="H320" s="23" t="s">
        <v>1978</v>
      </c>
      <c r="I320" s="24" t="s">
        <v>20</v>
      </c>
      <c r="J320" s="1" t="str">
        <f t="shared" si="0"/>
        <v>FRIC</v>
      </c>
      <c r="K320" s="1"/>
      <c r="L320" s="1"/>
      <c r="M320" s="145">
        <v>47</v>
      </c>
      <c r="N320" s="137" t="s">
        <v>4337</v>
      </c>
      <c r="O320" s="137" t="s">
        <v>841</v>
      </c>
      <c r="P320" s="137" t="s">
        <v>1705</v>
      </c>
      <c r="Q320" s="137" t="s">
        <v>842</v>
      </c>
      <c r="R320" s="145">
        <v>6</v>
      </c>
      <c r="S320" s="137" t="s">
        <v>4347</v>
      </c>
      <c r="T320" s="137" t="s">
        <v>4879</v>
      </c>
      <c r="U320" s="143"/>
      <c r="V320" s="143"/>
      <c r="W320" s="143"/>
      <c r="X320" s="143" t="s">
        <v>87</v>
      </c>
    </row>
    <row r="321" spans="1:24" ht="26.25" hidden="1" customHeight="1">
      <c r="A321" s="17">
        <f t="shared" si="1"/>
        <v>318</v>
      </c>
      <c r="B321" s="18" t="s">
        <v>37</v>
      </c>
      <c r="C321" s="88" t="s">
        <v>1979</v>
      </c>
      <c r="D321" s="19" t="s">
        <v>1980</v>
      </c>
      <c r="E321" s="20" t="s">
        <v>1981</v>
      </c>
      <c r="F321" s="32" t="s">
        <v>416</v>
      </c>
      <c r="G321" s="22" t="s">
        <v>53</v>
      </c>
      <c r="H321" s="23" t="s">
        <v>1982</v>
      </c>
      <c r="I321" s="24" t="s">
        <v>55</v>
      </c>
      <c r="J321" s="1" t="str">
        <f t="shared" si="0"/>
        <v/>
      </c>
      <c r="K321" s="1"/>
      <c r="L321" s="1"/>
      <c r="M321" s="145">
        <v>48</v>
      </c>
      <c r="N321" s="137" t="s">
        <v>4337</v>
      </c>
      <c r="O321" s="137" t="s">
        <v>4880</v>
      </c>
      <c r="P321" s="137" t="s">
        <v>361</v>
      </c>
      <c r="Q321" s="137" t="s">
        <v>3341</v>
      </c>
      <c r="R321" s="145">
        <v>5</v>
      </c>
      <c r="S321" s="129"/>
      <c r="T321" s="137" t="s">
        <v>4881</v>
      </c>
      <c r="U321" s="143"/>
      <c r="V321" s="143"/>
      <c r="W321" s="143"/>
      <c r="X321" s="143" t="s">
        <v>87</v>
      </c>
    </row>
    <row r="322" spans="1:24" ht="26.25" hidden="1" customHeight="1">
      <c r="A322" s="17">
        <f t="shared" si="1"/>
        <v>319</v>
      </c>
      <c r="B322" s="18" t="s">
        <v>248</v>
      </c>
      <c r="C322" s="31" t="s">
        <v>1983</v>
      </c>
      <c r="D322" s="19" t="s">
        <v>308</v>
      </c>
      <c r="E322" s="20" t="s">
        <v>1984</v>
      </c>
      <c r="F322" s="32" t="s">
        <v>222</v>
      </c>
      <c r="G322" s="33" t="s">
        <v>42</v>
      </c>
      <c r="H322" s="23" t="s">
        <v>1985</v>
      </c>
      <c r="I322" s="24" t="s">
        <v>55</v>
      </c>
      <c r="J322" s="1" t="str">
        <f t="shared" si="0"/>
        <v/>
      </c>
      <c r="K322" s="1"/>
      <c r="L322" s="1"/>
      <c r="M322" s="145">
        <v>49</v>
      </c>
      <c r="N322" s="137" t="s">
        <v>4337</v>
      </c>
      <c r="O322" s="137" t="s">
        <v>4882</v>
      </c>
      <c r="P322" s="137" t="s">
        <v>361</v>
      </c>
      <c r="Q322" s="137" t="s">
        <v>1010</v>
      </c>
      <c r="R322" s="145">
        <v>10</v>
      </c>
      <c r="S322" s="137" t="s">
        <v>4347</v>
      </c>
      <c r="T322" s="137" t="s">
        <v>4883</v>
      </c>
      <c r="U322" s="143"/>
      <c r="V322" s="143"/>
      <c r="W322" s="143"/>
      <c r="X322" s="143" t="s">
        <v>87</v>
      </c>
    </row>
    <row r="323" spans="1:24" ht="26.25" hidden="1" customHeight="1">
      <c r="A323" s="17">
        <f t="shared" si="1"/>
        <v>320</v>
      </c>
      <c r="B323" s="18" t="s">
        <v>233</v>
      </c>
      <c r="C323" s="89" t="s">
        <v>1674</v>
      </c>
      <c r="D323" s="89" t="s">
        <v>939</v>
      </c>
      <c r="E323" s="90" t="s">
        <v>1675</v>
      </c>
      <c r="F323" s="91" t="s">
        <v>1986</v>
      </c>
      <c r="G323" s="22" t="s">
        <v>42</v>
      </c>
      <c r="H323" s="23" t="s">
        <v>1987</v>
      </c>
      <c r="I323" s="34" t="s">
        <v>55</v>
      </c>
      <c r="J323" s="1" t="str">
        <f t="shared" si="0"/>
        <v/>
      </c>
      <c r="K323" s="25"/>
      <c r="L323" s="25"/>
      <c r="M323" s="146">
        <v>50</v>
      </c>
      <c r="N323" s="139" t="s">
        <v>4337</v>
      </c>
      <c r="O323" s="139" t="s">
        <v>4884</v>
      </c>
      <c r="P323" s="139" t="s">
        <v>361</v>
      </c>
      <c r="Q323" s="139" t="s">
        <v>1004</v>
      </c>
      <c r="R323" s="146">
        <v>24</v>
      </c>
      <c r="S323" s="139" t="s">
        <v>4347</v>
      </c>
      <c r="T323" s="139" t="s">
        <v>4885</v>
      </c>
      <c r="U323" s="147"/>
      <c r="V323" s="147"/>
      <c r="W323" s="147"/>
      <c r="X323" s="147" t="s">
        <v>87</v>
      </c>
    </row>
    <row r="324" spans="1:24" ht="26.25" hidden="1" customHeight="1">
      <c r="A324" s="17">
        <f t="shared" si="1"/>
        <v>321</v>
      </c>
      <c r="B324" s="18" t="s">
        <v>867</v>
      </c>
      <c r="C324" s="31" t="s">
        <v>1988</v>
      </c>
      <c r="D324" s="19" t="s">
        <v>1989</v>
      </c>
      <c r="E324" s="20" t="s">
        <v>1576</v>
      </c>
      <c r="F324" s="21" t="s">
        <v>1990</v>
      </c>
      <c r="G324" s="33" t="s">
        <v>42</v>
      </c>
      <c r="H324" s="23" t="s">
        <v>1991</v>
      </c>
      <c r="I324" s="34" t="s">
        <v>55</v>
      </c>
      <c r="J324" s="1" t="str">
        <f t="shared" si="0"/>
        <v/>
      </c>
      <c r="K324" s="25"/>
      <c r="L324" s="25"/>
      <c r="M324" s="146">
        <v>51</v>
      </c>
      <c r="N324" s="139" t="s">
        <v>4337</v>
      </c>
      <c r="O324" s="139" t="s">
        <v>1016</v>
      </c>
      <c r="P324" s="139" t="s">
        <v>1441</v>
      </c>
      <c r="Q324" s="139" t="s">
        <v>1017</v>
      </c>
      <c r="R324" s="146">
        <v>12</v>
      </c>
      <c r="S324" s="135"/>
      <c r="T324" s="139" t="s">
        <v>4886</v>
      </c>
      <c r="U324" s="147"/>
      <c r="V324" s="147"/>
      <c r="W324" s="147"/>
      <c r="X324" s="147" t="s">
        <v>87</v>
      </c>
    </row>
    <row r="325" spans="1:24" ht="26.25" hidden="1" customHeight="1">
      <c r="A325" s="17">
        <f t="shared" si="1"/>
        <v>322</v>
      </c>
      <c r="B325" s="18" t="s">
        <v>867</v>
      </c>
      <c r="C325" s="31" t="s">
        <v>1992</v>
      </c>
      <c r="D325" s="19" t="s">
        <v>277</v>
      </c>
      <c r="E325" s="20" t="s">
        <v>1993</v>
      </c>
      <c r="F325" s="32" t="s">
        <v>1994</v>
      </c>
      <c r="G325" s="33" t="s">
        <v>42</v>
      </c>
      <c r="H325" s="23" t="s">
        <v>1995</v>
      </c>
      <c r="I325" s="24" t="s">
        <v>55</v>
      </c>
      <c r="J325" s="1" t="str">
        <f t="shared" si="0"/>
        <v/>
      </c>
      <c r="K325" s="1"/>
      <c r="L325" s="1"/>
      <c r="M325" s="145">
        <v>52</v>
      </c>
      <c r="N325" s="137" t="s">
        <v>4337</v>
      </c>
      <c r="O325" s="137" t="s">
        <v>4887</v>
      </c>
      <c r="P325" s="137" t="s">
        <v>4887</v>
      </c>
      <c r="Q325" s="137" t="s">
        <v>3351</v>
      </c>
      <c r="R325" s="145">
        <v>4</v>
      </c>
      <c r="S325" s="129"/>
      <c r="T325" s="137" t="s">
        <v>4888</v>
      </c>
      <c r="U325" s="143"/>
      <c r="V325" s="143"/>
      <c r="W325" s="143"/>
      <c r="X325" s="143" t="s">
        <v>87</v>
      </c>
    </row>
    <row r="326" spans="1:24" ht="26.25" hidden="1" customHeight="1">
      <c r="A326" s="17">
        <f t="shared" si="1"/>
        <v>323</v>
      </c>
      <c r="B326" s="18" t="s">
        <v>233</v>
      </c>
      <c r="C326" s="31" t="s">
        <v>1996</v>
      </c>
      <c r="D326" s="19" t="s">
        <v>242</v>
      </c>
      <c r="E326" s="20" t="s">
        <v>1997</v>
      </c>
      <c r="F326" s="32" t="s">
        <v>1998</v>
      </c>
      <c r="G326" s="22" t="s">
        <v>42</v>
      </c>
      <c r="H326" s="23" t="s">
        <v>1999</v>
      </c>
      <c r="I326" s="24" t="s">
        <v>55</v>
      </c>
      <c r="J326" s="1" t="str">
        <f t="shared" si="0"/>
        <v/>
      </c>
      <c r="K326" s="1"/>
      <c r="L326" s="1"/>
      <c r="M326" s="145">
        <v>53</v>
      </c>
      <c r="N326" s="137" t="s">
        <v>4337</v>
      </c>
      <c r="O326" s="137" t="s">
        <v>1437</v>
      </c>
      <c r="P326" s="137" t="s">
        <v>196</v>
      </c>
      <c r="Q326" s="137" t="s">
        <v>1438</v>
      </c>
      <c r="R326" s="145">
        <v>9</v>
      </c>
      <c r="S326" s="129"/>
      <c r="T326" s="137" t="s">
        <v>4889</v>
      </c>
      <c r="U326" s="143"/>
      <c r="V326" s="143"/>
      <c r="W326" s="143"/>
      <c r="X326" s="143" t="s">
        <v>87</v>
      </c>
    </row>
    <row r="327" spans="1:24" ht="26.25" hidden="1" customHeight="1">
      <c r="A327" s="17">
        <f t="shared" si="1"/>
        <v>324</v>
      </c>
      <c r="B327" s="18" t="s">
        <v>27</v>
      </c>
      <c r="C327" s="31" t="s">
        <v>2000</v>
      </c>
      <c r="D327" s="19" t="s">
        <v>207</v>
      </c>
      <c r="E327" s="20" t="s">
        <v>2001</v>
      </c>
      <c r="F327" s="32" t="s">
        <v>693</v>
      </c>
      <c r="G327" s="22" t="s">
        <v>42</v>
      </c>
      <c r="H327" s="23" t="s">
        <v>2002</v>
      </c>
      <c r="I327" s="24" t="s">
        <v>55</v>
      </c>
      <c r="J327" s="1" t="str">
        <f t="shared" si="0"/>
        <v/>
      </c>
      <c r="K327" s="1"/>
      <c r="L327" s="1"/>
      <c r="M327" s="145">
        <v>54</v>
      </c>
      <c r="N327" s="137" t="s">
        <v>4337</v>
      </c>
      <c r="O327" s="137" t="s">
        <v>1465</v>
      </c>
      <c r="P327" s="137" t="s">
        <v>1466</v>
      </c>
      <c r="Q327" s="137" t="s">
        <v>1467</v>
      </c>
      <c r="R327" s="145">
        <v>12</v>
      </c>
      <c r="S327" s="137" t="s">
        <v>4347</v>
      </c>
      <c r="T327" s="137" t="s">
        <v>4890</v>
      </c>
      <c r="U327" s="143"/>
      <c r="V327" s="143"/>
      <c r="W327" s="143"/>
      <c r="X327" s="143" t="s">
        <v>87</v>
      </c>
    </row>
    <row r="328" spans="1:24" ht="26.25" customHeight="1">
      <c r="A328" s="17">
        <f t="shared" si="1"/>
        <v>325</v>
      </c>
      <c r="B328" s="18" t="s">
        <v>132</v>
      </c>
      <c r="C328" s="19" t="s">
        <v>2003</v>
      </c>
      <c r="D328" s="19" t="s">
        <v>2004</v>
      </c>
      <c r="E328" s="20" t="s">
        <v>2005</v>
      </c>
      <c r="F328" s="21" t="s">
        <v>2006</v>
      </c>
      <c r="G328" s="22" t="s">
        <v>42</v>
      </c>
      <c r="H328" s="23" t="s">
        <v>2007</v>
      </c>
      <c r="I328" s="24" t="s">
        <v>20</v>
      </c>
      <c r="J328" s="1" t="str">
        <f t="shared" si="0"/>
        <v>FRIC</v>
      </c>
      <c r="K328" s="1"/>
      <c r="L328" s="1"/>
      <c r="M328" s="145">
        <v>55</v>
      </c>
      <c r="N328" s="137" t="s">
        <v>4337</v>
      </c>
      <c r="O328" s="137" t="s">
        <v>1541</v>
      </c>
      <c r="P328" s="137" t="s">
        <v>1541</v>
      </c>
      <c r="Q328" s="137" t="s">
        <v>1543</v>
      </c>
      <c r="R328" s="145">
        <v>4</v>
      </c>
      <c r="S328" s="137" t="s">
        <v>4347</v>
      </c>
      <c r="T328" s="137" t="s">
        <v>4891</v>
      </c>
      <c r="U328" s="143"/>
      <c r="V328" s="143"/>
      <c r="W328" s="143"/>
      <c r="X328" s="143" t="s">
        <v>87</v>
      </c>
    </row>
    <row r="329" spans="1:24" ht="26.25" hidden="1" customHeight="1">
      <c r="A329" s="17">
        <f t="shared" si="1"/>
        <v>326</v>
      </c>
      <c r="B329" s="18" t="s">
        <v>175</v>
      </c>
      <c r="C329" s="31" t="s">
        <v>2008</v>
      </c>
      <c r="D329" s="19" t="s">
        <v>213</v>
      </c>
      <c r="E329" s="20" t="s">
        <v>2009</v>
      </c>
      <c r="F329" s="21" t="s">
        <v>1609</v>
      </c>
      <c r="G329" s="33" t="s">
        <v>42</v>
      </c>
      <c r="H329" s="23" t="s">
        <v>2010</v>
      </c>
      <c r="I329" s="24" t="s">
        <v>20</v>
      </c>
      <c r="J329" s="1" t="str">
        <f t="shared" si="0"/>
        <v>과기</v>
      </c>
      <c r="K329" s="1"/>
      <c r="L329" s="1"/>
      <c r="M329" s="145">
        <v>56</v>
      </c>
      <c r="N329" s="137" t="s">
        <v>4337</v>
      </c>
      <c r="O329" s="137" t="s">
        <v>4892</v>
      </c>
      <c r="P329" s="137" t="s">
        <v>141</v>
      </c>
      <c r="Q329" s="137" t="s">
        <v>3361</v>
      </c>
      <c r="R329" s="145">
        <v>8</v>
      </c>
      <c r="S329" s="129"/>
      <c r="T329" s="137" t="s">
        <v>4893</v>
      </c>
      <c r="U329" s="143"/>
      <c r="V329" s="143"/>
      <c r="W329" s="143"/>
      <c r="X329" s="143" t="s">
        <v>87</v>
      </c>
    </row>
    <row r="330" spans="1:24" ht="26.25" hidden="1" customHeight="1">
      <c r="A330" s="17">
        <f t="shared" si="1"/>
        <v>327</v>
      </c>
      <c r="B330" s="18" t="s">
        <v>13</v>
      </c>
      <c r="C330" s="31" t="s">
        <v>857</v>
      </c>
      <c r="D330" s="19" t="s">
        <v>227</v>
      </c>
      <c r="E330" s="20" t="s">
        <v>859</v>
      </c>
      <c r="F330" s="32" t="s">
        <v>2011</v>
      </c>
      <c r="G330" s="22" t="s">
        <v>2012</v>
      </c>
      <c r="H330" s="23" t="s">
        <v>2013</v>
      </c>
      <c r="I330" s="24" t="s">
        <v>55</v>
      </c>
      <c r="J330" s="1" t="str">
        <f t="shared" si="0"/>
        <v/>
      </c>
      <c r="K330" s="1"/>
      <c r="L330" s="1"/>
      <c r="M330" s="145">
        <v>57</v>
      </c>
      <c r="N330" s="137" t="s">
        <v>4337</v>
      </c>
      <c r="O330" s="137" t="s">
        <v>2008</v>
      </c>
      <c r="P330" s="137" t="s">
        <v>213</v>
      </c>
      <c r="Q330" s="137" t="s">
        <v>2009</v>
      </c>
      <c r="R330" s="145">
        <v>12</v>
      </c>
      <c r="S330" s="129"/>
      <c r="T330" s="137" t="s">
        <v>4894</v>
      </c>
      <c r="U330" s="143"/>
      <c r="V330" s="143"/>
      <c r="W330" s="143"/>
      <c r="X330" s="143" t="s">
        <v>87</v>
      </c>
    </row>
    <row r="331" spans="1:24" ht="26.25" hidden="1" customHeight="1">
      <c r="A331" s="17">
        <f t="shared" si="1"/>
        <v>328</v>
      </c>
      <c r="B331" s="18" t="s">
        <v>13</v>
      </c>
      <c r="C331" s="31" t="s">
        <v>2014</v>
      </c>
      <c r="D331" s="19" t="s">
        <v>2015</v>
      </c>
      <c r="E331" s="20" t="s">
        <v>2016</v>
      </c>
      <c r="F331" s="32" t="s">
        <v>2017</v>
      </c>
      <c r="G331" s="22" t="s">
        <v>2018</v>
      </c>
      <c r="H331" s="23" t="s">
        <v>2019</v>
      </c>
      <c r="I331" s="24" t="s">
        <v>55</v>
      </c>
      <c r="J331" s="1" t="str">
        <f t="shared" si="0"/>
        <v/>
      </c>
      <c r="K331" s="1"/>
      <c r="L331" s="1"/>
      <c r="M331" s="145">
        <v>58</v>
      </c>
      <c r="N331" s="137" t="s">
        <v>4337</v>
      </c>
      <c r="O331" s="137" t="s">
        <v>2020</v>
      </c>
      <c r="P331" s="137" t="s">
        <v>558</v>
      </c>
      <c r="Q331" s="137" t="s">
        <v>2022</v>
      </c>
      <c r="R331" s="145">
        <v>6</v>
      </c>
      <c r="S331" s="129"/>
      <c r="T331" s="137" t="s">
        <v>4895</v>
      </c>
      <c r="U331" s="143"/>
      <c r="V331" s="143"/>
      <c r="W331" s="143"/>
      <c r="X331" s="143" t="s">
        <v>87</v>
      </c>
    </row>
    <row r="332" spans="1:24" ht="26.25" hidden="1" customHeight="1">
      <c r="A332" s="17">
        <f t="shared" si="1"/>
        <v>329</v>
      </c>
      <c r="B332" s="18" t="s">
        <v>27</v>
      </c>
      <c r="C332" s="19" t="s">
        <v>2020</v>
      </c>
      <c r="D332" s="19" t="s">
        <v>2021</v>
      </c>
      <c r="E332" s="20" t="s">
        <v>2022</v>
      </c>
      <c r="F332" s="21" t="s">
        <v>2023</v>
      </c>
      <c r="G332" s="22" t="s">
        <v>42</v>
      </c>
      <c r="H332" s="23" t="s">
        <v>2024</v>
      </c>
      <c r="I332" s="24" t="s">
        <v>20</v>
      </c>
      <c r="J332" s="1" t="str">
        <f t="shared" si="0"/>
        <v>과기</v>
      </c>
      <c r="K332" s="1"/>
      <c r="L332" s="1"/>
      <c r="M332" s="145">
        <v>59</v>
      </c>
      <c r="N332" s="137" t="s">
        <v>4337</v>
      </c>
      <c r="O332" s="137" t="s">
        <v>4896</v>
      </c>
      <c r="P332" s="137" t="s">
        <v>4897</v>
      </c>
      <c r="Q332" s="137" t="s">
        <v>2144</v>
      </c>
      <c r="R332" s="145">
        <v>4</v>
      </c>
      <c r="S332" s="129"/>
      <c r="T332" s="137" t="s">
        <v>4898</v>
      </c>
      <c r="U332" s="143"/>
      <c r="V332" s="143"/>
      <c r="W332" s="143"/>
      <c r="X332" s="143" t="s">
        <v>87</v>
      </c>
    </row>
    <row r="333" spans="1:24" ht="26.25" customHeight="1">
      <c r="A333" s="17">
        <f t="shared" si="1"/>
        <v>330</v>
      </c>
      <c r="B333" s="18" t="s">
        <v>175</v>
      </c>
      <c r="C333" s="19" t="s">
        <v>2025</v>
      </c>
      <c r="D333" s="19" t="s">
        <v>141</v>
      </c>
      <c r="E333" s="20" t="s">
        <v>2026</v>
      </c>
      <c r="F333" s="21" t="s">
        <v>905</v>
      </c>
      <c r="G333" s="33" t="s">
        <v>42</v>
      </c>
      <c r="H333" s="23" t="s">
        <v>2027</v>
      </c>
      <c r="I333" s="24" t="s">
        <v>20</v>
      </c>
      <c r="J333" s="1" t="str">
        <f t="shared" si="0"/>
        <v>FRIC</v>
      </c>
      <c r="K333" s="1"/>
      <c r="L333" s="1"/>
      <c r="M333" s="145">
        <v>60</v>
      </c>
      <c r="N333" s="137" t="s">
        <v>4337</v>
      </c>
      <c r="O333" s="137" t="s">
        <v>4899</v>
      </c>
      <c r="P333" s="137" t="s">
        <v>361</v>
      </c>
      <c r="Q333" s="137" t="s">
        <v>2199</v>
      </c>
      <c r="R333" s="145">
        <v>12</v>
      </c>
      <c r="S333" s="137" t="s">
        <v>4347</v>
      </c>
      <c r="T333" s="137" t="s">
        <v>4900</v>
      </c>
      <c r="U333" s="143"/>
      <c r="V333" s="143"/>
      <c r="W333" s="143"/>
      <c r="X333" s="143" t="s">
        <v>87</v>
      </c>
    </row>
    <row r="334" spans="1:24" ht="26.25" hidden="1" customHeight="1">
      <c r="A334" s="17">
        <f t="shared" si="1"/>
        <v>331</v>
      </c>
      <c r="B334" s="18" t="s">
        <v>175</v>
      </c>
      <c r="C334" s="31" t="s">
        <v>2028</v>
      </c>
      <c r="D334" s="19" t="s">
        <v>124</v>
      </c>
      <c r="E334" s="20" t="s">
        <v>2029</v>
      </c>
      <c r="F334" s="32" t="s">
        <v>416</v>
      </c>
      <c r="G334" s="33" t="s">
        <v>42</v>
      </c>
      <c r="H334" s="23" t="s">
        <v>2030</v>
      </c>
      <c r="I334" s="24" t="s">
        <v>55</v>
      </c>
      <c r="J334" s="1" t="str">
        <f t="shared" si="0"/>
        <v/>
      </c>
      <c r="K334" s="1"/>
      <c r="L334" s="1"/>
      <c r="M334" s="145">
        <v>61</v>
      </c>
      <c r="N334" s="137" t="s">
        <v>4337</v>
      </c>
      <c r="O334" s="137" t="s">
        <v>2259</v>
      </c>
      <c r="P334" s="137" t="s">
        <v>4901</v>
      </c>
      <c r="Q334" s="137" t="s">
        <v>2260</v>
      </c>
      <c r="R334" s="145">
        <v>12</v>
      </c>
      <c r="S334" s="137" t="s">
        <v>4347</v>
      </c>
      <c r="T334" s="137" t="s">
        <v>4902</v>
      </c>
      <c r="U334" s="143"/>
      <c r="V334" s="143"/>
      <c r="W334" s="143"/>
      <c r="X334" s="143" t="s">
        <v>87</v>
      </c>
    </row>
    <row r="335" spans="1:24" ht="26.25" customHeight="1">
      <c r="A335" s="17">
        <f t="shared" si="1"/>
        <v>332</v>
      </c>
      <c r="B335" s="18" t="s">
        <v>175</v>
      </c>
      <c r="C335" s="19" t="s">
        <v>2031</v>
      </c>
      <c r="D335" s="19" t="s">
        <v>447</v>
      </c>
      <c r="E335" s="20" t="s">
        <v>2032</v>
      </c>
      <c r="F335" s="21" t="s">
        <v>135</v>
      </c>
      <c r="G335" s="33" t="s">
        <v>42</v>
      </c>
      <c r="H335" s="23" t="s">
        <v>2033</v>
      </c>
      <c r="I335" s="24" t="s">
        <v>20</v>
      </c>
      <c r="J335" s="1" t="str">
        <f t="shared" si="0"/>
        <v>FRIC</v>
      </c>
      <c r="K335" s="1"/>
      <c r="L335" s="1"/>
      <c r="M335" s="145">
        <v>62</v>
      </c>
      <c r="N335" s="137" t="s">
        <v>4337</v>
      </c>
      <c r="O335" s="137" t="s">
        <v>2310</v>
      </c>
      <c r="P335" s="137" t="s">
        <v>45</v>
      </c>
      <c r="Q335" s="137" t="s">
        <v>2312</v>
      </c>
      <c r="R335" s="145">
        <v>6</v>
      </c>
      <c r="S335" s="129"/>
      <c r="T335" s="137" t="s">
        <v>4903</v>
      </c>
      <c r="U335" s="143"/>
      <c r="V335" s="143"/>
      <c r="W335" s="143"/>
      <c r="X335" s="143" t="s">
        <v>87</v>
      </c>
    </row>
    <row r="336" spans="1:24" ht="26.25" customHeight="1">
      <c r="A336" s="17">
        <f t="shared" si="1"/>
        <v>333</v>
      </c>
      <c r="B336" s="18" t="s">
        <v>175</v>
      </c>
      <c r="C336" s="19" t="s">
        <v>2034</v>
      </c>
      <c r="D336" s="19" t="s">
        <v>840</v>
      </c>
      <c r="E336" s="20" t="s">
        <v>2035</v>
      </c>
      <c r="F336" s="21" t="s">
        <v>905</v>
      </c>
      <c r="G336" s="33" t="s">
        <v>42</v>
      </c>
      <c r="H336" s="23" t="s">
        <v>2036</v>
      </c>
      <c r="I336" s="24" t="s">
        <v>20</v>
      </c>
      <c r="J336" s="1" t="str">
        <f t="shared" si="0"/>
        <v>FRIC</v>
      </c>
      <c r="K336" s="1"/>
      <c r="L336" s="1"/>
      <c r="M336" s="145">
        <v>63</v>
      </c>
      <c r="N336" s="137" t="s">
        <v>4337</v>
      </c>
      <c r="O336" s="137" t="s">
        <v>4904</v>
      </c>
      <c r="P336" s="137" t="s">
        <v>296</v>
      </c>
      <c r="Q336" s="137" t="s">
        <v>2329</v>
      </c>
      <c r="R336" s="145">
        <v>50</v>
      </c>
      <c r="S336" s="137" t="s">
        <v>4905</v>
      </c>
      <c r="T336" s="137" t="s">
        <v>4906</v>
      </c>
      <c r="U336" s="143"/>
      <c r="V336" s="143"/>
      <c r="W336" s="143"/>
      <c r="X336" s="143" t="s">
        <v>87</v>
      </c>
    </row>
    <row r="337" spans="1:24" ht="26.25" hidden="1" customHeight="1">
      <c r="A337" s="17">
        <f t="shared" si="1"/>
        <v>334</v>
      </c>
      <c r="B337" s="18" t="s">
        <v>175</v>
      </c>
      <c r="C337" s="31" t="s">
        <v>2037</v>
      </c>
      <c r="D337" s="19" t="s">
        <v>2038</v>
      </c>
      <c r="E337" s="20" t="s">
        <v>2039</v>
      </c>
      <c r="F337" s="32" t="s">
        <v>700</v>
      </c>
      <c r="G337" s="70" t="s">
        <v>42</v>
      </c>
      <c r="H337" s="23" t="s">
        <v>2040</v>
      </c>
      <c r="I337" s="24" t="s">
        <v>55</v>
      </c>
      <c r="J337" s="1" t="str">
        <f t="shared" si="0"/>
        <v/>
      </c>
      <c r="K337" s="1"/>
      <c r="L337" s="1"/>
      <c r="M337" s="145">
        <v>64</v>
      </c>
      <c r="N337" s="137" t="s">
        <v>4337</v>
      </c>
      <c r="O337" s="137" t="s">
        <v>4907</v>
      </c>
      <c r="P337" s="137" t="s">
        <v>558</v>
      </c>
      <c r="Q337" s="137" t="s">
        <v>2342</v>
      </c>
      <c r="R337" s="145">
        <v>4</v>
      </c>
      <c r="S337" s="129"/>
      <c r="T337" s="137" t="s">
        <v>4908</v>
      </c>
      <c r="U337" s="143"/>
      <c r="V337" s="143"/>
      <c r="W337" s="143"/>
      <c r="X337" s="143" t="s">
        <v>87</v>
      </c>
    </row>
    <row r="338" spans="1:24" ht="26.25" customHeight="1">
      <c r="A338" s="17">
        <f t="shared" si="1"/>
        <v>335</v>
      </c>
      <c r="B338" s="18" t="s">
        <v>13</v>
      </c>
      <c r="C338" s="19" t="s">
        <v>2041</v>
      </c>
      <c r="D338" s="19" t="s">
        <v>939</v>
      </c>
      <c r="E338" s="20" t="s">
        <v>2042</v>
      </c>
      <c r="F338" s="21" t="s">
        <v>135</v>
      </c>
      <c r="G338" s="22" t="s">
        <v>42</v>
      </c>
      <c r="H338" s="23" t="s">
        <v>2043</v>
      </c>
      <c r="I338" s="24" t="s">
        <v>20</v>
      </c>
      <c r="J338" s="1" t="str">
        <f t="shared" si="0"/>
        <v>FRIC</v>
      </c>
      <c r="K338" s="1"/>
      <c r="L338" s="1"/>
      <c r="M338" s="145">
        <v>65</v>
      </c>
      <c r="N338" s="137" t="s">
        <v>4337</v>
      </c>
      <c r="O338" s="137" t="s">
        <v>2360</v>
      </c>
      <c r="P338" s="137" t="s">
        <v>2501</v>
      </c>
      <c r="Q338" s="137" t="s">
        <v>2362</v>
      </c>
      <c r="R338" s="145">
        <v>6</v>
      </c>
      <c r="S338" s="137" t="s">
        <v>4347</v>
      </c>
      <c r="T338" s="137" t="s">
        <v>4909</v>
      </c>
      <c r="U338" s="143"/>
      <c r="V338" s="143"/>
      <c r="W338" s="143"/>
      <c r="X338" s="143" t="s">
        <v>87</v>
      </c>
    </row>
    <row r="339" spans="1:24" ht="26.25" hidden="1" customHeight="1">
      <c r="A339" s="17">
        <f t="shared" si="1"/>
        <v>336</v>
      </c>
      <c r="B339" s="18" t="s">
        <v>27</v>
      </c>
      <c r="C339" s="31" t="s">
        <v>95</v>
      </c>
      <c r="D339" s="19" t="s">
        <v>96</v>
      </c>
      <c r="E339" s="20" t="s">
        <v>97</v>
      </c>
      <c r="F339" s="32" t="s">
        <v>142</v>
      </c>
      <c r="G339" s="22" t="s">
        <v>53</v>
      </c>
      <c r="H339" s="23" t="s">
        <v>2044</v>
      </c>
      <c r="I339" s="24" t="s">
        <v>55</v>
      </c>
      <c r="J339" s="1" t="str">
        <f t="shared" si="0"/>
        <v/>
      </c>
      <c r="K339" s="1"/>
      <c r="L339" s="1"/>
      <c r="M339" s="145">
        <v>66</v>
      </c>
      <c r="N339" s="137" t="s">
        <v>4337</v>
      </c>
      <c r="O339" s="137" t="s">
        <v>2423</v>
      </c>
      <c r="P339" s="137" t="s">
        <v>361</v>
      </c>
      <c r="Q339" s="137" t="s">
        <v>2425</v>
      </c>
      <c r="R339" s="145">
        <v>4</v>
      </c>
      <c r="S339" s="137" t="s">
        <v>4347</v>
      </c>
      <c r="T339" s="137" t="s">
        <v>4910</v>
      </c>
      <c r="U339" s="143"/>
      <c r="V339" s="143"/>
      <c r="W339" s="143"/>
      <c r="X339" s="143" t="s">
        <v>87</v>
      </c>
    </row>
    <row r="340" spans="1:24" ht="26.25" customHeight="1">
      <c r="A340" s="17">
        <f t="shared" si="1"/>
        <v>337</v>
      </c>
      <c r="B340" s="18" t="s">
        <v>37</v>
      </c>
      <c r="C340" s="19" t="s">
        <v>2045</v>
      </c>
      <c r="D340" s="19" t="s">
        <v>141</v>
      </c>
      <c r="E340" s="20" t="s">
        <v>2046</v>
      </c>
      <c r="F340" s="21" t="s">
        <v>2047</v>
      </c>
      <c r="G340" s="22" t="s">
        <v>42</v>
      </c>
      <c r="H340" s="23" t="s">
        <v>2048</v>
      </c>
      <c r="I340" s="24" t="s">
        <v>20</v>
      </c>
      <c r="J340" s="1" t="str">
        <f t="shared" si="0"/>
        <v>FRIC</v>
      </c>
      <c r="K340" s="1"/>
      <c r="L340" s="1"/>
      <c r="M340" s="145">
        <v>67</v>
      </c>
      <c r="N340" s="137" t="s">
        <v>4337</v>
      </c>
      <c r="O340" s="137" t="s">
        <v>4911</v>
      </c>
      <c r="P340" s="137" t="s">
        <v>34</v>
      </c>
      <c r="Q340" s="137" t="s">
        <v>2532</v>
      </c>
      <c r="R340" s="145">
        <v>12</v>
      </c>
      <c r="S340" s="129"/>
      <c r="T340" s="137" t="s">
        <v>4912</v>
      </c>
      <c r="U340" s="143"/>
      <c r="V340" s="143"/>
      <c r="W340" s="143"/>
      <c r="X340" s="143" t="s">
        <v>87</v>
      </c>
    </row>
    <row r="341" spans="1:24" ht="26.25" customHeight="1">
      <c r="A341" s="17">
        <f t="shared" si="1"/>
        <v>338</v>
      </c>
      <c r="B341" s="18" t="s">
        <v>27</v>
      </c>
      <c r="C341" s="19" t="s">
        <v>2049</v>
      </c>
      <c r="D341" s="19" t="s">
        <v>2050</v>
      </c>
      <c r="E341" s="20" t="s">
        <v>2051</v>
      </c>
      <c r="F341" s="21" t="s">
        <v>2052</v>
      </c>
      <c r="G341" s="22" t="s">
        <v>31</v>
      </c>
      <c r="H341" s="23" t="s">
        <v>2053</v>
      </c>
      <c r="I341" s="24" t="s">
        <v>20</v>
      </c>
      <c r="J341" s="1" t="str">
        <f t="shared" si="0"/>
        <v>FRIC</v>
      </c>
      <c r="K341" s="1"/>
      <c r="L341" s="1"/>
      <c r="M341" s="145">
        <v>68</v>
      </c>
      <c r="N341" s="137" t="s">
        <v>4337</v>
      </c>
      <c r="O341" s="137" t="s">
        <v>2512</v>
      </c>
      <c r="P341" s="137" t="s">
        <v>4913</v>
      </c>
      <c r="Q341" s="137" t="s">
        <v>2513</v>
      </c>
      <c r="R341" s="145">
        <v>24</v>
      </c>
      <c r="S341" s="129"/>
      <c r="T341" s="137" t="s">
        <v>4914</v>
      </c>
      <c r="U341" s="143"/>
      <c r="V341" s="143"/>
      <c r="W341" s="143"/>
      <c r="X341" s="143" t="s">
        <v>87</v>
      </c>
    </row>
    <row r="342" spans="1:24" ht="26.25" hidden="1" customHeight="1">
      <c r="A342" s="17">
        <f t="shared" si="1"/>
        <v>339</v>
      </c>
      <c r="B342" s="18" t="s">
        <v>105</v>
      </c>
      <c r="C342" s="31" t="s">
        <v>2054</v>
      </c>
      <c r="D342" s="19" t="s">
        <v>2055</v>
      </c>
      <c r="E342" s="20" t="s">
        <v>2056</v>
      </c>
      <c r="F342" s="32" t="s">
        <v>2057</v>
      </c>
      <c r="G342" s="33" t="s">
        <v>42</v>
      </c>
      <c r="H342" s="23" t="s">
        <v>2058</v>
      </c>
      <c r="I342" s="24" t="s">
        <v>55</v>
      </c>
      <c r="J342" s="1" t="str">
        <f t="shared" si="0"/>
        <v/>
      </c>
      <c r="K342" s="1"/>
      <c r="L342" s="1"/>
      <c r="M342" s="145">
        <v>69</v>
      </c>
      <c r="N342" s="137" t="s">
        <v>4337</v>
      </c>
      <c r="O342" s="137" t="s">
        <v>4915</v>
      </c>
      <c r="P342" s="137" t="s">
        <v>4916</v>
      </c>
      <c r="Q342" s="137" t="s">
        <v>2519</v>
      </c>
      <c r="R342" s="145">
        <v>8</v>
      </c>
      <c r="S342" s="137" t="s">
        <v>4347</v>
      </c>
      <c r="T342" s="137" t="s">
        <v>4917</v>
      </c>
      <c r="U342" s="143"/>
      <c r="V342" s="143"/>
      <c r="W342" s="143"/>
      <c r="X342" s="143" t="s">
        <v>87</v>
      </c>
    </row>
    <row r="343" spans="1:24" ht="26.25" hidden="1" customHeight="1">
      <c r="A343" s="17">
        <f t="shared" si="1"/>
        <v>340</v>
      </c>
      <c r="B343" s="18" t="s">
        <v>13</v>
      </c>
      <c r="C343" s="31" t="s">
        <v>1077</v>
      </c>
      <c r="D343" s="19" t="s">
        <v>939</v>
      </c>
      <c r="E343" s="20" t="s">
        <v>1079</v>
      </c>
      <c r="F343" s="32" t="s">
        <v>170</v>
      </c>
      <c r="G343" s="22" t="s">
        <v>42</v>
      </c>
      <c r="H343" s="23" t="s">
        <v>2059</v>
      </c>
      <c r="I343" s="24" t="s">
        <v>55</v>
      </c>
      <c r="J343" s="1" t="str">
        <f t="shared" si="0"/>
        <v/>
      </c>
      <c r="K343" s="1"/>
      <c r="L343" s="1"/>
      <c r="M343" s="145">
        <v>70</v>
      </c>
      <c r="N343" s="137" t="s">
        <v>4337</v>
      </c>
      <c r="O343" s="137" t="s">
        <v>4918</v>
      </c>
      <c r="P343" s="137" t="s">
        <v>4919</v>
      </c>
      <c r="Q343" s="137" t="s">
        <v>2604</v>
      </c>
      <c r="R343" s="145">
        <v>12</v>
      </c>
      <c r="S343" s="137" t="s">
        <v>4347</v>
      </c>
      <c r="T343" s="137" t="s">
        <v>4920</v>
      </c>
      <c r="U343" s="143"/>
      <c r="V343" s="143"/>
      <c r="W343" s="143"/>
      <c r="X343" s="143" t="s">
        <v>87</v>
      </c>
    </row>
    <row r="344" spans="1:24" ht="26.25" customHeight="1">
      <c r="A344" s="17">
        <f t="shared" si="1"/>
        <v>341</v>
      </c>
      <c r="B344" s="18" t="s">
        <v>37</v>
      </c>
      <c r="C344" s="19" t="s">
        <v>2060</v>
      </c>
      <c r="D344" s="19" t="s">
        <v>141</v>
      </c>
      <c r="E344" s="20" t="s">
        <v>2061</v>
      </c>
      <c r="F344" s="21" t="s">
        <v>2062</v>
      </c>
      <c r="G344" s="22" t="s">
        <v>42</v>
      </c>
      <c r="H344" s="23" t="s">
        <v>2063</v>
      </c>
      <c r="I344" s="24" t="s">
        <v>20</v>
      </c>
      <c r="J344" s="1" t="str">
        <f t="shared" si="0"/>
        <v>FRIC</v>
      </c>
      <c r="K344" s="1"/>
      <c r="L344" s="1"/>
      <c r="M344" s="145">
        <v>71</v>
      </c>
      <c r="N344" s="137" t="s">
        <v>4337</v>
      </c>
      <c r="O344" s="137" t="s">
        <v>2635</v>
      </c>
      <c r="P344" s="137" t="s">
        <v>361</v>
      </c>
      <c r="Q344" s="137" t="s">
        <v>2637</v>
      </c>
      <c r="R344" s="145">
        <v>5</v>
      </c>
      <c r="S344" s="129"/>
      <c r="T344" s="137" t="s">
        <v>4881</v>
      </c>
      <c r="U344" s="143"/>
      <c r="V344" s="143"/>
      <c r="W344" s="143"/>
      <c r="X344" s="143" t="s">
        <v>87</v>
      </c>
    </row>
    <row r="345" spans="1:24" ht="26.25" customHeight="1">
      <c r="A345" s="17">
        <f t="shared" si="1"/>
        <v>342</v>
      </c>
      <c r="B345" s="18" t="s">
        <v>13</v>
      </c>
      <c r="C345" s="19" t="s">
        <v>2064</v>
      </c>
      <c r="D345" s="19" t="s">
        <v>939</v>
      </c>
      <c r="E345" s="20" t="s">
        <v>2065</v>
      </c>
      <c r="F345" s="21" t="s">
        <v>135</v>
      </c>
      <c r="G345" s="22" t="s">
        <v>42</v>
      </c>
      <c r="H345" s="23" t="s">
        <v>2066</v>
      </c>
      <c r="I345" s="24" t="s">
        <v>20</v>
      </c>
      <c r="J345" s="1" t="str">
        <f t="shared" si="0"/>
        <v>FRIC</v>
      </c>
      <c r="K345" s="1"/>
      <c r="L345" s="1"/>
      <c r="M345" s="145">
        <v>72</v>
      </c>
      <c r="N345" s="137" t="s">
        <v>4337</v>
      </c>
      <c r="O345" s="137" t="s">
        <v>4921</v>
      </c>
      <c r="P345" s="137" t="s">
        <v>196</v>
      </c>
      <c r="Q345" s="137" t="s">
        <v>2682</v>
      </c>
      <c r="R345" s="145">
        <v>6</v>
      </c>
      <c r="S345" s="137" t="s">
        <v>4347</v>
      </c>
      <c r="T345" s="137" t="s">
        <v>4922</v>
      </c>
      <c r="U345" s="143"/>
      <c r="V345" s="143"/>
      <c r="W345" s="143"/>
      <c r="X345" s="143" t="s">
        <v>87</v>
      </c>
    </row>
    <row r="346" spans="1:24" ht="26.25" customHeight="1">
      <c r="A346" s="17">
        <f t="shared" si="1"/>
        <v>343</v>
      </c>
      <c r="B346" s="18" t="s">
        <v>132</v>
      </c>
      <c r="C346" s="19" t="s">
        <v>2067</v>
      </c>
      <c r="D346" s="19" t="s">
        <v>2068</v>
      </c>
      <c r="E346" s="20" t="s">
        <v>2069</v>
      </c>
      <c r="F346" s="21" t="s">
        <v>905</v>
      </c>
      <c r="G346" s="22" t="s">
        <v>31</v>
      </c>
      <c r="H346" s="23" t="s">
        <v>2070</v>
      </c>
      <c r="I346" s="24" t="s">
        <v>20</v>
      </c>
      <c r="J346" s="1" t="str">
        <f t="shared" si="0"/>
        <v>FRIC</v>
      </c>
      <c r="K346" s="1"/>
      <c r="L346" s="1"/>
      <c r="M346" s="145">
        <v>73</v>
      </c>
      <c r="N346" s="137" t="s">
        <v>4337</v>
      </c>
      <c r="O346" s="137" t="s">
        <v>2691</v>
      </c>
      <c r="P346" s="137" t="s">
        <v>45</v>
      </c>
      <c r="Q346" s="137" t="s">
        <v>2692</v>
      </c>
      <c r="R346" s="145">
        <v>6</v>
      </c>
      <c r="S346" s="129"/>
      <c r="T346" s="137" t="s">
        <v>4923</v>
      </c>
      <c r="U346" s="143"/>
      <c r="V346" s="143"/>
      <c r="W346" s="143"/>
      <c r="X346" s="143" t="s">
        <v>87</v>
      </c>
    </row>
    <row r="347" spans="1:24" ht="26.25" hidden="1" customHeight="1">
      <c r="A347" s="17">
        <f t="shared" si="1"/>
        <v>344</v>
      </c>
      <c r="B347" s="18" t="s">
        <v>175</v>
      </c>
      <c r="C347" s="31" t="s">
        <v>2071</v>
      </c>
      <c r="D347" s="19" t="s">
        <v>2072</v>
      </c>
      <c r="E347" s="20" t="s">
        <v>2073</v>
      </c>
      <c r="F347" s="32" t="s">
        <v>2074</v>
      </c>
      <c r="G347" s="33" t="s">
        <v>42</v>
      </c>
      <c r="H347" s="23" t="s">
        <v>2075</v>
      </c>
      <c r="I347" s="24" t="s">
        <v>55</v>
      </c>
      <c r="J347" s="1" t="str">
        <f t="shared" si="0"/>
        <v/>
      </c>
      <c r="K347" s="1"/>
      <c r="L347" s="1"/>
      <c r="M347" s="145">
        <v>74</v>
      </c>
      <c r="N347" s="137" t="s">
        <v>4337</v>
      </c>
      <c r="O347" s="137" t="s">
        <v>2813</v>
      </c>
      <c r="P347" s="137" t="s">
        <v>361</v>
      </c>
      <c r="Q347" s="137" t="s">
        <v>2814</v>
      </c>
      <c r="R347" s="145">
        <v>6</v>
      </c>
      <c r="S347" s="137" t="s">
        <v>4347</v>
      </c>
      <c r="T347" s="137" t="s">
        <v>4924</v>
      </c>
      <c r="U347" s="129"/>
      <c r="V347" s="143"/>
      <c r="W347" s="143"/>
      <c r="X347" s="143" t="s">
        <v>87</v>
      </c>
    </row>
    <row r="348" spans="1:24" ht="26.25" hidden="1" customHeight="1">
      <c r="A348" s="17">
        <f t="shared" si="1"/>
        <v>345</v>
      </c>
      <c r="B348" s="18" t="s">
        <v>132</v>
      </c>
      <c r="C348" s="31" t="s">
        <v>2076</v>
      </c>
      <c r="D348" s="19" t="s">
        <v>447</v>
      </c>
      <c r="E348" s="20" t="s">
        <v>2077</v>
      </c>
      <c r="F348" s="32" t="s">
        <v>416</v>
      </c>
      <c r="G348" s="22" t="s">
        <v>31</v>
      </c>
      <c r="H348" s="23" t="s">
        <v>2078</v>
      </c>
      <c r="I348" s="24" t="s">
        <v>55</v>
      </c>
      <c r="J348" s="1" t="str">
        <f t="shared" si="0"/>
        <v/>
      </c>
      <c r="K348" s="1"/>
      <c r="L348" s="1"/>
      <c r="M348" s="145">
        <v>75</v>
      </c>
      <c r="N348" s="137" t="s">
        <v>4337</v>
      </c>
      <c r="O348" s="137" t="s">
        <v>3045</v>
      </c>
      <c r="P348" s="137" t="s">
        <v>3046</v>
      </c>
      <c r="Q348" s="137" t="s">
        <v>3047</v>
      </c>
      <c r="R348" s="145">
        <v>1</v>
      </c>
      <c r="S348" s="129"/>
      <c r="T348" s="137" t="s">
        <v>4839</v>
      </c>
      <c r="U348" s="137" t="s">
        <v>4925</v>
      </c>
      <c r="V348" s="143"/>
      <c r="W348" s="143"/>
      <c r="X348" s="143" t="s">
        <v>87</v>
      </c>
    </row>
    <row r="349" spans="1:24" ht="26.25" hidden="1" customHeight="1">
      <c r="A349" s="17">
        <f t="shared" si="1"/>
        <v>346</v>
      </c>
      <c r="B349" s="18" t="s">
        <v>81</v>
      </c>
      <c r="C349" s="31" t="s">
        <v>2079</v>
      </c>
      <c r="D349" s="19" t="s">
        <v>939</v>
      </c>
      <c r="E349" s="20" t="s">
        <v>2080</v>
      </c>
      <c r="F349" s="32" t="s">
        <v>2081</v>
      </c>
      <c r="G349" s="33" t="s">
        <v>42</v>
      </c>
      <c r="H349" s="23" t="s">
        <v>2082</v>
      </c>
      <c r="I349" s="24" t="s">
        <v>55</v>
      </c>
      <c r="J349" s="1" t="str">
        <f t="shared" si="0"/>
        <v/>
      </c>
      <c r="K349" s="1"/>
      <c r="L349" s="1"/>
      <c r="M349" s="145">
        <v>76</v>
      </c>
      <c r="N349" s="137" t="s">
        <v>4337</v>
      </c>
      <c r="O349" s="137" t="s">
        <v>4926</v>
      </c>
      <c r="P349" s="137" t="s">
        <v>4927</v>
      </c>
      <c r="Q349" s="137" t="s">
        <v>3110</v>
      </c>
      <c r="R349" s="145">
        <v>12</v>
      </c>
      <c r="S349" s="129"/>
      <c r="T349" s="137" t="s">
        <v>4928</v>
      </c>
      <c r="U349" s="143"/>
      <c r="V349" s="143"/>
      <c r="W349" s="143"/>
      <c r="X349" s="143" t="s">
        <v>87</v>
      </c>
    </row>
    <row r="350" spans="1:24" ht="26.25" customHeight="1">
      <c r="A350" s="17">
        <f t="shared" si="1"/>
        <v>347</v>
      </c>
      <c r="B350" s="18" t="s">
        <v>13</v>
      </c>
      <c r="C350" s="19" t="s">
        <v>2083</v>
      </c>
      <c r="D350" s="19" t="s">
        <v>939</v>
      </c>
      <c r="E350" s="20" t="s">
        <v>2084</v>
      </c>
      <c r="F350" s="21" t="s">
        <v>2085</v>
      </c>
      <c r="G350" s="22" t="s">
        <v>42</v>
      </c>
      <c r="H350" s="23" t="s">
        <v>2086</v>
      </c>
      <c r="I350" s="24" t="s">
        <v>20</v>
      </c>
      <c r="J350" s="1" t="str">
        <f t="shared" si="0"/>
        <v>FRIC</v>
      </c>
      <c r="K350" s="1"/>
      <c r="L350" s="1"/>
      <c r="M350" s="145">
        <v>77</v>
      </c>
      <c r="N350" s="137" t="s">
        <v>4337</v>
      </c>
      <c r="O350" s="137" t="s">
        <v>3201</v>
      </c>
      <c r="P350" s="137" t="s">
        <v>4929</v>
      </c>
      <c r="Q350" s="137" t="s">
        <v>3203</v>
      </c>
      <c r="R350" s="145">
        <v>4</v>
      </c>
      <c r="S350" s="129"/>
      <c r="T350" s="137" t="s">
        <v>4930</v>
      </c>
      <c r="U350" s="143"/>
      <c r="V350" s="143"/>
      <c r="W350" s="143"/>
      <c r="X350" s="143" t="s">
        <v>87</v>
      </c>
    </row>
    <row r="351" spans="1:24" ht="26.25" hidden="1" customHeight="1">
      <c r="A351" s="17">
        <f t="shared" si="1"/>
        <v>348</v>
      </c>
      <c r="B351" s="18" t="s">
        <v>105</v>
      </c>
      <c r="C351" s="31" t="s">
        <v>2087</v>
      </c>
      <c r="D351" s="19" t="s">
        <v>374</v>
      </c>
      <c r="E351" s="20" t="s">
        <v>2088</v>
      </c>
      <c r="F351" s="32" t="s">
        <v>2089</v>
      </c>
      <c r="G351" s="33" t="s">
        <v>42</v>
      </c>
      <c r="H351" s="23" t="s">
        <v>2090</v>
      </c>
      <c r="I351" s="24" t="s">
        <v>55</v>
      </c>
      <c r="J351" s="1" t="str">
        <f t="shared" si="0"/>
        <v/>
      </c>
      <c r="K351" s="1"/>
      <c r="L351" s="1"/>
      <c r="M351" s="145">
        <v>78</v>
      </c>
      <c r="N351" s="137" t="s">
        <v>4337</v>
      </c>
      <c r="O351" s="137" t="s">
        <v>3240</v>
      </c>
      <c r="P351" s="137" t="s">
        <v>337</v>
      </c>
      <c r="Q351" s="137" t="s">
        <v>3241</v>
      </c>
      <c r="R351" s="145">
        <v>8</v>
      </c>
      <c r="S351" s="137" t="s">
        <v>4347</v>
      </c>
      <c r="T351" s="137" t="s">
        <v>4931</v>
      </c>
      <c r="U351" s="143"/>
      <c r="V351" s="143"/>
      <c r="W351" s="143"/>
      <c r="X351" s="143" t="s">
        <v>87</v>
      </c>
    </row>
    <row r="352" spans="1:24" ht="26.25" hidden="1" customHeight="1">
      <c r="A352" s="17">
        <f t="shared" si="1"/>
        <v>349</v>
      </c>
      <c r="B352" s="18" t="s">
        <v>105</v>
      </c>
      <c r="C352" s="31" t="s">
        <v>2091</v>
      </c>
      <c r="D352" s="19" t="s">
        <v>2092</v>
      </c>
      <c r="E352" s="20" t="s">
        <v>2093</v>
      </c>
      <c r="F352" s="32" t="s">
        <v>2094</v>
      </c>
      <c r="G352" s="33" t="s">
        <v>42</v>
      </c>
      <c r="H352" s="23" t="s">
        <v>2095</v>
      </c>
      <c r="I352" s="24" t="s">
        <v>55</v>
      </c>
      <c r="J352" s="1" t="str">
        <f t="shared" si="0"/>
        <v/>
      </c>
      <c r="K352" s="1"/>
      <c r="L352" s="1"/>
      <c r="M352" s="145">
        <v>79</v>
      </c>
      <c r="N352" s="137" t="s">
        <v>4337</v>
      </c>
      <c r="O352" s="137" t="s">
        <v>3398</v>
      </c>
      <c r="P352" s="137" t="s">
        <v>45</v>
      </c>
      <c r="Q352" s="137" t="s">
        <v>3399</v>
      </c>
      <c r="R352" s="145">
        <v>6</v>
      </c>
      <c r="S352" s="129"/>
      <c r="T352" s="137" t="s">
        <v>4932</v>
      </c>
      <c r="U352" s="143"/>
      <c r="V352" s="143"/>
      <c r="W352" s="143"/>
      <c r="X352" s="143" t="s">
        <v>87</v>
      </c>
    </row>
    <row r="353" spans="1:24" ht="26.25" hidden="1" customHeight="1">
      <c r="A353" s="17">
        <f t="shared" si="1"/>
        <v>350</v>
      </c>
      <c r="B353" s="18" t="s">
        <v>132</v>
      </c>
      <c r="C353" s="31" t="s">
        <v>2096</v>
      </c>
      <c r="D353" s="19" t="s">
        <v>447</v>
      </c>
      <c r="E353" s="20" t="s">
        <v>2097</v>
      </c>
      <c r="F353" s="32" t="s">
        <v>2098</v>
      </c>
      <c r="G353" s="22" t="s">
        <v>31</v>
      </c>
      <c r="H353" s="23" t="s">
        <v>2099</v>
      </c>
      <c r="I353" s="24" t="s">
        <v>55</v>
      </c>
      <c r="J353" s="1" t="str">
        <f t="shared" si="0"/>
        <v/>
      </c>
      <c r="K353" s="1"/>
      <c r="L353" s="1"/>
      <c r="M353" s="145">
        <v>80</v>
      </c>
      <c r="N353" s="137" t="s">
        <v>4337</v>
      </c>
      <c r="O353" s="137" t="s">
        <v>3458</v>
      </c>
      <c r="P353" s="137" t="s">
        <v>4933</v>
      </c>
      <c r="Q353" s="137" t="s">
        <v>3460</v>
      </c>
      <c r="R353" s="145">
        <v>6</v>
      </c>
      <c r="S353" s="129"/>
      <c r="T353" s="137" t="s">
        <v>4934</v>
      </c>
      <c r="U353" s="143"/>
      <c r="V353" s="143"/>
      <c r="W353" s="143"/>
      <c r="X353" s="143" t="s">
        <v>87</v>
      </c>
    </row>
    <row r="354" spans="1:24" ht="26.25" hidden="1" customHeight="1">
      <c r="A354" s="17">
        <f t="shared" si="1"/>
        <v>351</v>
      </c>
      <c r="B354" s="18" t="s">
        <v>37</v>
      </c>
      <c r="C354" s="31" t="s">
        <v>865</v>
      </c>
      <c r="D354" s="19" t="s">
        <v>277</v>
      </c>
      <c r="E354" s="20" t="s">
        <v>866</v>
      </c>
      <c r="F354" s="32" t="s">
        <v>2100</v>
      </c>
      <c r="G354" s="22" t="s">
        <v>42</v>
      </c>
      <c r="H354" s="23" t="s">
        <v>2101</v>
      </c>
      <c r="I354" s="24" t="s">
        <v>55</v>
      </c>
      <c r="J354" s="1" t="str">
        <f t="shared" si="0"/>
        <v/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6.25" hidden="1" customHeight="1">
      <c r="A355" s="17">
        <f t="shared" si="1"/>
        <v>352</v>
      </c>
      <c r="B355" s="18" t="s">
        <v>48</v>
      </c>
      <c r="C355" s="31" t="s">
        <v>2102</v>
      </c>
      <c r="D355" s="19" t="s">
        <v>447</v>
      </c>
      <c r="E355" s="20" t="s">
        <v>2103</v>
      </c>
      <c r="F355" s="32" t="s">
        <v>416</v>
      </c>
      <c r="G355" s="33" t="s">
        <v>31</v>
      </c>
      <c r="H355" s="23" t="s">
        <v>2104</v>
      </c>
      <c r="I355" s="24" t="s">
        <v>55</v>
      </c>
      <c r="J355" s="1" t="str">
        <f t="shared" si="0"/>
        <v/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6.25" customHeight="1">
      <c r="A356" s="17">
        <f t="shared" si="1"/>
        <v>353</v>
      </c>
      <c r="B356" s="18" t="s">
        <v>105</v>
      </c>
      <c r="C356" s="19" t="s">
        <v>2105</v>
      </c>
      <c r="D356" s="19" t="s">
        <v>124</v>
      </c>
      <c r="E356" s="20" t="s">
        <v>2106</v>
      </c>
      <c r="F356" s="21" t="s">
        <v>905</v>
      </c>
      <c r="G356" s="33" t="s">
        <v>42</v>
      </c>
      <c r="H356" s="23" t="s">
        <v>2107</v>
      </c>
      <c r="I356" s="24" t="s">
        <v>20</v>
      </c>
      <c r="J356" s="1" t="str">
        <f t="shared" si="0"/>
        <v>FRIC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6.25" customHeight="1">
      <c r="A357" s="17">
        <f t="shared" si="1"/>
        <v>354</v>
      </c>
      <c r="B357" s="18" t="s">
        <v>146</v>
      </c>
      <c r="C357" s="19" t="s">
        <v>2108</v>
      </c>
      <c r="D357" s="19" t="s">
        <v>939</v>
      </c>
      <c r="E357" s="20" t="s">
        <v>2109</v>
      </c>
      <c r="F357" s="21" t="s">
        <v>2110</v>
      </c>
      <c r="G357" s="33" t="s">
        <v>42</v>
      </c>
      <c r="H357" s="23" t="s">
        <v>2111</v>
      </c>
      <c r="I357" s="24" t="s">
        <v>20</v>
      </c>
      <c r="J357" s="1" t="str">
        <f t="shared" si="0"/>
        <v>FRIC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6.25" customHeight="1">
      <c r="A358" s="17">
        <f t="shared" si="1"/>
        <v>355</v>
      </c>
      <c r="B358" s="18" t="s">
        <v>146</v>
      </c>
      <c r="C358" s="19" t="s">
        <v>2112</v>
      </c>
      <c r="D358" s="19" t="s">
        <v>447</v>
      </c>
      <c r="E358" s="20" t="s">
        <v>2113</v>
      </c>
      <c r="F358" s="21" t="s">
        <v>135</v>
      </c>
      <c r="G358" s="33" t="s">
        <v>42</v>
      </c>
      <c r="H358" s="23" t="s">
        <v>2114</v>
      </c>
      <c r="I358" s="24" t="s">
        <v>20</v>
      </c>
      <c r="J358" s="1" t="str">
        <f t="shared" si="0"/>
        <v>FRIC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6.25" hidden="1" customHeight="1">
      <c r="A359" s="17">
        <f t="shared" si="1"/>
        <v>356</v>
      </c>
      <c r="B359" s="18" t="s">
        <v>248</v>
      </c>
      <c r="C359" s="19" t="s">
        <v>1710</v>
      </c>
      <c r="D359" s="19" t="s">
        <v>124</v>
      </c>
      <c r="E359" s="20" t="s">
        <v>1711</v>
      </c>
      <c r="F359" s="32" t="s">
        <v>52</v>
      </c>
      <c r="G359" s="33" t="s">
        <v>42</v>
      </c>
      <c r="H359" s="23" t="s">
        <v>2115</v>
      </c>
      <c r="I359" s="34" t="s">
        <v>55</v>
      </c>
      <c r="J359" s="1" t="str">
        <f t="shared" si="0"/>
        <v/>
      </c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</row>
    <row r="360" spans="1:24" ht="26.25" customHeight="1">
      <c r="A360" s="17">
        <f t="shared" si="1"/>
        <v>357</v>
      </c>
      <c r="B360" s="18" t="s">
        <v>132</v>
      </c>
      <c r="C360" s="19" t="s">
        <v>2116</v>
      </c>
      <c r="D360" s="19" t="s">
        <v>447</v>
      </c>
      <c r="E360" s="20" t="s">
        <v>2117</v>
      </c>
      <c r="F360" s="21" t="s">
        <v>933</v>
      </c>
      <c r="G360" s="22" t="s">
        <v>42</v>
      </c>
      <c r="H360" s="23" t="s">
        <v>2118</v>
      </c>
      <c r="I360" s="24" t="s">
        <v>20</v>
      </c>
      <c r="J360" s="1" t="str">
        <f t="shared" si="0"/>
        <v>FRIC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6.25" customHeight="1">
      <c r="A361" s="17">
        <f t="shared" si="1"/>
        <v>358</v>
      </c>
      <c r="B361" s="18" t="s">
        <v>37</v>
      </c>
      <c r="C361" s="19" t="s">
        <v>2119</v>
      </c>
      <c r="D361" s="19" t="s">
        <v>447</v>
      </c>
      <c r="E361" s="20" t="s">
        <v>2120</v>
      </c>
      <c r="F361" s="21" t="s">
        <v>2121</v>
      </c>
      <c r="G361" s="22" t="s">
        <v>42</v>
      </c>
      <c r="H361" s="23" t="s">
        <v>2122</v>
      </c>
      <c r="I361" s="24" t="s">
        <v>20</v>
      </c>
      <c r="J361" s="1" t="str">
        <f t="shared" si="0"/>
        <v>FRIC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6.25" customHeight="1">
      <c r="A362" s="17">
        <f t="shared" si="1"/>
        <v>359</v>
      </c>
      <c r="B362" s="18" t="s">
        <v>132</v>
      </c>
      <c r="C362" s="19" t="s">
        <v>2123</v>
      </c>
      <c r="D362" s="19" t="s">
        <v>939</v>
      </c>
      <c r="E362" s="20" t="s">
        <v>2124</v>
      </c>
      <c r="F362" s="21" t="s">
        <v>2121</v>
      </c>
      <c r="G362" s="22" t="s">
        <v>42</v>
      </c>
      <c r="H362" s="23" t="s">
        <v>2125</v>
      </c>
      <c r="I362" s="24" t="s">
        <v>20</v>
      </c>
      <c r="J362" s="1" t="str">
        <f t="shared" si="0"/>
        <v>FRIC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6.25" hidden="1" customHeight="1">
      <c r="A363" s="17">
        <f t="shared" si="1"/>
        <v>360</v>
      </c>
      <c r="B363" s="18" t="s">
        <v>132</v>
      </c>
      <c r="C363" s="31" t="s">
        <v>102</v>
      </c>
      <c r="D363" s="19" t="s">
        <v>588</v>
      </c>
      <c r="E363" s="20" t="s">
        <v>104</v>
      </c>
      <c r="F363" s="32" t="s">
        <v>962</v>
      </c>
      <c r="G363" s="22" t="s">
        <v>42</v>
      </c>
      <c r="H363" s="23" t="s">
        <v>2126</v>
      </c>
      <c r="I363" s="24" t="s">
        <v>55</v>
      </c>
      <c r="J363" s="1" t="str">
        <f t="shared" si="0"/>
        <v/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6.25" customHeight="1">
      <c r="A364" s="17">
        <f t="shared" si="1"/>
        <v>361</v>
      </c>
      <c r="B364" s="18" t="s">
        <v>1197</v>
      </c>
      <c r="C364" s="19" t="s">
        <v>2127</v>
      </c>
      <c r="D364" s="19" t="s">
        <v>939</v>
      </c>
      <c r="E364" s="20" t="s">
        <v>2128</v>
      </c>
      <c r="F364" s="21" t="s">
        <v>2129</v>
      </c>
      <c r="G364" s="33" t="s">
        <v>42</v>
      </c>
      <c r="H364" s="23" t="s">
        <v>2130</v>
      </c>
      <c r="I364" s="24" t="s">
        <v>20</v>
      </c>
      <c r="J364" s="1" t="str">
        <f t="shared" si="0"/>
        <v>FRIC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6.25" hidden="1" customHeight="1">
      <c r="A365" s="17">
        <f t="shared" si="1"/>
        <v>362</v>
      </c>
      <c r="B365" s="18" t="s">
        <v>105</v>
      </c>
      <c r="C365" s="31" t="s">
        <v>2131</v>
      </c>
      <c r="D365" s="19" t="s">
        <v>2132</v>
      </c>
      <c r="E365" s="20" t="s">
        <v>2133</v>
      </c>
      <c r="F365" s="32" t="s">
        <v>519</v>
      </c>
      <c r="G365" s="33" t="s">
        <v>42</v>
      </c>
      <c r="H365" s="23" t="s">
        <v>2134</v>
      </c>
      <c r="I365" s="24" t="s">
        <v>55</v>
      </c>
      <c r="J365" s="1" t="str">
        <f t="shared" si="0"/>
        <v/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6.25" hidden="1" customHeight="1">
      <c r="A366" s="17">
        <f t="shared" si="1"/>
        <v>363</v>
      </c>
      <c r="B366" s="18" t="s">
        <v>175</v>
      </c>
      <c r="C366" s="31" t="s">
        <v>2135</v>
      </c>
      <c r="D366" s="19" t="s">
        <v>374</v>
      </c>
      <c r="E366" s="20" t="s">
        <v>2136</v>
      </c>
      <c r="F366" s="32" t="s">
        <v>2137</v>
      </c>
      <c r="G366" s="33" t="s">
        <v>42</v>
      </c>
      <c r="H366" s="23" t="s">
        <v>2138</v>
      </c>
      <c r="I366" s="24" t="s">
        <v>55</v>
      </c>
      <c r="J366" s="1" t="str">
        <f t="shared" si="0"/>
        <v/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6.25" hidden="1" customHeight="1">
      <c r="A367" s="17">
        <f t="shared" si="1"/>
        <v>364</v>
      </c>
      <c r="B367" s="18" t="s">
        <v>27</v>
      </c>
      <c r="C367" s="31" t="s">
        <v>2139</v>
      </c>
      <c r="D367" s="19" t="s">
        <v>124</v>
      </c>
      <c r="E367" s="20" t="s">
        <v>2140</v>
      </c>
      <c r="F367" s="32" t="s">
        <v>542</v>
      </c>
      <c r="G367" s="22" t="s">
        <v>42</v>
      </c>
      <c r="H367" s="23" t="s">
        <v>2141</v>
      </c>
      <c r="I367" s="24" t="s">
        <v>55</v>
      </c>
      <c r="J367" s="1" t="str">
        <f t="shared" si="0"/>
        <v/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6.25" hidden="1" customHeight="1">
      <c r="A368" s="17">
        <f t="shared" si="1"/>
        <v>365</v>
      </c>
      <c r="B368" s="18" t="s">
        <v>1368</v>
      </c>
      <c r="C368" s="31" t="s">
        <v>2142</v>
      </c>
      <c r="D368" s="19" t="s">
        <v>2143</v>
      </c>
      <c r="E368" s="20" t="s">
        <v>2144</v>
      </c>
      <c r="F368" s="21" t="s">
        <v>1075</v>
      </c>
      <c r="G368" s="33" t="s">
        <v>53</v>
      </c>
      <c r="H368" s="23" t="s">
        <v>2145</v>
      </c>
      <c r="I368" s="24" t="s">
        <v>20</v>
      </c>
      <c r="J368" s="1" t="str">
        <f t="shared" si="0"/>
        <v>과기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6.25" hidden="1" customHeight="1">
      <c r="A369" s="17">
        <f t="shared" si="1"/>
        <v>366</v>
      </c>
      <c r="B369" s="18" t="s">
        <v>37</v>
      </c>
      <c r="C369" s="31" t="s">
        <v>2146</v>
      </c>
      <c r="D369" s="19" t="s">
        <v>141</v>
      </c>
      <c r="E369" s="20" t="s">
        <v>2147</v>
      </c>
      <c r="F369" s="32" t="s">
        <v>542</v>
      </c>
      <c r="G369" s="22" t="s">
        <v>53</v>
      </c>
      <c r="H369" s="23" t="s">
        <v>2148</v>
      </c>
      <c r="I369" s="24" t="s">
        <v>55</v>
      </c>
      <c r="J369" s="1" t="str">
        <f t="shared" si="0"/>
        <v/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6.25" customHeight="1">
      <c r="A370" s="17">
        <f t="shared" si="1"/>
        <v>367</v>
      </c>
      <c r="B370" s="18" t="s">
        <v>248</v>
      </c>
      <c r="C370" s="19" t="s">
        <v>2149</v>
      </c>
      <c r="D370" s="19" t="s">
        <v>447</v>
      </c>
      <c r="E370" s="20" t="s">
        <v>2150</v>
      </c>
      <c r="F370" s="21" t="s">
        <v>2151</v>
      </c>
      <c r="G370" s="33" t="s">
        <v>42</v>
      </c>
      <c r="H370" s="23" t="s">
        <v>2152</v>
      </c>
      <c r="I370" s="24" t="s">
        <v>20</v>
      </c>
      <c r="J370" s="1" t="str">
        <f t="shared" si="0"/>
        <v>FRIC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6.25" customHeight="1">
      <c r="A371" s="17">
        <f t="shared" si="1"/>
        <v>368</v>
      </c>
      <c r="B371" s="18" t="s">
        <v>13</v>
      </c>
      <c r="C371" s="19" t="s">
        <v>2153</v>
      </c>
      <c r="D371" s="19" t="s">
        <v>939</v>
      </c>
      <c r="E371" s="20" t="s">
        <v>2154</v>
      </c>
      <c r="F371" s="21" t="s">
        <v>229</v>
      </c>
      <c r="G371" s="22" t="s">
        <v>42</v>
      </c>
      <c r="H371" s="23" t="s">
        <v>2155</v>
      </c>
      <c r="I371" s="24" t="s">
        <v>20</v>
      </c>
      <c r="J371" s="1" t="str">
        <f t="shared" si="0"/>
        <v>FRIC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6.25" hidden="1" customHeight="1">
      <c r="A372" s="17">
        <f t="shared" si="1"/>
        <v>369</v>
      </c>
      <c r="B372" s="18" t="s">
        <v>233</v>
      </c>
      <c r="C372" s="31" t="s">
        <v>585</v>
      </c>
      <c r="D372" s="19" t="s">
        <v>2156</v>
      </c>
      <c r="E372" s="20" t="s">
        <v>586</v>
      </c>
      <c r="F372" s="32" t="s">
        <v>2157</v>
      </c>
      <c r="G372" s="22" t="s">
        <v>42</v>
      </c>
      <c r="H372" s="23" t="s">
        <v>2158</v>
      </c>
      <c r="I372" s="24" t="s">
        <v>55</v>
      </c>
      <c r="J372" s="1" t="str">
        <f t="shared" si="0"/>
        <v/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6.25" customHeight="1">
      <c r="A373" s="17">
        <f t="shared" si="1"/>
        <v>370</v>
      </c>
      <c r="B373" s="18" t="s">
        <v>132</v>
      </c>
      <c r="C373" s="19" t="s">
        <v>2159</v>
      </c>
      <c r="D373" s="19" t="s">
        <v>447</v>
      </c>
      <c r="E373" s="20" t="s">
        <v>2160</v>
      </c>
      <c r="F373" s="21" t="s">
        <v>2161</v>
      </c>
      <c r="G373" s="22" t="s">
        <v>42</v>
      </c>
      <c r="H373" s="23" t="s">
        <v>2162</v>
      </c>
      <c r="I373" s="24" t="s">
        <v>20</v>
      </c>
      <c r="J373" s="1" t="str">
        <f t="shared" si="0"/>
        <v>FRIC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6.25" hidden="1" customHeight="1">
      <c r="A374" s="17">
        <f t="shared" si="1"/>
        <v>371</v>
      </c>
      <c r="B374" s="18" t="s">
        <v>175</v>
      </c>
      <c r="C374" s="31" t="s">
        <v>2163</v>
      </c>
      <c r="D374" s="19" t="s">
        <v>2164</v>
      </c>
      <c r="E374" s="20" t="s">
        <v>2165</v>
      </c>
      <c r="F374" s="32" t="s">
        <v>2166</v>
      </c>
      <c r="G374" s="33" t="s">
        <v>42</v>
      </c>
      <c r="H374" s="23" t="s">
        <v>2167</v>
      </c>
      <c r="I374" s="24" t="s">
        <v>55</v>
      </c>
      <c r="J374" s="1" t="str">
        <f t="shared" si="0"/>
        <v/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6.25" customHeight="1">
      <c r="A375" s="17">
        <f t="shared" si="1"/>
        <v>372</v>
      </c>
      <c r="B375" s="18" t="s">
        <v>248</v>
      </c>
      <c r="C375" s="19" t="s">
        <v>2168</v>
      </c>
      <c r="D375" s="19" t="s">
        <v>939</v>
      </c>
      <c r="E375" s="20" t="s">
        <v>2169</v>
      </c>
      <c r="F375" s="21" t="s">
        <v>2052</v>
      </c>
      <c r="G375" s="33" t="s">
        <v>42</v>
      </c>
      <c r="H375" s="23" t="s">
        <v>2170</v>
      </c>
      <c r="I375" s="24" t="s">
        <v>20</v>
      </c>
      <c r="J375" s="1" t="str">
        <f t="shared" si="0"/>
        <v>FRIC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6.25" customHeight="1">
      <c r="A376" s="17">
        <f t="shared" si="1"/>
        <v>373</v>
      </c>
      <c r="B376" s="18" t="s">
        <v>248</v>
      </c>
      <c r="C376" s="19" t="s">
        <v>2171</v>
      </c>
      <c r="D376" s="19" t="s">
        <v>124</v>
      </c>
      <c r="E376" s="20" t="s">
        <v>2172</v>
      </c>
      <c r="F376" s="21" t="s">
        <v>135</v>
      </c>
      <c r="G376" s="33" t="s">
        <v>42</v>
      </c>
      <c r="H376" s="23" t="s">
        <v>2173</v>
      </c>
      <c r="I376" s="24" t="s">
        <v>20</v>
      </c>
      <c r="J376" s="1" t="str">
        <f t="shared" si="0"/>
        <v>FRIC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6.25" hidden="1" customHeight="1">
      <c r="A377" s="17">
        <f t="shared" si="1"/>
        <v>374</v>
      </c>
      <c r="B377" s="18" t="s">
        <v>105</v>
      </c>
      <c r="C377" s="31" t="s">
        <v>2174</v>
      </c>
      <c r="D377" s="19" t="s">
        <v>2175</v>
      </c>
      <c r="E377" s="20" t="s">
        <v>2176</v>
      </c>
      <c r="F377" s="32" t="s">
        <v>222</v>
      </c>
      <c r="G377" s="33" t="s">
        <v>42</v>
      </c>
      <c r="H377" s="23" t="s">
        <v>2177</v>
      </c>
      <c r="I377" s="24" t="s">
        <v>55</v>
      </c>
      <c r="J377" s="1" t="str">
        <f t="shared" si="0"/>
        <v/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6.25" customHeight="1">
      <c r="A378" s="17">
        <f t="shared" si="1"/>
        <v>375</v>
      </c>
      <c r="B378" s="18" t="s">
        <v>248</v>
      </c>
      <c r="C378" s="19" t="s">
        <v>2178</v>
      </c>
      <c r="D378" s="19" t="s">
        <v>939</v>
      </c>
      <c r="E378" s="20" t="s">
        <v>2179</v>
      </c>
      <c r="F378" s="21" t="s">
        <v>135</v>
      </c>
      <c r="G378" s="33" t="s">
        <v>42</v>
      </c>
      <c r="H378" s="23" t="s">
        <v>2180</v>
      </c>
      <c r="I378" s="24" t="s">
        <v>20</v>
      </c>
      <c r="J378" s="1" t="str">
        <f t="shared" si="0"/>
        <v>FRIC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6.25" hidden="1" customHeight="1">
      <c r="A379" s="17">
        <f t="shared" si="1"/>
        <v>376</v>
      </c>
      <c r="B379" s="18" t="s">
        <v>2181</v>
      </c>
      <c r="C379" s="31" t="s">
        <v>2182</v>
      </c>
      <c r="D379" s="19" t="s">
        <v>2183</v>
      </c>
      <c r="E379" s="20" t="s">
        <v>2184</v>
      </c>
      <c r="F379" s="32" t="s">
        <v>222</v>
      </c>
      <c r="G379" s="33" t="s">
        <v>42</v>
      </c>
      <c r="H379" s="23" t="s">
        <v>2185</v>
      </c>
      <c r="I379" s="24" t="s">
        <v>55</v>
      </c>
      <c r="J379" s="1" t="str">
        <f t="shared" si="0"/>
        <v/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6.25" customHeight="1">
      <c r="A380" s="17">
        <f t="shared" si="1"/>
        <v>377</v>
      </c>
      <c r="B380" s="18" t="s">
        <v>37</v>
      </c>
      <c r="C380" s="19" t="s">
        <v>2186</v>
      </c>
      <c r="D380" s="19" t="s">
        <v>141</v>
      </c>
      <c r="E380" s="20" t="s">
        <v>2187</v>
      </c>
      <c r="F380" s="21" t="s">
        <v>1970</v>
      </c>
      <c r="G380" s="22" t="s">
        <v>42</v>
      </c>
      <c r="H380" s="23" t="s">
        <v>2188</v>
      </c>
      <c r="I380" s="24" t="s">
        <v>20</v>
      </c>
      <c r="J380" s="1" t="str">
        <f t="shared" si="0"/>
        <v>FRIC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6.25" hidden="1" customHeight="1">
      <c r="A381" s="17">
        <f t="shared" si="1"/>
        <v>378</v>
      </c>
      <c r="B381" s="18" t="s">
        <v>13</v>
      </c>
      <c r="C381" s="31" t="s">
        <v>2189</v>
      </c>
      <c r="D381" s="19" t="s">
        <v>939</v>
      </c>
      <c r="E381" s="20" t="s">
        <v>2190</v>
      </c>
      <c r="F381" s="32" t="s">
        <v>2191</v>
      </c>
      <c r="G381" s="22" t="s">
        <v>42</v>
      </c>
      <c r="H381" s="23" t="s">
        <v>2192</v>
      </c>
      <c r="I381" s="24" t="s">
        <v>55</v>
      </c>
      <c r="J381" s="1" t="str">
        <f t="shared" si="0"/>
        <v/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6.25" hidden="1" customHeight="1">
      <c r="A382" s="17">
        <f t="shared" si="1"/>
        <v>379</v>
      </c>
      <c r="B382" s="18" t="s">
        <v>81</v>
      </c>
      <c r="C382" s="31" t="s">
        <v>2193</v>
      </c>
      <c r="D382" s="19" t="s">
        <v>2194</v>
      </c>
      <c r="E382" s="20" t="s">
        <v>2195</v>
      </c>
      <c r="F382" s="32" t="s">
        <v>2196</v>
      </c>
      <c r="G382" s="33" t="s">
        <v>42</v>
      </c>
      <c r="H382" s="23" t="s">
        <v>2197</v>
      </c>
      <c r="I382" s="24" t="s">
        <v>55</v>
      </c>
      <c r="J382" s="1" t="str">
        <f t="shared" si="0"/>
        <v/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6.25" hidden="1" customHeight="1">
      <c r="A383" s="17">
        <f t="shared" si="1"/>
        <v>380</v>
      </c>
      <c r="B383" s="18" t="s">
        <v>27</v>
      </c>
      <c r="C383" s="31" t="s">
        <v>2198</v>
      </c>
      <c r="D383" s="19" t="s">
        <v>124</v>
      </c>
      <c r="E383" s="20" t="s">
        <v>2199</v>
      </c>
      <c r="F383" s="21" t="s">
        <v>2200</v>
      </c>
      <c r="G383" s="22" t="s">
        <v>42</v>
      </c>
      <c r="H383" s="23" t="s">
        <v>2201</v>
      </c>
      <c r="I383" s="34" t="s">
        <v>20</v>
      </c>
      <c r="J383" s="1" t="str">
        <f t="shared" si="0"/>
        <v>과기</v>
      </c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</row>
    <row r="384" spans="1:24" ht="26.25" customHeight="1">
      <c r="A384" s="17">
        <f t="shared" si="1"/>
        <v>381</v>
      </c>
      <c r="B384" s="18" t="s">
        <v>248</v>
      </c>
      <c r="C384" s="19" t="s">
        <v>2202</v>
      </c>
      <c r="D384" s="19" t="s">
        <v>939</v>
      </c>
      <c r="E384" s="20" t="s">
        <v>2203</v>
      </c>
      <c r="F384" s="21" t="s">
        <v>135</v>
      </c>
      <c r="G384" s="33" t="s">
        <v>42</v>
      </c>
      <c r="H384" s="23" t="s">
        <v>2204</v>
      </c>
      <c r="I384" s="24" t="s">
        <v>20</v>
      </c>
      <c r="J384" s="1" t="str">
        <f t="shared" si="0"/>
        <v>FRIC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6.25" customHeight="1">
      <c r="A385" s="17">
        <f t="shared" si="1"/>
        <v>382</v>
      </c>
      <c r="B385" s="18" t="s">
        <v>132</v>
      </c>
      <c r="C385" s="19" t="s">
        <v>2205</v>
      </c>
      <c r="D385" s="19" t="s">
        <v>447</v>
      </c>
      <c r="E385" s="20" t="s">
        <v>2206</v>
      </c>
      <c r="F385" s="21" t="s">
        <v>2207</v>
      </c>
      <c r="G385" s="22" t="s">
        <v>42</v>
      </c>
      <c r="H385" s="23" t="s">
        <v>2208</v>
      </c>
      <c r="I385" s="24" t="s">
        <v>20</v>
      </c>
      <c r="J385" s="1" t="str">
        <f t="shared" si="0"/>
        <v>FRIC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6.25" hidden="1" customHeight="1">
      <c r="A386" s="17">
        <f t="shared" si="1"/>
        <v>383</v>
      </c>
      <c r="B386" s="18" t="s">
        <v>132</v>
      </c>
      <c r="C386" s="31" t="s">
        <v>2209</v>
      </c>
      <c r="D386" s="19" t="s">
        <v>227</v>
      </c>
      <c r="E386" s="20" t="s">
        <v>2210</v>
      </c>
      <c r="F386" s="32" t="s">
        <v>2211</v>
      </c>
      <c r="G386" s="22" t="s">
        <v>42</v>
      </c>
      <c r="H386" s="23" t="s">
        <v>2212</v>
      </c>
      <c r="I386" s="24" t="s">
        <v>55</v>
      </c>
      <c r="J386" s="1" t="str">
        <f t="shared" si="0"/>
        <v/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6.25" hidden="1" customHeight="1">
      <c r="A387" s="17">
        <f t="shared" si="1"/>
        <v>384</v>
      </c>
      <c r="B387" s="18" t="s">
        <v>81</v>
      </c>
      <c r="C387" s="31" t="s">
        <v>2213</v>
      </c>
      <c r="D387" s="19" t="s">
        <v>271</v>
      </c>
      <c r="E387" s="20" t="s">
        <v>2214</v>
      </c>
      <c r="F387" s="32" t="s">
        <v>2215</v>
      </c>
      <c r="G387" s="33" t="s">
        <v>1290</v>
      </c>
      <c r="H387" s="23" t="s">
        <v>2216</v>
      </c>
      <c r="I387" s="24" t="s">
        <v>55</v>
      </c>
      <c r="J387" s="1" t="str">
        <f t="shared" si="0"/>
        <v/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6.25" hidden="1" customHeight="1">
      <c r="A388" s="17">
        <f t="shared" si="1"/>
        <v>385</v>
      </c>
      <c r="B388" s="18" t="s">
        <v>1375</v>
      </c>
      <c r="C388" s="31" t="s">
        <v>2217</v>
      </c>
      <c r="D388" s="19" t="s">
        <v>2218</v>
      </c>
      <c r="E388" s="20" t="s">
        <v>2219</v>
      </c>
      <c r="F388" s="32" t="s">
        <v>1921</v>
      </c>
      <c r="G388" s="22" t="s">
        <v>31</v>
      </c>
      <c r="H388" s="23" t="s">
        <v>2220</v>
      </c>
      <c r="I388" s="24" t="s">
        <v>55</v>
      </c>
      <c r="J388" s="1" t="str">
        <f t="shared" si="0"/>
        <v/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6.25" hidden="1" customHeight="1">
      <c r="A389" s="17">
        <f t="shared" si="1"/>
        <v>386</v>
      </c>
      <c r="B389" s="18" t="s">
        <v>27</v>
      </c>
      <c r="C389" s="31" t="s">
        <v>2221</v>
      </c>
      <c r="D389" s="19" t="s">
        <v>808</v>
      </c>
      <c r="E389" s="20" t="s">
        <v>2222</v>
      </c>
      <c r="F389" s="32" t="s">
        <v>428</v>
      </c>
      <c r="G389" s="22" t="s">
        <v>53</v>
      </c>
      <c r="H389" s="23" t="s">
        <v>2223</v>
      </c>
      <c r="I389" s="24" t="s">
        <v>55</v>
      </c>
      <c r="J389" s="1" t="str">
        <f t="shared" si="0"/>
        <v/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6.25" hidden="1" customHeight="1">
      <c r="A390" s="17">
        <f t="shared" si="1"/>
        <v>387</v>
      </c>
      <c r="B390" s="18" t="s">
        <v>27</v>
      </c>
      <c r="C390" s="31" t="s">
        <v>2224</v>
      </c>
      <c r="D390" s="19" t="s">
        <v>808</v>
      </c>
      <c r="E390" s="20" t="s">
        <v>809</v>
      </c>
      <c r="F390" s="32" t="s">
        <v>2225</v>
      </c>
      <c r="G390" s="22" t="s">
        <v>42</v>
      </c>
      <c r="H390" s="23" t="s">
        <v>2226</v>
      </c>
      <c r="I390" s="24" t="s">
        <v>55</v>
      </c>
      <c r="J390" s="1" t="str">
        <f t="shared" si="0"/>
        <v/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6.25" hidden="1" customHeight="1">
      <c r="A391" s="17">
        <f t="shared" si="1"/>
        <v>388</v>
      </c>
      <c r="B391" s="18" t="s">
        <v>27</v>
      </c>
      <c r="C391" s="31" t="s">
        <v>2227</v>
      </c>
      <c r="D391" s="19" t="s">
        <v>808</v>
      </c>
      <c r="E391" s="20" t="s">
        <v>814</v>
      </c>
      <c r="F391" s="32" t="s">
        <v>2225</v>
      </c>
      <c r="G391" s="22" t="s">
        <v>42</v>
      </c>
      <c r="H391" s="23" t="s">
        <v>2228</v>
      </c>
      <c r="I391" s="24" t="s">
        <v>55</v>
      </c>
      <c r="J391" s="1" t="str">
        <f t="shared" si="0"/>
        <v/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6.25" hidden="1" customHeight="1">
      <c r="A392" s="17">
        <f t="shared" si="1"/>
        <v>389</v>
      </c>
      <c r="B392" s="18" t="s">
        <v>27</v>
      </c>
      <c r="C392" s="31" t="s">
        <v>2229</v>
      </c>
      <c r="D392" s="19" t="s">
        <v>808</v>
      </c>
      <c r="E392" s="20" t="s">
        <v>820</v>
      </c>
      <c r="F392" s="32" t="s">
        <v>2225</v>
      </c>
      <c r="G392" s="22" t="s">
        <v>42</v>
      </c>
      <c r="H392" s="23" t="s">
        <v>2230</v>
      </c>
      <c r="I392" s="24" t="s">
        <v>55</v>
      </c>
      <c r="J392" s="1" t="str">
        <f t="shared" si="0"/>
        <v/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6.25" customHeight="1">
      <c r="A393" s="17">
        <f t="shared" si="1"/>
        <v>390</v>
      </c>
      <c r="B393" s="18" t="s">
        <v>13</v>
      </c>
      <c r="C393" s="19" t="s">
        <v>2231</v>
      </c>
      <c r="D393" s="19" t="s">
        <v>939</v>
      </c>
      <c r="E393" s="20" t="s">
        <v>2232</v>
      </c>
      <c r="F393" s="21" t="s">
        <v>1011</v>
      </c>
      <c r="G393" s="22" t="s">
        <v>42</v>
      </c>
      <c r="H393" s="23" t="s">
        <v>2233</v>
      </c>
      <c r="I393" s="24" t="s">
        <v>20</v>
      </c>
      <c r="J393" s="1" t="str">
        <f t="shared" si="0"/>
        <v>FRIC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6.25" customHeight="1">
      <c r="A394" s="17">
        <f t="shared" si="1"/>
        <v>391</v>
      </c>
      <c r="B394" s="18" t="s">
        <v>37</v>
      </c>
      <c r="C394" s="19" t="s">
        <v>2234</v>
      </c>
      <c r="D394" s="19" t="s">
        <v>45</v>
      </c>
      <c r="E394" s="20" t="s">
        <v>2235</v>
      </c>
      <c r="F394" s="21" t="s">
        <v>2236</v>
      </c>
      <c r="G394" s="22" t="s">
        <v>42</v>
      </c>
      <c r="H394" s="23" t="s">
        <v>2237</v>
      </c>
      <c r="I394" s="24" t="s">
        <v>20</v>
      </c>
      <c r="J394" s="1" t="str">
        <f t="shared" si="0"/>
        <v>FRIC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6.25" customHeight="1">
      <c r="A395" s="17">
        <f t="shared" si="1"/>
        <v>392</v>
      </c>
      <c r="B395" s="18" t="s">
        <v>37</v>
      </c>
      <c r="C395" s="19" t="s">
        <v>2238</v>
      </c>
      <c r="D395" s="19" t="s">
        <v>277</v>
      </c>
      <c r="E395" s="20" t="s">
        <v>2239</v>
      </c>
      <c r="F395" s="21" t="s">
        <v>85</v>
      </c>
      <c r="G395" s="22" t="s">
        <v>42</v>
      </c>
      <c r="H395" s="23" t="s">
        <v>2240</v>
      </c>
      <c r="I395" s="24" t="s">
        <v>20</v>
      </c>
      <c r="J395" s="1" t="str">
        <f t="shared" si="0"/>
        <v>FRIC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6.25" hidden="1" customHeight="1">
      <c r="A396" s="17">
        <f t="shared" si="1"/>
        <v>393</v>
      </c>
      <c r="B396" s="18" t="s">
        <v>37</v>
      </c>
      <c r="C396" s="31" t="s">
        <v>2241</v>
      </c>
      <c r="D396" s="19" t="s">
        <v>2242</v>
      </c>
      <c r="E396" s="20" t="s">
        <v>2243</v>
      </c>
      <c r="F396" s="32" t="s">
        <v>2244</v>
      </c>
      <c r="G396" s="22" t="s">
        <v>53</v>
      </c>
      <c r="H396" s="23" t="s">
        <v>2245</v>
      </c>
      <c r="I396" s="24" t="s">
        <v>55</v>
      </c>
      <c r="J396" s="1" t="str">
        <f t="shared" si="0"/>
        <v/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6.25" hidden="1" customHeight="1">
      <c r="A397" s="17">
        <f t="shared" si="1"/>
        <v>394</v>
      </c>
      <c r="B397" s="18" t="s">
        <v>37</v>
      </c>
      <c r="C397" s="31" t="s">
        <v>2246</v>
      </c>
      <c r="D397" s="19" t="s">
        <v>2247</v>
      </c>
      <c r="E397" s="20" t="s">
        <v>2248</v>
      </c>
      <c r="F397" s="32" t="s">
        <v>2249</v>
      </c>
      <c r="G397" s="22" t="s">
        <v>42</v>
      </c>
      <c r="H397" s="23" t="s">
        <v>2250</v>
      </c>
      <c r="I397" s="24" t="s">
        <v>55</v>
      </c>
      <c r="J397" s="1" t="str">
        <f t="shared" si="0"/>
        <v/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6.25" hidden="1" customHeight="1">
      <c r="A398" s="17">
        <f t="shared" si="1"/>
        <v>395</v>
      </c>
      <c r="B398" s="18" t="s">
        <v>37</v>
      </c>
      <c r="C398" s="31" t="s">
        <v>2251</v>
      </c>
      <c r="D398" s="19" t="s">
        <v>277</v>
      </c>
      <c r="E398" s="20" t="s">
        <v>2252</v>
      </c>
      <c r="F398" s="32" t="s">
        <v>2253</v>
      </c>
      <c r="G398" s="22" t="s">
        <v>42</v>
      </c>
      <c r="H398" s="23" t="s">
        <v>2254</v>
      </c>
      <c r="I398" s="24" t="s">
        <v>55</v>
      </c>
      <c r="J398" s="1" t="str">
        <f t="shared" si="0"/>
        <v/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6.25" hidden="1" customHeight="1">
      <c r="A399" s="17">
        <f t="shared" si="1"/>
        <v>396</v>
      </c>
      <c r="B399" s="18" t="s">
        <v>105</v>
      </c>
      <c r="C399" s="31" t="s">
        <v>2255</v>
      </c>
      <c r="D399" s="19" t="s">
        <v>277</v>
      </c>
      <c r="E399" s="20" t="s">
        <v>2256</v>
      </c>
      <c r="F399" s="32" t="s">
        <v>2257</v>
      </c>
      <c r="G399" s="33" t="s">
        <v>63</v>
      </c>
      <c r="H399" s="23" t="s">
        <v>2258</v>
      </c>
      <c r="I399" s="24" t="s">
        <v>55</v>
      </c>
      <c r="J399" s="1" t="str">
        <f t="shared" si="0"/>
        <v/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6.25" hidden="1" customHeight="1">
      <c r="A400" s="17">
        <f t="shared" si="1"/>
        <v>397</v>
      </c>
      <c r="B400" s="18" t="s">
        <v>132</v>
      </c>
      <c r="C400" s="31" t="s">
        <v>2259</v>
      </c>
      <c r="D400" s="19" t="s">
        <v>447</v>
      </c>
      <c r="E400" s="20" t="s">
        <v>2260</v>
      </c>
      <c r="F400" s="21" t="s">
        <v>1363</v>
      </c>
      <c r="G400" s="22" t="s">
        <v>31</v>
      </c>
      <c r="H400" s="23" t="s">
        <v>2261</v>
      </c>
      <c r="I400" s="24" t="s">
        <v>20</v>
      </c>
      <c r="J400" s="1" t="str">
        <f t="shared" si="0"/>
        <v>과기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6.25" customHeight="1">
      <c r="A401" s="17">
        <f t="shared" si="1"/>
        <v>398</v>
      </c>
      <c r="B401" s="18" t="s">
        <v>175</v>
      </c>
      <c r="C401" s="19" t="s">
        <v>2262</v>
      </c>
      <c r="D401" s="19" t="s">
        <v>2263</v>
      </c>
      <c r="E401" s="20" t="s">
        <v>2264</v>
      </c>
      <c r="F401" s="21" t="s">
        <v>905</v>
      </c>
      <c r="G401" s="33" t="s">
        <v>31</v>
      </c>
      <c r="H401" s="23" t="s">
        <v>2265</v>
      </c>
      <c r="I401" s="24" t="s">
        <v>20</v>
      </c>
      <c r="J401" s="1" t="str">
        <f t="shared" si="0"/>
        <v>FRIC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6.25" hidden="1" customHeight="1">
      <c r="A402" s="17">
        <f t="shared" si="1"/>
        <v>399</v>
      </c>
      <c r="B402" s="18" t="s">
        <v>48</v>
      </c>
      <c r="C402" s="31" t="s">
        <v>2266</v>
      </c>
      <c r="D402" s="19" t="s">
        <v>2267</v>
      </c>
      <c r="E402" s="20" t="s">
        <v>2268</v>
      </c>
      <c r="F402" s="32" t="s">
        <v>542</v>
      </c>
      <c r="G402" s="33" t="s">
        <v>42</v>
      </c>
      <c r="H402" s="23" t="s">
        <v>2269</v>
      </c>
      <c r="I402" s="24" t="s">
        <v>55</v>
      </c>
      <c r="J402" s="1" t="str">
        <f t="shared" si="0"/>
        <v/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6.25" hidden="1" customHeight="1">
      <c r="A403" s="17">
        <f t="shared" si="1"/>
        <v>400</v>
      </c>
      <c r="B403" s="18" t="s">
        <v>105</v>
      </c>
      <c r="C403" s="19" t="s">
        <v>2270</v>
      </c>
      <c r="D403" s="19" t="s">
        <v>2271</v>
      </c>
      <c r="E403" s="20" t="s">
        <v>1864</v>
      </c>
      <c r="F403" s="32" t="s">
        <v>2272</v>
      </c>
      <c r="G403" s="33" t="s">
        <v>42</v>
      </c>
      <c r="H403" s="23" t="s">
        <v>2273</v>
      </c>
      <c r="I403" s="34" t="s">
        <v>55</v>
      </c>
      <c r="J403" s="1" t="str">
        <f t="shared" si="0"/>
        <v/>
      </c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</row>
    <row r="404" spans="1:24" ht="26.25" hidden="1" customHeight="1">
      <c r="A404" s="17">
        <f t="shared" si="1"/>
        <v>401</v>
      </c>
      <c r="B404" s="18" t="s">
        <v>175</v>
      </c>
      <c r="C404" s="31" t="s">
        <v>2274</v>
      </c>
      <c r="D404" s="19" t="s">
        <v>722</v>
      </c>
      <c r="E404" s="20" t="s">
        <v>2275</v>
      </c>
      <c r="F404" s="32" t="s">
        <v>2276</v>
      </c>
      <c r="G404" s="33" t="s">
        <v>42</v>
      </c>
      <c r="H404" s="23" t="s">
        <v>2277</v>
      </c>
      <c r="I404" s="24" t="s">
        <v>55</v>
      </c>
      <c r="J404" s="1" t="str">
        <f t="shared" si="0"/>
        <v/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6.25" hidden="1" customHeight="1">
      <c r="A405" s="17">
        <f t="shared" si="1"/>
        <v>402</v>
      </c>
      <c r="B405" s="18" t="s">
        <v>105</v>
      </c>
      <c r="C405" s="31" t="s">
        <v>2278</v>
      </c>
      <c r="D405" s="19" t="s">
        <v>499</v>
      </c>
      <c r="E405" s="20" t="s">
        <v>2279</v>
      </c>
      <c r="F405" s="32" t="s">
        <v>2280</v>
      </c>
      <c r="G405" s="33" t="s">
        <v>1290</v>
      </c>
      <c r="H405" s="23" t="s">
        <v>2281</v>
      </c>
      <c r="I405" s="24" t="s">
        <v>55</v>
      </c>
      <c r="J405" s="1" t="str">
        <f t="shared" si="0"/>
        <v/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6.25" customHeight="1">
      <c r="A406" s="17">
        <f t="shared" si="1"/>
        <v>403</v>
      </c>
      <c r="B406" s="18" t="s">
        <v>248</v>
      </c>
      <c r="C406" s="19" t="s">
        <v>2282</v>
      </c>
      <c r="D406" s="19" t="s">
        <v>168</v>
      </c>
      <c r="E406" s="20" t="s">
        <v>2283</v>
      </c>
      <c r="F406" s="21" t="s">
        <v>2284</v>
      </c>
      <c r="G406" s="33" t="s">
        <v>31</v>
      </c>
      <c r="H406" s="23" t="s">
        <v>2285</v>
      </c>
      <c r="I406" s="24" t="s">
        <v>20</v>
      </c>
      <c r="J406" s="1" t="str">
        <f t="shared" si="0"/>
        <v>FRIC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6.25" customHeight="1">
      <c r="A407" s="17">
        <f t="shared" si="1"/>
        <v>404</v>
      </c>
      <c r="B407" s="18" t="s">
        <v>867</v>
      </c>
      <c r="C407" s="19" t="s">
        <v>2286</v>
      </c>
      <c r="D407" s="19" t="s">
        <v>2287</v>
      </c>
      <c r="E407" s="20" t="s">
        <v>2288</v>
      </c>
      <c r="F407" s="21" t="s">
        <v>293</v>
      </c>
      <c r="G407" s="33" t="s">
        <v>42</v>
      </c>
      <c r="H407" s="23" t="s">
        <v>2289</v>
      </c>
      <c r="I407" s="24" t="s">
        <v>20</v>
      </c>
      <c r="J407" s="1" t="str">
        <f t="shared" si="0"/>
        <v>FRIC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6.25" hidden="1" customHeight="1">
      <c r="A408" s="17">
        <f t="shared" si="1"/>
        <v>405</v>
      </c>
      <c r="B408" s="18" t="s">
        <v>105</v>
      </c>
      <c r="C408" s="31" t="s">
        <v>2290</v>
      </c>
      <c r="D408" s="19" t="s">
        <v>112</v>
      </c>
      <c r="E408" s="20" t="s">
        <v>113</v>
      </c>
      <c r="F408" s="32" t="s">
        <v>962</v>
      </c>
      <c r="G408" s="33" t="s">
        <v>42</v>
      </c>
      <c r="H408" s="23" t="s">
        <v>2291</v>
      </c>
      <c r="I408" s="24" t="s">
        <v>55</v>
      </c>
      <c r="J408" s="1" t="str">
        <f t="shared" si="0"/>
        <v/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6.25" hidden="1" customHeight="1">
      <c r="A409" s="17">
        <f t="shared" si="1"/>
        <v>406</v>
      </c>
      <c r="B409" s="18" t="s">
        <v>105</v>
      </c>
      <c r="C409" s="31" t="s">
        <v>2292</v>
      </c>
      <c r="D409" s="19" t="s">
        <v>124</v>
      </c>
      <c r="E409" s="20" t="s">
        <v>2293</v>
      </c>
      <c r="F409" s="32" t="s">
        <v>2294</v>
      </c>
      <c r="G409" s="33" t="s">
        <v>42</v>
      </c>
      <c r="H409" s="23" t="s">
        <v>2295</v>
      </c>
      <c r="I409" s="24" t="s">
        <v>55</v>
      </c>
      <c r="J409" s="1" t="str">
        <f t="shared" si="0"/>
        <v/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6.25" customHeight="1">
      <c r="A410" s="17">
        <f t="shared" si="1"/>
        <v>407</v>
      </c>
      <c r="B410" s="18" t="s">
        <v>132</v>
      </c>
      <c r="C410" s="19" t="s">
        <v>2296</v>
      </c>
      <c r="D410" s="19" t="s">
        <v>447</v>
      </c>
      <c r="E410" s="20" t="s">
        <v>2297</v>
      </c>
      <c r="F410" s="21" t="s">
        <v>135</v>
      </c>
      <c r="G410" s="22" t="s">
        <v>42</v>
      </c>
      <c r="H410" s="23" t="s">
        <v>2298</v>
      </c>
      <c r="I410" s="24" t="s">
        <v>20</v>
      </c>
      <c r="J410" s="1" t="str">
        <f t="shared" si="0"/>
        <v>FRIC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6.25" customHeight="1">
      <c r="A411" s="17">
        <f t="shared" si="1"/>
        <v>408</v>
      </c>
      <c r="B411" s="18" t="s">
        <v>27</v>
      </c>
      <c r="C411" s="19" t="s">
        <v>2299</v>
      </c>
      <c r="D411" s="19" t="s">
        <v>2300</v>
      </c>
      <c r="E411" s="20" t="s">
        <v>2301</v>
      </c>
      <c r="F411" s="21" t="s">
        <v>41</v>
      </c>
      <c r="G411" s="22" t="s">
        <v>42</v>
      </c>
      <c r="H411" s="23" t="s">
        <v>2302</v>
      </c>
      <c r="I411" s="24" t="s">
        <v>20</v>
      </c>
      <c r="J411" s="1" t="str">
        <f t="shared" si="0"/>
        <v>FRIC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6.25" hidden="1" customHeight="1">
      <c r="A412" s="17">
        <f t="shared" si="1"/>
        <v>409</v>
      </c>
      <c r="B412" s="18" t="s">
        <v>105</v>
      </c>
      <c r="C412" s="31" t="s">
        <v>2303</v>
      </c>
      <c r="D412" s="19" t="s">
        <v>277</v>
      </c>
      <c r="E412" s="20" t="s">
        <v>2304</v>
      </c>
      <c r="F412" s="32" t="s">
        <v>519</v>
      </c>
      <c r="G412" s="33" t="s">
        <v>42</v>
      </c>
      <c r="H412" s="23" t="s">
        <v>2305</v>
      </c>
      <c r="I412" s="24" t="s">
        <v>55</v>
      </c>
      <c r="J412" s="1" t="str">
        <f t="shared" si="0"/>
        <v/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6.25" hidden="1" customHeight="1">
      <c r="A413" s="17">
        <f t="shared" si="1"/>
        <v>410</v>
      </c>
      <c r="B413" s="18" t="s">
        <v>48</v>
      </c>
      <c r="C413" s="31" t="s">
        <v>2306</v>
      </c>
      <c r="D413" s="19" t="s">
        <v>2307</v>
      </c>
      <c r="E413" s="20" t="s">
        <v>2308</v>
      </c>
      <c r="F413" s="32" t="s">
        <v>222</v>
      </c>
      <c r="G413" s="33" t="s">
        <v>42</v>
      </c>
      <c r="H413" s="23" t="s">
        <v>2309</v>
      </c>
      <c r="I413" s="24" t="s">
        <v>55</v>
      </c>
      <c r="J413" s="1" t="str">
        <f t="shared" si="0"/>
        <v/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6.25" hidden="1" customHeight="1">
      <c r="A414" s="17">
        <f t="shared" si="1"/>
        <v>411</v>
      </c>
      <c r="B414" s="18" t="s">
        <v>105</v>
      </c>
      <c r="C414" s="31" t="s">
        <v>2310</v>
      </c>
      <c r="D414" s="19" t="s">
        <v>2311</v>
      </c>
      <c r="E414" s="20" t="s">
        <v>2312</v>
      </c>
      <c r="F414" s="21" t="s">
        <v>17</v>
      </c>
      <c r="G414" s="33" t="s">
        <v>42</v>
      </c>
      <c r="H414" s="23" t="s">
        <v>2313</v>
      </c>
      <c r="I414" s="24" t="s">
        <v>20</v>
      </c>
      <c r="J414" s="1" t="str">
        <f t="shared" si="0"/>
        <v>과기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6.25" customHeight="1">
      <c r="A415" s="17">
        <f t="shared" si="1"/>
        <v>412</v>
      </c>
      <c r="B415" s="18" t="s">
        <v>13</v>
      </c>
      <c r="C415" s="19" t="s">
        <v>2314</v>
      </c>
      <c r="D415" s="19" t="s">
        <v>939</v>
      </c>
      <c r="E415" s="20" t="s">
        <v>2315</v>
      </c>
      <c r="F415" s="21" t="s">
        <v>135</v>
      </c>
      <c r="G415" s="22" t="s">
        <v>42</v>
      </c>
      <c r="H415" s="23" t="s">
        <v>2316</v>
      </c>
      <c r="I415" s="24" t="s">
        <v>20</v>
      </c>
      <c r="J415" s="1" t="str">
        <f t="shared" si="0"/>
        <v>FRIC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6.25" hidden="1" customHeight="1">
      <c r="A416" s="17">
        <f t="shared" si="1"/>
        <v>413</v>
      </c>
      <c r="B416" s="18" t="s">
        <v>105</v>
      </c>
      <c r="C416" s="31" t="s">
        <v>2317</v>
      </c>
      <c r="D416" s="19" t="s">
        <v>374</v>
      </c>
      <c r="E416" s="20" t="s">
        <v>2318</v>
      </c>
      <c r="F416" s="32" t="s">
        <v>1957</v>
      </c>
      <c r="G416" s="33" t="s">
        <v>31</v>
      </c>
      <c r="H416" s="23" t="s">
        <v>2319</v>
      </c>
      <c r="I416" s="24" t="s">
        <v>55</v>
      </c>
      <c r="J416" s="1" t="str">
        <f t="shared" si="0"/>
        <v/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6.25" hidden="1" customHeight="1">
      <c r="A417" s="17">
        <f t="shared" si="1"/>
        <v>414</v>
      </c>
      <c r="B417" s="18" t="s">
        <v>175</v>
      </c>
      <c r="C417" s="31" t="s">
        <v>2320</v>
      </c>
      <c r="D417" s="19" t="s">
        <v>277</v>
      </c>
      <c r="E417" s="20" t="s">
        <v>2321</v>
      </c>
      <c r="F417" s="32" t="s">
        <v>2322</v>
      </c>
      <c r="G417" s="33" t="s">
        <v>42</v>
      </c>
      <c r="H417" s="23" t="s">
        <v>2323</v>
      </c>
      <c r="I417" s="24" t="s">
        <v>55</v>
      </c>
      <c r="J417" s="1" t="str">
        <f t="shared" si="0"/>
        <v/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6.25" hidden="1" customHeight="1">
      <c r="A418" s="17">
        <f t="shared" si="1"/>
        <v>415</v>
      </c>
      <c r="B418" s="18" t="s">
        <v>175</v>
      </c>
      <c r="C418" s="31" t="s">
        <v>2324</v>
      </c>
      <c r="D418" s="19" t="s">
        <v>308</v>
      </c>
      <c r="E418" s="20" t="s">
        <v>2325</v>
      </c>
      <c r="F418" s="32" t="s">
        <v>2326</v>
      </c>
      <c r="G418" s="33" t="s">
        <v>42</v>
      </c>
      <c r="H418" s="23" t="s">
        <v>2327</v>
      </c>
      <c r="I418" s="24" t="s">
        <v>55</v>
      </c>
      <c r="J418" s="1" t="str">
        <f t="shared" si="0"/>
        <v/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6.25" hidden="1" customHeight="1">
      <c r="A419" s="17">
        <f t="shared" si="1"/>
        <v>416</v>
      </c>
      <c r="B419" s="18" t="s">
        <v>175</v>
      </c>
      <c r="C419" s="31" t="s">
        <v>2328</v>
      </c>
      <c r="D419" s="19" t="s">
        <v>1338</v>
      </c>
      <c r="E419" s="20" t="s">
        <v>2329</v>
      </c>
      <c r="F419" s="21" t="s">
        <v>2330</v>
      </c>
      <c r="G419" s="33" t="s">
        <v>42</v>
      </c>
      <c r="H419" s="23" t="s">
        <v>2331</v>
      </c>
      <c r="I419" s="34" t="s">
        <v>20</v>
      </c>
      <c r="J419" s="1" t="str">
        <f t="shared" si="0"/>
        <v>과기</v>
      </c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</row>
    <row r="420" spans="1:24" ht="26.25" hidden="1" customHeight="1">
      <c r="A420" s="17">
        <f t="shared" si="1"/>
        <v>417</v>
      </c>
      <c r="B420" s="18" t="s">
        <v>248</v>
      </c>
      <c r="C420" s="31" t="s">
        <v>2332</v>
      </c>
      <c r="D420" s="19" t="s">
        <v>141</v>
      </c>
      <c r="E420" s="20" t="s">
        <v>2333</v>
      </c>
      <c r="F420" s="32" t="s">
        <v>2334</v>
      </c>
      <c r="G420" s="33" t="s">
        <v>350</v>
      </c>
      <c r="H420" s="23" t="s">
        <v>2335</v>
      </c>
      <c r="I420" s="24" t="s">
        <v>55</v>
      </c>
      <c r="J420" s="1" t="str">
        <f t="shared" si="0"/>
        <v/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6.25" hidden="1" customHeight="1">
      <c r="A421" s="17">
        <f t="shared" si="1"/>
        <v>418</v>
      </c>
      <c r="B421" s="18" t="s">
        <v>175</v>
      </c>
      <c r="C421" s="31" t="s">
        <v>2336</v>
      </c>
      <c r="D421" s="19" t="s">
        <v>2337</v>
      </c>
      <c r="E421" s="20" t="s">
        <v>2338</v>
      </c>
      <c r="F421" s="32" t="s">
        <v>2339</v>
      </c>
      <c r="G421" s="33" t="s">
        <v>42</v>
      </c>
      <c r="H421" s="23" t="s">
        <v>2340</v>
      </c>
      <c r="I421" s="24" t="s">
        <v>55</v>
      </c>
      <c r="J421" s="1" t="str">
        <f t="shared" si="0"/>
        <v/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6.25" hidden="1" customHeight="1">
      <c r="A422" s="17">
        <f t="shared" si="1"/>
        <v>419</v>
      </c>
      <c r="B422" s="18" t="s">
        <v>37</v>
      </c>
      <c r="C422" s="19" t="s">
        <v>2341</v>
      </c>
      <c r="D422" s="19" t="s">
        <v>141</v>
      </c>
      <c r="E422" s="20" t="s">
        <v>2342</v>
      </c>
      <c r="F422" s="21" t="s">
        <v>905</v>
      </c>
      <c r="G422" s="22" t="s">
        <v>42</v>
      </c>
      <c r="H422" s="23" t="s">
        <v>2343</v>
      </c>
      <c r="I422" s="24" t="s">
        <v>20</v>
      </c>
      <c r="J422" s="1" t="str">
        <f t="shared" si="0"/>
        <v>과기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6.25" customHeight="1">
      <c r="A423" s="17">
        <f t="shared" si="1"/>
        <v>420</v>
      </c>
      <c r="B423" s="18" t="s">
        <v>27</v>
      </c>
      <c r="C423" s="19" t="s">
        <v>2344</v>
      </c>
      <c r="D423" s="19" t="s">
        <v>112</v>
      </c>
      <c r="E423" s="20" t="s">
        <v>2345</v>
      </c>
      <c r="F423" s="21" t="s">
        <v>905</v>
      </c>
      <c r="G423" s="22" t="s">
        <v>42</v>
      </c>
      <c r="H423" s="23" t="s">
        <v>2346</v>
      </c>
      <c r="I423" s="24" t="s">
        <v>20</v>
      </c>
      <c r="J423" s="1" t="str">
        <f t="shared" si="0"/>
        <v>FRIC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6.25" hidden="1" customHeight="1">
      <c r="A424" s="17">
        <f t="shared" si="1"/>
        <v>421</v>
      </c>
      <c r="B424" s="18" t="s">
        <v>37</v>
      </c>
      <c r="C424" s="31" t="s">
        <v>1088</v>
      </c>
      <c r="D424" s="19" t="s">
        <v>588</v>
      </c>
      <c r="E424" s="20" t="s">
        <v>1089</v>
      </c>
      <c r="F424" s="32" t="s">
        <v>170</v>
      </c>
      <c r="G424" s="22" t="s">
        <v>42</v>
      </c>
      <c r="H424" s="23" t="s">
        <v>2347</v>
      </c>
      <c r="I424" s="24" t="s">
        <v>55</v>
      </c>
      <c r="J424" s="1" t="str">
        <f t="shared" si="0"/>
        <v/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6.25" customHeight="1">
      <c r="A425" s="17">
        <f t="shared" si="1"/>
        <v>422</v>
      </c>
      <c r="B425" s="18" t="s">
        <v>132</v>
      </c>
      <c r="C425" s="19" t="s">
        <v>2348</v>
      </c>
      <c r="D425" s="19" t="s">
        <v>447</v>
      </c>
      <c r="E425" s="20" t="s">
        <v>2349</v>
      </c>
      <c r="F425" s="21" t="s">
        <v>2350</v>
      </c>
      <c r="G425" s="22" t="s">
        <v>42</v>
      </c>
      <c r="H425" s="23" t="s">
        <v>2351</v>
      </c>
      <c r="I425" s="24" t="s">
        <v>20</v>
      </c>
      <c r="J425" s="1" t="str">
        <f t="shared" si="0"/>
        <v>FRIC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6.25" hidden="1" customHeight="1">
      <c r="A426" s="17">
        <f t="shared" si="1"/>
        <v>423</v>
      </c>
      <c r="B426" s="18" t="s">
        <v>13</v>
      </c>
      <c r="C426" s="31" t="s">
        <v>2352</v>
      </c>
      <c r="D426" s="19" t="s">
        <v>939</v>
      </c>
      <c r="E426" s="20" t="s">
        <v>2353</v>
      </c>
      <c r="F426" s="32" t="s">
        <v>222</v>
      </c>
      <c r="G426" s="22" t="s">
        <v>31</v>
      </c>
      <c r="H426" s="23" t="s">
        <v>2354</v>
      </c>
      <c r="I426" s="24" t="s">
        <v>55</v>
      </c>
      <c r="J426" s="1" t="str">
        <f t="shared" si="0"/>
        <v/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6.25" hidden="1" customHeight="1">
      <c r="A427" s="17">
        <f t="shared" si="1"/>
        <v>424</v>
      </c>
      <c r="B427" s="18" t="s">
        <v>233</v>
      </c>
      <c r="C427" s="31" t="s">
        <v>591</v>
      </c>
      <c r="D427" s="19" t="s">
        <v>242</v>
      </c>
      <c r="E427" s="20" t="s">
        <v>592</v>
      </c>
      <c r="F427" s="32" t="s">
        <v>496</v>
      </c>
      <c r="G427" s="22" t="s">
        <v>42</v>
      </c>
      <c r="H427" s="23" t="s">
        <v>2355</v>
      </c>
      <c r="I427" s="24" t="s">
        <v>55</v>
      </c>
      <c r="J427" s="1" t="str">
        <f t="shared" si="0"/>
        <v/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6.25" customHeight="1">
      <c r="A428" s="17">
        <f t="shared" si="1"/>
        <v>425</v>
      </c>
      <c r="B428" s="18" t="s">
        <v>132</v>
      </c>
      <c r="C428" s="19" t="s">
        <v>2356</v>
      </c>
      <c r="D428" s="19" t="s">
        <v>124</v>
      </c>
      <c r="E428" s="20" t="s">
        <v>2357</v>
      </c>
      <c r="F428" s="21" t="s">
        <v>2358</v>
      </c>
      <c r="G428" s="22" t="s">
        <v>42</v>
      </c>
      <c r="H428" s="23" t="s">
        <v>2359</v>
      </c>
      <c r="I428" s="24" t="s">
        <v>20</v>
      </c>
      <c r="J428" s="1" t="str">
        <f t="shared" si="0"/>
        <v>FRIC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6.25" hidden="1" customHeight="1">
      <c r="A429" s="17">
        <f t="shared" si="1"/>
        <v>426</v>
      </c>
      <c r="B429" s="18" t="s">
        <v>37</v>
      </c>
      <c r="C429" s="31" t="s">
        <v>2360</v>
      </c>
      <c r="D429" s="19" t="s">
        <v>2361</v>
      </c>
      <c r="E429" s="20" t="s">
        <v>2362</v>
      </c>
      <c r="F429" s="21" t="s">
        <v>1732</v>
      </c>
      <c r="G429" s="22" t="s">
        <v>42</v>
      </c>
      <c r="H429" s="23" t="s">
        <v>2363</v>
      </c>
      <c r="I429" s="34" t="s">
        <v>20</v>
      </c>
      <c r="J429" s="1" t="str">
        <f t="shared" si="0"/>
        <v>과기</v>
      </c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</row>
    <row r="430" spans="1:24" ht="26.25" hidden="1" customHeight="1">
      <c r="A430" s="17">
        <f t="shared" si="1"/>
        <v>427</v>
      </c>
      <c r="B430" s="18" t="s">
        <v>37</v>
      </c>
      <c r="C430" s="19" t="s">
        <v>1680</v>
      </c>
      <c r="D430" s="19" t="s">
        <v>141</v>
      </c>
      <c r="E430" s="20" t="s">
        <v>1681</v>
      </c>
      <c r="F430" s="32" t="s">
        <v>178</v>
      </c>
      <c r="G430" s="22" t="s">
        <v>42</v>
      </c>
      <c r="H430" s="23" t="s">
        <v>2364</v>
      </c>
      <c r="I430" s="34" t="s">
        <v>55</v>
      </c>
      <c r="J430" s="1" t="str">
        <f t="shared" si="0"/>
        <v/>
      </c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</row>
    <row r="431" spans="1:24" ht="26.25" hidden="1" customHeight="1">
      <c r="A431" s="17">
        <f t="shared" si="1"/>
        <v>428</v>
      </c>
      <c r="B431" s="18" t="s">
        <v>1368</v>
      </c>
      <c r="C431" s="31" t="s">
        <v>2365</v>
      </c>
      <c r="D431" s="19" t="s">
        <v>1626</v>
      </c>
      <c r="E431" s="20" t="s">
        <v>2366</v>
      </c>
      <c r="F431" s="32" t="s">
        <v>142</v>
      </c>
      <c r="G431" s="33" t="s">
        <v>42</v>
      </c>
      <c r="H431" s="23" t="s">
        <v>2367</v>
      </c>
      <c r="I431" s="24" t="s">
        <v>55</v>
      </c>
      <c r="J431" s="1" t="str">
        <f t="shared" si="0"/>
        <v/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6.25" hidden="1" customHeight="1">
      <c r="A432" s="17">
        <f t="shared" si="1"/>
        <v>429</v>
      </c>
      <c r="B432" s="18" t="s">
        <v>1368</v>
      </c>
      <c r="C432" s="31" t="s">
        <v>2368</v>
      </c>
      <c r="D432" s="19" t="s">
        <v>168</v>
      </c>
      <c r="E432" s="20" t="s">
        <v>2369</v>
      </c>
      <c r="F432" s="32" t="s">
        <v>416</v>
      </c>
      <c r="G432" s="33" t="s">
        <v>53</v>
      </c>
      <c r="H432" s="23" t="s">
        <v>2370</v>
      </c>
      <c r="I432" s="24" t="s">
        <v>55</v>
      </c>
      <c r="J432" s="1" t="str">
        <f t="shared" si="0"/>
        <v/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6.25" hidden="1" customHeight="1">
      <c r="A433" s="17">
        <f t="shared" si="1"/>
        <v>430</v>
      </c>
      <c r="B433" s="18" t="s">
        <v>105</v>
      </c>
      <c r="C433" s="31" t="s">
        <v>2371</v>
      </c>
      <c r="D433" s="19" t="s">
        <v>2372</v>
      </c>
      <c r="E433" s="20" t="s">
        <v>2373</v>
      </c>
      <c r="F433" s="32" t="s">
        <v>2374</v>
      </c>
      <c r="G433" s="33" t="s">
        <v>42</v>
      </c>
      <c r="H433" s="23" t="s">
        <v>2375</v>
      </c>
      <c r="I433" s="24" t="s">
        <v>55</v>
      </c>
      <c r="J433" s="1" t="str">
        <f t="shared" si="0"/>
        <v/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6.25" customHeight="1">
      <c r="A434" s="17">
        <f t="shared" si="1"/>
        <v>431</v>
      </c>
      <c r="B434" s="18" t="s">
        <v>1375</v>
      </c>
      <c r="C434" s="19" t="s">
        <v>2376</v>
      </c>
      <c r="D434" s="19" t="s">
        <v>2377</v>
      </c>
      <c r="E434" s="20" t="s">
        <v>2378</v>
      </c>
      <c r="F434" s="21" t="s">
        <v>135</v>
      </c>
      <c r="G434" s="22" t="s">
        <v>31</v>
      </c>
      <c r="H434" s="23" t="s">
        <v>2379</v>
      </c>
      <c r="I434" s="24" t="s">
        <v>20</v>
      </c>
      <c r="J434" s="1" t="str">
        <f t="shared" si="0"/>
        <v>FRIC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6.25" customHeight="1">
      <c r="A435" s="17">
        <f t="shared" si="1"/>
        <v>432</v>
      </c>
      <c r="B435" s="18" t="s">
        <v>1375</v>
      </c>
      <c r="C435" s="19" t="s">
        <v>2380</v>
      </c>
      <c r="D435" s="19" t="s">
        <v>2377</v>
      </c>
      <c r="E435" s="20" t="s">
        <v>2381</v>
      </c>
      <c r="F435" s="21" t="s">
        <v>2382</v>
      </c>
      <c r="G435" s="22" t="s">
        <v>31</v>
      </c>
      <c r="H435" s="23" t="s">
        <v>2383</v>
      </c>
      <c r="I435" s="24" t="s">
        <v>20</v>
      </c>
      <c r="J435" s="1" t="str">
        <f t="shared" si="0"/>
        <v>FRIC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6.25" customHeight="1">
      <c r="A436" s="17">
        <f t="shared" si="1"/>
        <v>433</v>
      </c>
      <c r="B436" s="18" t="s">
        <v>146</v>
      </c>
      <c r="C436" s="19" t="s">
        <v>2384</v>
      </c>
      <c r="D436" s="19" t="s">
        <v>447</v>
      </c>
      <c r="E436" s="20" t="s">
        <v>2385</v>
      </c>
      <c r="F436" s="21" t="s">
        <v>135</v>
      </c>
      <c r="G436" s="33" t="s">
        <v>42</v>
      </c>
      <c r="H436" s="23" t="s">
        <v>2386</v>
      </c>
      <c r="I436" s="24" t="s">
        <v>20</v>
      </c>
      <c r="J436" s="1" t="str">
        <f t="shared" si="0"/>
        <v>FRIC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6.25" hidden="1" customHeight="1">
      <c r="A437" s="17">
        <f t="shared" si="1"/>
        <v>434</v>
      </c>
      <c r="B437" s="18" t="s">
        <v>233</v>
      </c>
      <c r="C437" s="31" t="s">
        <v>598</v>
      </c>
      <c r="D437" s="19" t="s">
        <v>242</v>
      </c>
      <c r="E437" s="20" t="s">
        <v>599</v>
      </c>
      <c r="F437" s="32" t="s">
        <v>2387</v>
      </c>
      <c r="G437" s="22" t="s">
        <v>42</v>
      </c>
      <c r="H437" s="23" t="s">
        <v>2388</v>
      </c>
      <c r="I437" s="24" t="s">
        <v>55</v>
      </c>
      <c r="J437" s="1" t="str">
        <f t="shared" si="0"/>
        <v/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6.25" hidden="1" customHeight="1">
      <c r="A438" s="17">
        <f t="shared" si="1"/>
        <v>435</v>
      </c>
      <c r="B438" s="18" t="s">
        <v>105</v>
      </c>
      <c r="C438" s="31" t="s">
        <v>2389</v>
      </c>
      <c r="D438" s="19" t="s">
        <v>207</v>
      </c>
      <c r="E438" s="20" t="s">
        <v>2390</v>
      </c>
      <c r="F438" s="32" t="s">
        <v>222</v>
      </c>
      <c r="G438" s="33" t="s">
        <v>42</v>
      </c>
      <c r="H438" s="23" t="s">
        <v>2391</v>
      </c>
      <c r="I438" s="24" t="s">
        <v>55</v>
      </c>
      <c r="J438" s="1" t="str">
        <f t="shared" si="0"/>
        <v/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6.25" customHeight="1">
      <c r="A439" s="17">
        <f t="shared" si="1"/>
        <v>436</v>
      </c>
      <c r="B439" s="18" t="s">
        <v>13</v>
      </c>
      <c r="C439" s="19" t="s">
        <v>2392</v>
      </c>
      <c r="D439" s="19" t="s">
        <v>939</v>
      </c>
      <c r="E439" s="20" t="s">
        <v>2393</v>
      </c>
      <c r="F439" s="21" t="s">
        <v>2394</v>
      </c>
      <c r="G439" s="22" t="s">
        <v>42</v>
      </c>
      <c r="H439" s="23" t="s">
        <v>2395</v>
      </c>
      <c r="I439" s="24" t="s">
        <v>20</v>
      </c>
      <c r="J439" s="1" t="str">
        <f t="shared" si="0"/>
        <v>FRIC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6.25" hidden="1" customHeight="1">
      <c r="A440" s="17">
        <f t="shared" si="1"/>
        <v>437</v>
      </c>
      <c r="B440" s="18" t="s">
        <v>13</v>
      </c>
      <c r="C440" s="31" t="s">
        <v>1092</v>
      </c>
      <c r="D440" s="19" t="s">
        <v>939</v>
      </c>
      <c r="E440" s="20" t="s">
        <v>1093</v>
      </c>
      <c r="F440" s="32" t="s">
        <v>2396</v>
      </c>
      <c r="G440" s="22" t="s">
        <v>42</v>
      </c>
      <c r="H440" s="23" t="s">
        <v>2397</v>
      </c>
      <c r="I440" s="24" t="s">
        <v>55</v>
      </c>
      <c r="J440" s="1" t="str">
        <f t="shared" si="0"/>
        <v/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6.25" customHeight="1">
      <c r="A441" s="17">
        <f t="shared" si="1"/>
        <v>438</v>
      </c>
      <c r="B441" s="18" t="s">
        <v>37</v>
      </c>
      <c r="C441" s="19" t="s">
        <v>2398</v>
      </c>
      <c r="D441" s="19" t="s">
        <v>2399</v>
      </c>
      <c r="E441" s="20" t="s">
        <v>2400</v>
      </c>
      <c r="F441" s="21" t="s">
        <v>2284</v>
      </c>
      <c r="G441" s="22" t="s">
        <v>63</v>
      </c>
      <c r="H441" s="23" t="s">
        <v>2401</v>
      </c>
      <c r="I441" s="24" t="s">
        <v>20</v>
      </c>
      <c r="J441" s="1" t="str">
        <f t="shared" si="0"/>
        <v>FRIC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6.25" hidden="1" customHeight="1">
      <c r="A442" s="17">
        <f t="shared" si="1"/>
        <v>439</v>
      </c>
      <c r="B442" s="18" t="s">
        <v>1197</v>
      </c>
      <c r="C442" s="31" t="s">
        <v>2402</v>
      </c>
      <c r="D442" s="19" t="s">
        <v>1252</v>
      </c>
      <c r="E442" s="20" t="s">
        <v>2403</v>
      </c>
      <c r="F442" s="32" t="s">
        <v>2404</v>
      </c>
      <c r="G442" s="33" t="s">
        <v>42</v>
      </c>
      <c r="H442" s="23" t="s">
        <v>2405</v>
      </c>
      <c r="I442" s="24" t="s">
        <v>55</v>
      </c>
      <c r="J442" s="1" t="str">
        <f t="shared" si="0"/>
        <v/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6.25" hidden="1" customHeight="1">
      <c r="A443" s="17">
        <f t="shared" si="1"/>
        <v>440</v>
      </c>
      <c r="B443" s="18" t="s">
        <v>233</v>
      </c>
      <c r="C443" s="31" t="s">
        <v>2406</v>
      </c>
      <c r="D443" s="19" t="s">
        <v>2407</v>
      </c>
      <c r="E443" s="20" t="s">
        <v>2408</v>
      </c>
      <c r="F443" s="32" t="s">
        <v>222</v>
      </c>
      <c r="G443" s="22" t="s">
        <v>31</v>
      </c>
      <c r="H443" s="23" t="s">
        <v>2409</v>
      </c>
      <c r="I443" s="24" t="s">
        <v>55</v>
      </c>
      <c r="J443" s="1" t="str">
        <f t="shared" si="0"/>
        <v/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6.25" customHeight="1">
      <c r="A444" s="17">
        <f t="shared" si="1"/>
        <v>441</v>
      </c>
      <c r="B444" s="18" t="s">
        <v>27</v>
      </c>
      <c r="C444" s="19" t="s">
        <v>2410</v>
      </c>
      <c r="D444" s="19" t="s">
        <v>2411</v>
      </c>
      <c r="E444" s="20" t="s">
        <v>2412</v>
      </c>
      <c r="F444" s="21" t="s">
        <v>905</v>
      </c>
      <c r="G444" s="22" t="s">
        <v>42</v>
      </c>
      <c r="H444" s="23" t="s">
        <v>2413</v>
      </c>
      <c r="I444" s="24" t="s">
        <v>20</v>
      </c>
      <c r="J444" s="1" t="str">
        <f t="shared" si="0"/>
        <v>FRIC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6.25" hidden="1" customHeight="1">
      <c r="A445" s="17">
        <f t="shared" si="1"/>
        <v>442</v>
      </c>
      <c r="B445" s="18" t="s">
        <v>27</v>
      </c>
      <c r="C445" s="31" t="s">
        <v>2414</v>
      </c>
      <c r="D445" s="19" t="s">
        <v>277</v>
      </c>
      <c r="E445" s="20" t="s">
        <v>2415</v>
      </c>
      <c r="F445" s="32" t="s">
        <v>2416</v>
      </c>
      <c r="G445" s="22" t="s">
        <v>42</v>
      </c>
      <c r="H445" s="23" t="s">
        <v>2417</v>
      </c>
      <c r="I445" s="24" t="s">
        <v>55</v>
      </c>
      <c r="J445" s="1" t="str">
        <f t="shared" si="0"/>
        <v/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6.25" hidden="1" customHeight="1">
      <c r="A446" s="17">
        <f t="shared" si="1"/>
        <v>443</v>
      </c>
      <c r="B446" s="18" t="s">
        <v>867</v>
      </c>
      <c r="C446" s="92" t="s">
        <v>2418</v>
      </c>
      <c r="D446" s="89" t="s">
        <v>2419</v>
      </c>
      <c r="E446" s="90" t="s">
        <v>2420</v>
      </c>
      <c r="F446" s="91" t="s">
        <v>2421</v>
      </c>
      <c r="G446" s="93" t="s">
        <v>42</v>
      </c>
      <c r="H446" s="94" t="s">
        <v>2422</v>
      </c>
      <c r="I446" s="95" t="s">
        <v>55</v>
      </c>
      <c r="J446" s="1" t="str">
        <f t="shared" si="0"/>
        <v/>
      </c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</row>
    <row r="447" spans="1:24" ht="26.25" hidden="1" customHeight="1">
      <c r="A447" s="17">
        <f t="shared" si="1"/>
        <v>444</v>
      </c>
      <c r="B447" s="18" t="s">
        <v>105</v>
      </c>
      <c r="C447" s="31" t="s">
        <v>2423</v>
      </c>
      <c r="D447" s="19" t="s">
        <v>2424</v>
      </c>
      <c r="E447" s="20" t="s">
        <v>2425</v>
      </c>
      <c r="F447" s="21" t="s">
        <v>2426</v>
      </c>
      <c r="G447" s="33" t="s">
        <v>42</v>
      </c>
      <c r="H447" s="23" t="s">
        <v>2427</v>
      </c>
      <c r="I447" s="34" t="s">
        <v>20</v>
      </c>
      <c r="J447" s="1" t="str">
        <f t="shared" si="0"/>
        <v>과기</v>
      </c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</row>
    <row r="448" spans="1:24" ht="26.25" customHeight="1">
      <c r="A448" s="17">
        <f t="shared" si="1"/>
        <v>445</v>
      </c>
      <c r="B448" s="18" t="s">
        <v>105</v>
      </c>
      <c r="C448" s="19" t="s">
        <v>2428</v>
      </c>
      <c r="D448" s="19" t="s">
        <v>2429</v>
      </c>
      <c r="E448" s="20" t="s">
        <v>2430</v>
      </c>
      <c r="F448" s="21" t="s">
        <v>2431</v>
      </c>
      <c r="G448" s="33" t="s">
        <v>63</v>
      </c>
      <c r="H448" s="23" t="s">
        <v>2432</v>
      </c>
      <c r="I448" s="24" t="s">
        <v>20</v>
      </c>
      <c r="J448" s="1" t="str">
        <f t="shared" si="0"/>
        <v>FRIC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6.25" hidden="1" customHeight="1">
      <c r="A449" s="17">
        <f t="shared" si="1"/>
        <v>446</v>
      </c>
      <c r="B449" s="18" t="s">
        <v>81</v>
      </c>
      <c r="C449" s="31" t="s">
        <v>2433</v>
      </c>
      <c r="D449" s="19" t="s">
        <v>83</v>
      </c>
      <c r="E449" s="20" t="s">
        <v>1442</v>
      </c>
      <c r="F449" s="32" t="s">
        <v>2434</v>
      </c>
      <c r="G449" s="33" t="s">
        <v>42</v>
      </c>
      <c r="H449" s="23" t="s">
        <v>2435</v>
      </c>
      <c r="I449" s="34" t="s">
        <v>55</v>
      </c>
      <c r="J449" s="1" t="str">
        <f t="shared" si="0"/>
        <v/>
      </c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</row>
    <row r="450" spans="1:24" ht="26.25" hidden="1" customHeight="1">
      <c r="A450" s="17">
        <f t="shared" si="1"/>
        <v>447</v>
      </c>
      <c r="B450" s="18" t="s">
        <v>105</v>
      </c>
      <c r="C450" s="31" t="s">
        <v>2436</v>
      </c>
      <c r="D450" s="19" t="s">
        <v>761</v>
      </c>
      <c r="E450" s="20" t="s">
        <v>2437</v>
      </c>
      <c r="F450" s="32" t="s">
        <v>2438</v>
      </c>
      <c r="G450" s="33" t="s">
        <v>42</v>
      </c>
      <c r="H450" s="23" t="s">
        <v>2439</v>
      </c>
      <c r="I450" s="24" t="s">
        <v>55</v>
      </c>
      <c r="J450" s="1" t="str">
        <f t="shared" si="0"/>
        <v/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6.25" hidden="1" customHeight="1">
      <c r="A451" s="17">
        <f t="shared" si="1"/>
        <v>448</v>
      </c>
      <c r="B451" s="18" t="s">
        <v>27</v>
      </c>
      <c r="C451" s="31" t="s">
        <v>2440</v>
      </c>
      <c r="D451" s="19" t="s">
        <v>246</v>
      </c>
      <c r="E451" s="20" t="s">
        <v>2441</v>
      </c>
      <c r="F451" s="32" t="s">
        <v>2442</v>
      </c>
      <c r="G451" s="22" t="s">
        <v>42</v>
      </c>
      <c r="H451" s="23" t="s">
        <v>2443</v>
      </c>
      <c r="I451" s="24" t="s">
        <v>55</v>
      </c>
      <c r="J451" s="1" t="str">
        <f t="shared" si="0"/>
        <v/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6.25" hidden="1" customHeight="1">
      <c r="A452" s="17">
        <f t="shared" si="1"/>
        <v>449</v>
      </c>
      <c r="B452" s="18" t="s">
        <v>105</v>
      </c>
      <c r="C452" s="31" t="s">
        <v>2444</v>
      </c>
      <c r="D452" s="19" t="s">
        <v>2445</v>
      </c>
      <c r="E452" s="20" t="s">
        <v>2446</v>
      </c>
      <c r="F452" s="32" t="s">
        <v>2447</v>
      </c>
      <c r="G452" s="33" t="s">
        <v>42</v>
      </c>
      <c r="H452" s="23" t="s">
        <v>2448</v>
      </c>
      <c r="I452" s="24" t="s">
        <v>55</v>
      </c>
      <c r="J452" s="1" t="str">
        <f t="shared" si="0"/>
        <v/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6.25" hidden="1" customHeight="1">
      <c r="A453" s="17">
        <f t="shared" si="1"/>
        <v>450</v>
      </c>
      <c r="B453" s="18" t="s">
        <v>105</v>
      </c>
      <c r="C453" s="92" t="s">
        <v>2449</v>
      </c>
      <c r="D453" s="89" t="s">
        <v>2450</v>
      </c>
      <c r="E453" s="90" t="s">
        <v>2451</v>
      </c>
      <c r="F453" s="91" t="s">
        <v>2452</v>
      </c>
      <c r="G453" s="93" t="s">
        <v>53</v>
      </c>
      <c r="H453" s="94" t="s">
        <v>2453</v>
      </c>
      <c r="I453" s="95" t="s">
        <v>55</v>
      </c>
      <c r="J453" s="1" t="str">
        <f t="shared" si="0"/>
        <v/>
      </c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</row>
    <row r="454" spans="1:24" ht="26.25" hidden="1" customHeight="1">
      <c r="A454" s="17">
        <f t="shared" si="1"/>
        <v>451</v>
      </c>
      <c r="B454" s="18" t="s">
        <v>105</v>
      </c>
      <c r="C454" s="31" t="s">
        <v>2454</v>
      </c>
      <c r="D454" s="19" t="s">
        <v>2455</v>
      </c>
      <c r="E454" s="20" t="s">
        <v>2456</v>
      </c>
      <c r="F454" s="32" t="s">
        <v>2457</v>
      </c>
      <c r="G454" s="33" t="s">
        <v>42</v>
      </c>
      <c r="H454" s="23" t="s">
        <v>2458</v>
      </c>
      <c r="I454" s="24" t="s">
        <v>55</v>
      </c>
      <c r="J454" s="1" t="str">
        <f t="shared" si="0"/>
        <v/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6.25" hidden="1" customHeight="1">
      <c r="A455" s="17">
        <f t="shared" si="1"/>
        <v>452</v>
      </c>
      <c r="B455" s="18" t="s">
        <v>105</v>
      </c>
      <c r="C455" s="31" t="s">
        <v>2459</v>
      </c>
      <c r="D455" s="19" t="s">
        <v>2460</v>
      </c>
      <c r="E455" s="20" t="s">
        <v>493</v>
      </c>
      <c r="F455" s="32" t="s">
        <v>2461</v>
      </c>
      <c r="G455" s="33" t="s">
        <v>42</v>
      </c>
      <c r="H455" s="23" t="s">
        <v>2462</v>
      </c>
      <c r="I455" s="24" t="s">
        <v>55</v>
      </c>
      <c r="J455" s="1" t="str">
        <f t="shared" si="0"/>
        <v/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6.25" hidden="1" customHeight="1">
      <c r="A456" s="17">
        <f t="shared" si="1"/>
        <v>453</v>
      </c>
      <c r="B456" s="18" t="s">
        <v>105</v>
      </c>
      <c r="C456" s="31" t="s">
        <v>2463</v>
      </c>
      <c r="D456" s="19" t="s">
        <v>2464</v>
      </c>
      <c r="E456" s="20" t="s">
        <v>2465</v>
      </c>
      <c r="F456" s="32" t="s">
        <v>2466</v>
      </c>
      <c r="G456" s="33" t="s">
        <v>42</v>
      </c>
      <c r="H456" s="23" t="s">
        <v>2467</v>
      </c>
      <c r="I456" s="24" t="s">
        <v>55</v>
      </c>
      <c r="J456" s="1" t="str">
        <f t="shared" si="0"/>
        <v/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6.25" hidden="1" customHeight="1">
      <c r="A457" s="17">
        <f t="shared" si="1"/>
        <v>454</v>
      </c>
      <c r="B457" s="18" t="s">
        <v>105</v>
      </c>
      <c r="C457" s="31" t="s">
        <v>2468</v>
      </c>
      <c r="D457" s="19" t="s">
        <v>2464</v>
      </c>
      <c r="E457" s="20" t="s">
        <v>2469</v>
      </c>
      <c r="F457" s="32" t="s">
        <v>738</v>
      </c>
      <c r="G457" s="33" t="s">
        <v>42</v>
      </c>
      <c r="H457" s="23" t="s">
        <v>2470</v>
      </c>
      <c r="I457" s="24" t="s">
        <v>55</v>
      </c>
      <c r="J457" s="1" t="str">
        <f t="shared" si="0"/>
        <v/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6.25" hidden="1" customHeight="1">
      <c r="A458" s="17">
        <f t="shared" si="1"/>
        <v>455</v>
      </c>
      <c r="B458" s="18" t="s">
        <v>105</v>
      </c>
      <c r="C458" s="31" t="s">
        <v>2471</v>
      </c>
      <c r="D458" s="19" t="s">
        <v>2472</v>
      </c>
      <c r="E458" s="20" t="s">
        <v>2473</v>
      </c>
      <c r="F458" s="21" t="s">
        <v>2474</v>
      </c>
      <c r="G458" s="33" t="s">
        <v>42</v>
      </c>
      <c r="H458" s="23" t="s">
        <v>2475</v>
      </c>
      <c r="I458" s="34" t="s">
        <v>20</v>
      </c>
      <c r="J458" s="1" t="str">
        <f t="shared" si="0"/>
        <v>과기</v>
      </c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</row>
    <row r="459" spans="1:24" ht="26.25" hidden="1" customHeight="1">
      <c r="A459" s="17">
        <f t="shared" si="1"/>
        <v>456</v>
      </c>
      <c r="B459" s="18" t="s">
        <v>27</v>
      </c>
      <c r="C459" s="31" t="s">
        <v>1096</v>
      </c>
      <c r="D459" s="19" t="s">
        <v>1097</v>
      </c>
      <c r="E459" s="20" t="s">
        <v>1098</v>
      </c>
      <c r="F459" s="32" t="s">
        <v>1033</v>
      </c>
      <c r="G459" s="22" t="s">
        <v>31</v>
      </c>
      <c r="H459" s="23" t="s">
        <v>2476</v>
      </c>
      <c r="I459" s="24" t="s">
        <v>55</v>
      </c>
      <c r="J459" s="1" t="str">
        <f t="shared" si="0"/>
        <v/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6.25" hidden="1" customHeight="1">
      <c r="A460" s="17">
        <f t="shared" si="1"/>
        <v>457</v>
      </c>
      <c r="B460" s="18" t="s">
        <v>37</v>
      </c>
      <c r="C460" s="31" t="s">
        <v>367</v>
      </c>
      <c r="D460" s="19" t="s">
        <v>124</v>
      </c>
      <c r="E460" s="20" t="s">
        <v>368</v>
      </c>
      <c r="F460" s="32" t="s">
        <v>163</v>
      </c>
      <c r="G460" s="22" t="s">
        <v>42</v>
      </c>
      <c r="H460" s="23" t="s">
        <v>2477</v>
      </c>
      <c r="I460" s="24" t="s">
        <v>55</v>
      </c>
      <c r="J460" s="1" t="str">
        <f t="shared" si="0"/>
        <v/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6.25" hidden="1" customHeight="1">
      <c r="A461" s="17">
        <f t="shared" si="1"/>
        <v>458</v>
      </c>
      <c r="B461" s="18" t="s">
        <v>105</v>
      </c>
      <c r="C461" s="31" t="s">
        <v>605</v>
      </c>
      <c r="D461" s="19" t="s">
        <v>242</v>
      </c>
      <c r="E461" s="20" t="s">
        <v>606</v>
      </c>
      <c r="F461" s="32" t="s">
        <v>496</v>
      </c>
      <c r="G461" s="33" t="s">
        <v>42</v>
      </c>
      <c r="H461" s="23" t="s">
        <v>2478</v>
      </c>
      <c r="I461" s="24" t="s">
        <v>55</v>
      </c>
      <c r="J461" s="1" t="str">
        <f t="shared" si="0"/>
        <v/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6.25" hidden="1" customHeight="1">
      <c r="A462" s="17">
        <f t="shared" si="1"/>
        <v>459</v>
      </c>
      <c r="B462" s="18" t="s">
        <v>37</v>
      </c>
      <c r="C462" s="31" t="s">
        <v>695</v>
      </c>
      <c r="D462" s="19" t="s">
        <v>141</v>
      </c>
      <c r="E462" s="20" t="s">
        <v>696</v>
      </c>
      <c r="F462" s="32" t="s">
        <v>603</v>
      </c>
      <c r="G462" s="22" t="s">
        <v>42</v>
      </c>
      <c r="H462" s="23" t="s">
        <v>2479</v>
      </c>
      <c r="I462" s="24" t="s">
        <v>55</v>
      </c>
      <c r="J462" s="1" t="str">
        <f t="shared" si="0"/>
        <v/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6.25" customHeight="1">
      <c r="A463" s="17">
        <f t="shared" si="1"/>
        <v>460</v>
      </c>
      <c r="B463" s="18" t="s">
        <v>1197</v>
      </c>
      <c r="C463" s="19" t="s">
        <v>2480</v>
      </c>
      <c r="D463" s="19" t="s">
        <v>124</v>
      </c>
      <c r="E463" s="20" t="s">
        <v>2481</v>
      </c>
      <c r="F463" s="21" t="s">
        <v>905</v>
      </c>
      <c r="G463" s="33" t="s">
        <v>42</v>
      </c>
      <c r="H463" s="23" t="s">
        <v>2482</v>
      </c>
      <c r="I463" s="24" t="s">
        <v>20</v>
      </c>
      <c r="J463" s="1" t="str">
        <f t="shared" si="0"/>
        <v>FRIC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6.25" hidden="1" customHeight="1">
      <c r="A464" s="17">
        <f t="shared" si="1"/>
        <v>461</v>
      </c>
      <c r="B464" s="18" t="s">
        <v>13</v>
      </c>
      <c r="C464" s="19" t="s">
        <v>2483</v>
      </c>
      <c r="D464" s="19" t="s">
        <v>939</v>
      </c>
      <c r="E464" s="20" t="s">
        <v>2484</v>
      </c>
      <c r="F464" s="32" t="s">
        <v>2485</v>
      </c>
      <c r="G464" s="22" t="s">
        <v>31</v>
      </c>
      <c r="H464" s="23" t="s">
        <v>2486</v>
      </c>
      <c r="I464" s="34" t="s">
        <v>55</v>
      </c>
      <c r="J464" s="1" t="str">
        <f t="shared" si="0"/>
        <v/>
      </c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</row>
    <row r="465" spans="1:24" ht="26.25" customHeight="1">
      <c r="A465" s="17">
        <f t="shared" si="1"/>
        <v>462</v>
      </c>
      <c r="B465" s="18" t="s">
        <v>132</v>
      </c>
      <c r="C465" s="19" t="s">
        <v>2487</v>
      </c>
      <c r="D465" s="19" t="s">
        <v>447</v>
      </c>
      <c r="E465" s="20" t="s">
        <v>2488</v>
      </c>
      <c r="F465" s="21" t="s">
        <v>933</v>
      </c>
      <c r="G465" s="22" t="s">
        <v>42</v>
      </c>
      <c r="H465" s="23" t="s">
        <v>2489</v>
      </c>
      <c r="I465" s="24" t="s">
        <v>20</v>
      </c>
      <c r="J465" s="1" t="str">
        <f t="shared" si="0"/>
        <v>FRIC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6.25" customHeight="1">
      <c r="A466" s="17">
        <f t="shared" si="1"/>
        <v>463</v>
      </c>
      <c r="B466" s="18" t="s">
        <v>132</v>
      </c>
      <c r="C466" s="19" t="s">
        <v>2490</v>
      </c>
      <c r="D466" s="19" t="s">
        <v>447</v>
      </c>
      <c r="E466" s="20" t="s">
        <v>2491</v>
      </c>
      <c r="F466" s="21" t="s">
        <v>135</v>
      </c>
      <c r="G466" s="22" t="s">
        <v>42</v>
      </c>
      <c r="H466" s="23" t="s">
        <v>2492</v>
      </c>
      <c r="I466" s="24" t="s">
        <v>20</v>
      </c>
      <c r="J466" s="1" t="str">
        <f t="shared" si="0"/>
        <v>FRIC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6.25" customHeight="1">
      <c r="A467" s="17">
        <f t="shared" si="1"/>
        <v>464</v>
      </c>
      <c r="B467" s="18" t="s">
        <v>13</v>
      </c>
      <c r="C467" s="19" t="s">
        <v>2493</v>
      </c>
      <c r="D467" s="19" t="s">
        <v>499</v>
      </c>
      <c r="E467" s="20" t="s">
        <v>2494</v>
      </c>
      <c r="F467" s="21" t="s">
        <v>135</v>
      </c>
      <c r="G467" s="22" t="s">
        <v>1086</v>
      </c>
      <c r="H467" s="23" t="s">
        <v>2495</v>
      </c>
      <c r="I467" s="24" t="s">
        <v>20</v>
      </c>
      <c r="J467" s="1" t="str">
        <f t="shared" si="0"/>
        <v>FRIC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6.25" customHeight="1">
      <c r="A468" s="17">
        <f t="shared" si="1"/>
        <v>465</v>
      </c>
      <c r="B468" s="18" t="s">
        <v>13</v>
      </c>
      <c r="C468" s="19" t="s">
        <v>2496</v>
      </c>
      <c r="D468" s="19" t="s">
        <v>939</v>
      </c>
      <c r="E468" s="20" t="s">
        <v>2497</v>
      </c>
      <c r="F468" s="21" t="s">
        <v>2498</v>
      </c>
      <c r="G468" s="22" t="s">
        <v>1290</v>
      </c>
      <c r="H468" s="23" t="s">
        <v>2499</v>
      </c>
      <c r="I468" s="24" t="s">
        <v>20</v>
      </c>
      <c r="J468" s="1" t="str">
        <f t="shared" si="0"/>
        <v>FRIC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6.25" hidden="1" customHeight="1">
      <c r="A469" s="17">
        <f t="shared" si="1"/>
        <v>466</v>
      </c>
      <c r="B469" s="18" t="s">
        <v>37</v>
      </c>
      <c r="C469" s="19" t="s">
        <v>2500</v>
      </c>
      <c r="D469" s="19" t="s">
        <v>2501</v>
      </c>
      <c r="E469" s="20" t="s">
        <v>1717</v>
      </c>
      <c r="F469" s="32" t="s">
        <v>52</v>
      </c>
      <c r="G469" s="22" t="s">
        <v>42</v>
      </c>
      <c r="H469" s="23" t="s">
        <v>2502</v>
      </c>
      <c r="I469" s="34" t="s">
        <v>55</v>
      </c>
      <c r="J469" s="1" t="str">
        <f t="shared" si="0"/>
        <v/>
      </c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</row>
    <row r="470" spans="1:24" ht="26.25" hidden="1" customHeight="1">
      <c r="A470" s="17">
        <f t="shared" si="1"/>
        <v>467</v>
      </c>
      <c r="B470" s="18" t="s">
        <v>37</v>
      </c>
      <c r="C470" s="19" t="s">
        <v>2503</v>
      </c>
      <c r="D470" s="19" t="s">
        <v>2501</v>
      </c>
      <c r="E470" s="20" t="s">
        <v>1723</v>
      </c>
      <c r="F470" s="32" t="s">
        <v>2504</v>
      </c>
      <c r="G470" s="22" t="s">
        <v>42</v>
      </c>
      <c r="H470" s="23" t="s">
        <v>2505</v>
      </c>
      <c r="I470" s="34" t="s">
        <v>55</v>
      </c>
      <c r="J470" s="1" t="str">
        <f t="shared" si="0"/>
        <v/>
      </c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</row>
    <row r="471" spans="1:24" ht="26.25" hidden="1" customHeight="1">
      <c r="A471" s="17">
        <f t="shared" si="1"/>
        <v>468</v>
      </c>
      <c r="B471" s="18" t="s">
        <v>105</v>
      </c>
      <c r="C471" s="31" t="s">
        <v>689</v>
      </c>
      <c r="D471" s="19" t="s">
        <v>2506</v>
      </c>
      <c r="E471" s="20" t="s">
        <v>690</v>
      </c>
      <c r="F471" s="32" t="s">
        <v>2507</v>
      </c>
      <c r="G471" s="33" t="s">
        <v>42</v>
      </c>
      <c r="H471" s="23" t="s">
        <v>2508</v>
      </c>
      <c r="I471" s="24" t="s">
        <v>55</v>
      </c>
      <c r="J471" s="1" t="str">
        <f t="shared" si="0"/>
        <v/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6.25" customHeight="1">
      <c r="A472" s="17">
        <f t="shared" si="1"/>
        <v>469</v>
      </c>
      <c r="B472" s="18" t="s">
        <v>132</v>
      </c>
      <c r="C472" s="19" t="s">
        <v>2509</v>
      </c>
      <c r="D472" s="19" t="s">
        <v>447</v>
      </c>
      <c r="E472" s="20" t="s">
        <v>2510</v>
      </c>
      <c r="F472" s="21" t="s">
        <v>135</v>
      </c>
      <c r="G472" s="22" t="s">
        <v>31</v>
      </c>
      <c r="H472" s="23" t="s">
        <v>2511</v>
      </c>
      <c r="I472" s="24" t="s">
        <v>20</v>
      </c>
      <c r="J472" s="1" t="str">
        <f t="shared" si="0"/>
        <v>FRIC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6.25" hidden="1" customHeight="1">
      <c r="A473" s="17">
        <f t="shared" si="1"/>
        <v>470</v>
      </c>
      <c r="B473" s="18" t="s">
        <v>105</v>
      </c>
      <c r="C473" s="19" t="s">
        <v>2512</v>
      </c>
      <c r="D473" s="19" t="s">
        <v>141</v>
      </c>
      <c r="E473" s="20" t="s">
        <v>2513</v>
      </c>
      <c r="F473" s="21" t="s">
        <v>905</v>
      </c>
      <c r="G473" s="33" t="s">
        <v>42</v>
      </c>
      <c r="H473" s="23" t="s">
        <v>2514</v>
      </c>
      <c r="I473" s="24" t="s">
        <v>20</v>
      </c>
      <c r="J473" s="1" t="str">
        <f t="shared" si="0"/>
        <v>과기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6.25" customHeight="1">
      <c r="A474" s="17">
        <f t="shared" si="1"/>
        <v>471</v>
      </c>
      <c r="B474" s="18" t="s">
        <v>13</v>
      </c>
      <c r="C474" s="19" t="s">
        <v>2515</v>
      </c>
      <c r="D474" s="19" t="s">
        <v>939</v>
      </c>
      <c r="E474" s="20" t="s">
        <v>2516</v>
      </c>
      <c r="F474" s="21" t="s">
        <v>135</v>
      </c>
      <c r="G474" s="22" t="s">
        <v>42</v>
      </c>
      <c r="H474" s="23" t="s">
        <v>2517</v>
      </c>
      <c r="I474" s="24" t="s">
        <v>20</v>
      </c>
      <c r="J474" s="1" t="str">
        <f t="shared" si="0"/>
        <v>FRIC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6.25" hidden="1" customHeight="1">
      <c r="A475" s="17">
        <f t="shared" si="1"/>
        <v>472</v>
      </c>
      <c r="B475" s="18" t="s">
        <v>105</v>
      </c>
      <c r="C475" s="89" t="s">
        <v>2518</v>
      </c>
      <c r="D475" s="89" t="s">
        <v>2175</v>
      </c>
      <c r="E475" s="90" t="s">
        <v>2519</v>
      </c>
      <c r="F475" s="97" t="s">
        <v>135</v>
      </c>
      <c r="G475" s="33" t="s">
        <v>42</v>
      </c>
      <c r="H475" s="94" t="s">
        <v>2520</v>
      </c>
      <c r="I475" s="24" t="s">
        <v>20</v>
      </c>
      <c r="J475" s="1" t="str">
        <f t="shared" si="0"/>
        <v>과기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6.25" customHeight="1">
      <c r="A476" s="17">
        <f t="shared" si="1"/>
        <v>473</v>
      </c>
      <c r="B476" s="18" t="s">
        <v>1375</v>
      </c>
      <c r="C476" s="19" t="s">
        <v>2521</v>
      </c>
      <c r="D476" s="19" t="s">
        <v>939</v>
      </c>
      <c r="E476" s="20" t="s">
        <v>2522</v>
      </c>
      <c r="F476" s="21" t="s">
        <v>2523</v>
      </c>
      <c r="G476" s="22" t="s">
        <v>42</v>
      </c>
      <c r="H476" s="23" t="s">
        <v>2524</v>
      </c>
      <c r="I476" s="24" t="s">
        <v>20</v>
      </c>
      <c r="J476" s="1" t="str">
        <f t="shared" si="0"/>
        <v>FRIC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6.25" customHeight="1">
      <c r="A477" s="17">
        <f t="shared" si="1"/>
        <v>474</v>
      </c>
      <c r="B477" s="18" t="s">
        <v>27</v>
      </c>
      <c r="C477" s="19" t="s">
        <v>2525</v>
      </c>
      <c r="D477" s="19" t="s">
        <v>124</v>
      </c>
      <c r="E477" s="20" t="s">
        <v>2526</v>
      </c>
      <c r="F477" s="21" t="s">
        <v>905</v>
      </c>
      <c r="G477" s="22" t="s">
        <v>42</v>
      </c>
      <c r="H477" s="23" t="s">
        <v>2527</v>
      </c>
      <c r="I477" s="24" t="s">
        <v>20</v>
      </c>
      <c r="J477" s="1" t="str">
        <f t="shared" si="0"/>
        <v>FRIC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6.25" customHeight="1">
      <c r="A478" s="17">
        <f t="shared" si="1"/>
        <v>475</v>
      </c>
      <c r="B478" s="18" t="s">
        <v>248</v>
      </c>
      <c r="C478" s="19" t="s">
        <v>2528</v>
      </c>
      <c r="D478" s="19" t="s">
        <v>1068</v>
      </c>
      <c r="E478" s="20" t="s">
        <v>2529</v>
      </c>
      <c r="F478" s="21" t="s">
        <v>135</v>
      </c>
      <c r="G478" s="33" t="s">
        <v>42</v>
      </c>
      <c r="H478" s="23" t="s">
        <v>2530</v>
      </c>
      <c r="I478" s="24" t="s">
        <v>20</v>
      </c>
      <c r="J478" s="1" t="str">
        <f t="shared" si="0"/>
        <v>FRIC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6.25" hidden="1" customHeight="1">
      <c r="A479" s="17">
        <f t="shared" si="1"/>
        <v>476</v>
      </c>
      <c r="B479" s="18" t="s">
        <v>48</v>
      </c>
      <c r="C479" s="19" t="s">
        <v>2531</v>
      </c>
      <c r="D479" s="19" t="s">
        <v>1700</v>
      </c>
      <c r="E479" s="20" t="s">
        <v>2532</v>
      </c>
      <c r="F479" s="21" t="s">
        <v>905</v>
      </c>
      <c r="G479" s="33" t="s">
        <v>42</v>
      </c>
      <c r="H479" s="23" t="s">
        <v>2533</v>
      </c>
      <c r="I479" s="24" t="s">
        <v>20</v>
      </c>
      <c r="J479" s="1" t="str">
        <f t="shared" si="0"/>
        <v>과기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6.25" hidden="1" customHeight="1">
      <c r="A480" s="17">
        <f t="shared" si="1"/>
        <v>477</v>
      </c>
      <c r="B480" s="18" t="s">
        <v>13</v>
      </c>
      <c r="C480" s="19" t="s">
        <v>2534</v>
      </c>
      <c r="D480" s="19" t="s">
        <v>2535</v>
      </c>
      <c r="E480" s="20" t="s">
        <v>1857</v>
      </c>
      <c r="F480" s="32" t="s">
        <v>178</v>
      </c>
      <c r="G480" s="22" t="s">
        <v>53</v>
      </c>
      <c r="H480" s="23" t="s">
        <v>2536</v>
      </c>
      <c r="I480" s="34" t="s">
        <v>55</v>
      </c>
      <c r="J480" s="1" t="str">
        <f t="shared" si="0"/>
        <v/>
      </c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</row>
    <row r="481" spans="1:24" ht="26.25" hidden="1" customHeight="1">
      <c r="A481" s="17">
        <f t="shared" si="1"/>
        <v>478</v>
      </c>
      <c r="B481" s="18" t="s">
        <v>1375</v>
      </c>
      <c r="C481" s="31" t="s">
        <v>2537</v>
      </c>
      <c r="D481" s="19" t="s">
        <v>2538</v>
      </c>
      <c r="E481" s="20" t="s">
        <v>767</v>
      </c>
      <c r="F481" s="32" t="s">
        <v>1033</v>
      </c>
      <c r="G481" s="22" t="s">
        <v>53</v>
      </c>
      <c r="H481" s="23" t="s">
        <v>2539</v>
      </c>
      <c r="I481" s="24" t="s">
        <v>55</v>
      </c>
      <c r="J481" s="1" t="str">
        <f t="shared" si="0"/>
        <v/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6.25" customHeight="1">
      <c r="A482" s="17">
        <f t="shared" si="1"/>
        <v>479</v>
      </c>
      <c r="B482" s="18" t="s">
        <v>27</v>
      </c>
      <c r="C482" s="19" t="s">
        <v>2540</v>
      </c>
      <c r="D482" s="19" t="s">
        <v>277</v>
      </c>
      <c r="E482" s="20" t="s">
        <v>2541</v>
      </c>
      <c r="F482" s="21" t="s">
        <v>1970</v>
      </c>
      <c r="G482" s="22" t="s">
        <v>42</v>
      </c>
      <c r="H482" s="23" t="s">
        <v>2542</v>
      </c>
      <c r="I482" s="24" t="s">
        <v>20</v>
      </c>
      <c r="J482" s="1" t="str">
        <f t="shared" si="0"/>
        <v>FRIC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6.25" hidden="1" customHeight="1">
      <c r="A483" s="17">
        <f t="shared" si="1"/>
        <v>480</v>
      </c>
      <c r="B483" s="18" t="s">
        <v>1197</v>
      </c>
      <c r="C483" s="31" t="s">
        <v>2543</v>
      </c>
      <c r="D483" s="19" t="s">
        <v>2544</v>
      </c>
      <c r="E483" s="20" t="s">
        <v>2545</v>
      </c>
      <c r="F483" s="32" t="s">
        <v>2546</v>
      </c>
      <c r="G483" s="33" t="s">
        <v>350</v>
      </c>
      <c r="H483" s="23" t="s">
        <v>2547</v>
      </c>
      <c r="I483" s="24" t="s">
        <v>55</v>
      </c>
      <c r="J483" s="1" t="str">
        <f t="shared" si="0"/>
        <v/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6.25" hidden="1" customHeight="1">
      <c r="A484" s="17">
        <f t="shared" si="1"/>
        <v>481</v>
      </c>
      <c r="B484" s="18" t="s">
        <v>13</v>
      </c>
      <c r="C484" s="31" t="s">
        <v>2548</v>
      </c>
      <c r="D484" s="19" t="s">
        <v>2549</v>
      </c>
      <c r="E484" s="20" t="s">
        <v>2550</v>
      </c>
      <c r="F484" s="32" t="s">
        <v>2551</v>
      </c>
      <c r="G484" s="22" t="s">
        <v>2552</v>
      </c>
      <c r="H484" s="23" t="s">
        <v>2553</v>
      </c>
      <c r="I484" s="24" t="s">
        <v>55</v>
      </c>
      <c r="J484" s="1" t="str">
        <f t="shared" si="0"/>
        <v/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6.25" hidden="1" customHeight="1">
      <c r="A485" s="17">
        <f t="shared" si="1"/>
        <v>482</v>
      </c>
      <c r="B485" s="18" t="s">
        <v>48</v>
      </c>
      <c r="C485" s="31" t="s">
        <v>1448</v>
      </c>
      <c r="D485" s="19" t="s">
        <v>2554</v>
      </c>
      <c r="E485" s="20" t="s">
        <v>1450</v>
      </c>
      <c r="F485" s="32" t="s">
        <v>52</v>
      </c>
      <c r="G485" s="33" t="s">
        <v>42</v>
      </c>
      <c r="H485" s="23" t="s">
        <v>2555</v>
      </c>
      <c r="I485" s="34" t="s">
        <v>55</v>
      </c>
      <c r="J485" s="1" t="str">
        <f t="shared" si="0"/>
        <v/>
      </c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</row>
    <row r="486" spans="1:24" ht="26.25" hidden="1" customHeight="1">
      <c r="A486" s="17">
        <f t="shared" si="1"/>
        <v>483</v>
      </c>
      <c r="B486" s="18" t="s">
        <v>248</v>
      </c>
      <c r="C486" s="31" t="s">
        <v>1103</v>
      </c>
      <c r="D486" s="19" t="s">
        <v>124</v>
      </c>
      <c r="E486" s="20" t="s">
        <v>1104</v>
      </c>
      <c r="F486" s="32" t="s">
        <v>2556</v>
      </c>
      <c r="G486" s="33" t="s">
        <v>31</v>
      </c>
      <c r="H486" s="23" t="s">
        <v>2557</v>
      </c>
      <c r="I486" s="24" t="s">
        <v>55</v>
      </c>
      <c r="J486" s="1" t="str">
        <f t="shared" si="0"/>
        <v/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6.25" hidden="1" customHeight="1">
      <c r="A487" s="17">
        <f t="shared" si="1"/>
        <v>484</v>
      </c>
      <c r="B487" s="18" t="s">
        <v>105</v>
      </c>
      <c r="C487" s="31" t="s">
        <v>2558</v>
      </c>
      <c r="D487" s="19" t="s">
        <v>308</v>
      </c>
      <c r="E487" s="20" t="s">
        <v>2559</v>
      </c>
      <c r="F487" s="32" t="s">
        <v>2560</v>
      </c>
      <c r="G487" s="33" t="s">
        <v>42</v>
      </c>
      <c r="H487" s="23" t="s">
        <v>2561</v>
      </c>
      <c r="I487" s="24" t="s">
        <v>55</v>
      </c>
      <c r="J487" s="1" t="str">
        <f t="shared" si="0"/>
        <v/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6.25" hidden="1" customHeight="1">
      <c r="A488" s="17">
        <f t="shared" si="1"/>
        <v>485</v>
      </c>
      <c r="B488" s="18" t="s">
        <v>175</v>
      </c>
      <c r="C488" s="31" t="s">
        <v>2562</v>
      </c>
      <c r="D488" s="19" t="s">
        <v>308</v>
      </c>
      <c r="E488" s="20" t="s">
        <v>2563</v>
      </c>
      <c r="F488" s="32" t="s">
        <v>2564</v>
      </c>
      <c r="G488" s="33" t="s">
        <v>42</v>
      </c>
      <c r="H488" s="23" t="s">
        <v>2565</v>
      </c>
      <c r="I488" s="24" t="s">
        <v>55</v>
      </c>
      <c r="J488" s="1" t="str">
        <f t="shared" si="0"/>
        <v/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6.25" customHeight="1">
      <c r="A489" s="17">
        <f t="shared" si="1"/>
        <v>486</v>
      </c>
      <c r="B489" s="18" t="s">
        <v>132</v>
      </c>
      <c r="C489" s="19" t="s">
        <v>2566</v>
      </c>
      <c r="D489" s="19" t="s">
        <v>370</v>
      </c>
      <c r="E489" s="20" t="s">
        <v>2567</v>
      </c>
      <c r="F489" s="21" t="s">
        <v>2568</v>
      </c>
      <c r="G489" s="22" t="s">
        <v>53</v>
      </c>
      <c r="H489" s="23" t="s">
        <v>2569</v>
      </c>
      <c r="I489" s="24" t="s">
        <v>20</v>
      </c>
      <c r="J489" s="1" t="str">
        <f t="shared" si="0"/>
        <v>FRIC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6.25" hidden="1" customHeight="1">
      <c r="A490" s="17">
        <f t="shared" si="1"/>
        <v>487</v>
      </c>
      <c r="B490" s="18" t="s">
        <v>132</v>
      </c>
      <c r="C490" s="31" t="s">
        <v>1110</v>
      </c>
      <c r="D490" s="19" t="s">
        <v>1111</v>
      </c>
      <c r="E490" s="20" t="s">
        <v>1112</v>
      </c>
      <c r="F490" s="32" t="s">
        <v>170</v>
      </c>
      <c r="G490" s="22" t="s">
        <v>53</v>
      </c>
      <c r="H490" s="23" t="s">
        <v>2570</v>
      </c>
      <c r="I490" s="24" t="s">
        <v>55</v>
      </c>
      <c r="J490" s="1" t="str">
        <f t="shared" si="0"/>
        <v/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6.25" customHeight="1">
      <c r="A491" s="17">
        <f t="shared" si="1"/>
        <v>488</v>
      </c>
      <c r="B491" s="18" t="s">
        <v>132</v>
      </c>
      <c r="C491" s="19" t="s">
        <v>2571</v>
      </c>
      <c r="D491" s="19" t="s">
        <v>124</v>
      </c>
      <c r="E491" s="20" t="s">
        <v>2572</v>
      </c>
      <c r="F491" s="21" t="s">
        <v>135</v>
      </c>
      <c r="G491" s="22" t="s">
        <v>42</v>
      </c>
      <c r="H491" s="23" t="s">
        <v>2573</v>
      </c>
      <c r="I491" s="24" t="s">
        <v>20</v>
      </c>
      <c r="J491" s="1" t="str">
        <f t="shared" si="0"/>
        <v>FRIC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6.25" customHeight="1">
      <c r="A492" s="17">
        <f t="shared" si="1"/>
        <v>489</v>
      </c>
      <c r="B492" s="18" t="s">
        <v>13</v>
      </c>
      <c r="C492" s="19" t="s">
        <v>2574</v>
      </c>
      <c r="D492" s="19" t="s">
        <v>199</v>
      </c>
      <c r="E492" s="20" t="s">
        <v>2575</v>
      </c>
      <c r="F492" s="21" t="s">
        <v>135</v>
      </c>
      <c r="G492" s="22" t="s">
        <v>42</v>
      </c>
      <c r="H492" s="23" t="s">
        <v>2576</v>
      </c>
      <c r="I492" s="24" t="s">
        <v>20</v>
      </c>
      <c r="J492" s="1" t="str">
        <f t="shared" si="0"/>
        <v>FRIC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6.25" hidden="1" customHeight="1">
      <c r="A493" s="17">
        <f t="shared" si="1"/>
        <v>490</v>
      </c>
      <c r="B493" s="18" t="s">
        <v>81</v>
      </c>
      <c r="C493" s="31" t="s">
        <v>2577</v>
      </c>
      <c r="D493" s="19" t="s">
        <v>2578</v>
      </c>
      <c r="E493" s="20" t="s">
        <v>2579</v>
      </c>
      <c r="F493" s="32" t="s">
        <v>2580</v>
      </c>
      <c r="G493" s="33" t="s">
        <v>1893</v>
      </c>
      <c r="H493" s="23" t="s">
        <v>2581</v>
      </c>
      <c r="I493" s="24" t="s">
        <v>55</v>
      </c>
      <c r="J493" s="1" t="str">
        <f t="shared" si="0"/>
        <v/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6.25" hidden="1" customHeight="1">
      <c r="A494" s="17">
        <f t="shared" si="1"/>
        <v>491</v>
      </c>
      <c r="B494" s="18" t="s">
        <v>248</v>
      </c>
      <c r="C494" s="31" t="s">
        <v>1117</v>
      </c>
      <c r="D494" s="19" t="s">
        <v>1118</v>
      </c>
      <c r="E494" s="20" t="s">
        <v>1119</v>
      </c>
      <c r="F494" s="32" t="s">
        <v>2582</v>
      </c>
      <c r="G494" s="33" t="s">
        <v>31</v>
      </c>
      <c r="H494" s="23" t="s">
        <v>2583</v>
      </c>
      <c r="I494" s="24" t="s">
        <v>55</v>
      </c>
      <c r="J494" s="1" t="str">
        <f t="shared" si="0"/>
        <v/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6.25" hidden="1" customHeight="1">
      <c r="A495" s="17">
        <f t="shared" si="1"/>
        <v>492</v>
      </c>
      <c r="B495" s="18" t="s">
        <v>1375</v>
      </c>
      <c r="C495" s="31" t="s">
        <v>2584</v>
      </c>
      <c r="D495" s="19" t="s">
        <v>2585</v>
      </c>
      <c r="E495" s="20" t="s">
        <v>2586</v>
      </c>
      <c r="F495" s="32" t="s">
        <v>428</v>
      </c>
      <c r="G495" s="22" t="s">
        <v>53</v>
      </c>
      <c r="H495" s="23" t="s">
        <v>2587</v>
      </c>
      <c r="I495" s="24" t="s">
        <v>55</v>
      </c>
      <c r="J495" s="1" t="str">
        <f t="shared" si="0"/>
        <v/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6.25" hidden="1" customHeight="1">
      <c r="A496" s="17">
        <f t="shared" si="1"/>
        <v>493</v>
      </c>
      <c r="B496" s="18" t="s">
        <v>1375</v>
      </c>
      <c r="C496" s="31" t="s">
        <v>2588</v>
      </c>
      <c r="D496" s="19" t="s">
        <v>2589</v>
      </c>
      <c r="E496" s="20" t="s">
        <v>264</v>
      </c>
      <c r="F496" s="32" t="s">
        <v>142</v>
      </c>
      <c r="G496" s="22" t="s">
        <v>63</v>
      </c>
      <c r="H496" s="23" t="s">
        <v>2590</v>
      </c>
      <c r="I496" s="24" t="s">
        <v>55</v>
      </c>
      <c r="J496" s="1" t="str">
        <f t="shared" si="0"/>
        <v/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6.25" hidden="1" customHeight="1">
      <c r="A497" s="17">
        <f t="shared" si="1"/>
        <v>494</v>
      </c>
      <c r="B497" s="18" t="s">
        <v>1375</v>
      </c>
      <c r="C497" s="31" t="s">
        <v>2591</v>
      </c>
      <c r="D497" s="19" t="s">
        <v>2592</v>
      </c>
      <c r="E497" s="20" t="s">
        <v>2593</v>
      </c>
      <c r="F497" s="32">
        <v>2013</v>
      </c>
      <c r="G497" s="22" t="s">
        <v>53</v>
      </c>
      <c r="H497" s="23" t="s">
        <v>2594</v>
      </c>
      <c r="I497" s="24" t="s">
        <v>55</v>
      </c>
      <c r="J497" s="1" t="str">
        <f t="shared" si="0"/>
        <v/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6.25" customHeight="1">
      <c r="A498" s="17">
        <f t="shared" si="1"/>
        <v>495</v>
      </c>
      <c r="B498" s="18" t="s">
        <v>1375</v>
      </c>
      <c r="C498" s="19" t="s">
        <v>2595</v>
      </c>
      <c r="D498" s="19" t="s">
        <v>2377</v>
      </c>
      <c r="E498" s="20" t="s">
        <v>2596</v>
      </c>
      <c r="F498" s="21" t="s">
        <v>135</v>
      </c>
      <c r="G498" s="22" t="s">
        <v>53</v>
      </c>
      <c r="H498" s="23" t="s">
        <v>2597</v>
      </c>
      <c r="I498" s="24" t="s">
        <v>20</v>
      </c>
      <c r="J498" s="1" t="str">
        <f t="shared" si="0"/>
        <v>FRIC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6.25" hidden="1" customHeight="1">
      <c r="A499" s="17">
        <f t="shared" si="1"/>
        <v>496</v>
      </c>
      <c r="B499" s="18" t="s">
        <v>1375</v>
      </c>
      <c r="C499" s="31" t="s">
        <v>1124</v>
      </c>
      <c r="D499" s="19" t="s">
        <v>2598</v>
      </c>
      <c r="E499" s="20" t="s">
        <v>1126</v>
      </c>
      <c r="F499" s="32" t="s">
        <v>170</v>
      </c>
      <c r="G499" s="22" t="s">
        <v>42</v>
      </c>
      <c r="H499" s="23" t="s">
        <v>2599</v>
      </c>
      <c r="I499" s="24" t="s">
        <v>55</v>
      </c>
      <c r="J499" s="1" t="str">
        <f t="shared" si="0"/>
        <v/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6.25" hidden="1" customHeight="1">
      <c r="A500" s="17">
        <f t="shared" si="1"/>
        <v>497</v>
      </c>
      <c r="B500" s="18" t="s">
        <v>37</v>
      </c>
      <c r="C500" s="31" t="s">
        <v>319</v>
      </c>
      <c r="D500" s="19" t="s">
        <v>2600</v>
      </c>
      <c r="E500" s="20" t="s">
        <v>321</v>
      </c>
      <c r="F500" s="32" t="s">
        <v>163</v>
      </c>
      <c r="G500" s="22" t="s">
        <v>42</v>
      </c>
      <c r="H500" s="23" t="s">
        <v>2601</v>
      </c>
      <c r="I500" s="24" t="s">
        <v>55</v>
      </c>
      <c r="J500" s="1" t="str">
        <f t="shared" si="0"/>
        <v/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6.25" hidden="1" customHeight="1">
      <c r="A501" s="17">
        <f t="shared" si="1"/>
        <v>498</v>
      </c>
      <c r="B501" s="18" t="s">
        <v>37</v>
      </c>
      <c r="C501" s="19" t="s">
        <v>2602</v>
      </c>
      <c r="D501" s="19" t="s">
        <v>2603</v>
      </c>
      <c r="E501" s="20" t="s">
        <v>2604</v>
      </c>
      <c r="F501" s="21" t="s">
        <v>293</v>
      </c>
      <c r="G501" s="22" t="s">
        <v>42</v>
      </c>
      <c r="H501" s="23" t="s">
        <v>2605</v>
      </c>
      <c r="I501" s="24" t="s">
        <v>20</v>
      </c>
      <c r="J501" s="1" t="str">
        <f t="shared" si="0"/>
        <v>과기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6.25" customHeight="1">
      <c r="A502" s="17">
        <f t="shared" si="1"/>
        <v>499</v>
      </c>
      <c r="B502" s="18" t="s">
        <v>37</v>
      </c>
      <c r="C502" s="19" t="s">
        <v>2606</v>
      </c>
      <c r="D502" s="19" t="s">
        <v>124</v>
      </c>
      <c r="E502" s="20" t="s">
        <v>2607</v>
      </c>
      <c r="F502" s="21" t="s">
        <v>135</v>
      </c>
      <c r="G502" s="22" t="s">
        <v>42</v>
      </c>
      <c r="H502" s="23" t="s">
        <v>2608</v>
      </c>
      <c r="I502" s="24" t="s">
        <v>20</v>
      </c>
      <c r="J502" s="1" t="str">
        <f t="shared" si="0"/>
        <v>FRIC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6.25" hidden="1" customHeight="1">
      <c r="A503" s="17">
        <f t="shared" si="1"/>
        <v>500</v>
      </c>
      <c r="B503" s="18" t="s">
        <v>13</v>
      </c>
      <c r="C503" s="31" t="s">
        <v>2609</v>
      </c>
      <c r="D503" s="19" t="s">
        <v>2610</v>
      </c>
      <c r="E503" s="20" t="s">
        <v>2611</v>
      </c>
      <c r="F503" s="32" t="s">
        <v>222</v>
      </c>
      <c r="G503" s="22" t="s">
        <v>42</v>
      </c>
      <c r="H503" s="23" t="s">
        <v>2612</v>
      </c>
      <c r="I503" s="24" t="s">
        <v>55</v>
      </c>
      <c r="J503" s="1" t="str">
        <f t="shared" si="0"/>
        <v/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6.25" customHeight="1">
      <c r="A504" s="17">
        <f t="shared" si="1"/>
        <v>501</v>
      </c>
      <c r="B504" s="18" t="s">
        <v>37</v>
      </c>
      <c r="C504" s="19" t="s">
        <v>2613</v>
      </c>
      <c r="D504" s="19" t="s">
        <v>124</v>
      </c>
      <c r="E504" s="20" t="s">
        <v>2614</v>
      </c>
      <c r="F504" s="21" t="s">
        <v>135</v>
      </c>
      <c r="G504" s="22" t="s">
        <v>42</v>
      </c>
      <c r="H504" s="23" t="s">
        <v>2615</v>
      </c>
      <c r="I504" s="24" t="s">
        <v>20</v>
      </c>
      <c r="J504" s="1" t="str">
        <f t="shared" si="0"/>
        <v>FRIC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6.25" customHeight="1">
      <c r="A505" s="17">
        <f t="shared" si="1"/>
        <v>502</v>
      </c>
      <c r="B505" s="18" t="s">
        <v>37</v>
      </c>
      <c r="C505" s="19" t="s">
        <v>2616</v>
      </c>
      <c r="D505" s="19" t="s">
        <v>2617</v>
      </c>
      <c r="E505" s="20" t="s">
        <v>2618</v>
      </c>
      <c r="F505" s="21" t="s">
        <v>1970</v>
      </c>
      <c r="G505" s="22" t="s">
        <v>31</v>
      </c>
      <c r="H505" s="23" t="s">
        <v>2619</v>
      </c>
      <c r="I505" s="24" t="s">
        <v>20</v>
      </c>
      <c r="J505" s="1" t="str">
        <f t="shared" si="0"/>
        <v>FRIC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6.25" hidden="1" customHeight="1">
      <c r="A506" s="17">
        <f t="shared" si="1"/>
        <v>503</v>
      </c>
      <c r="B506" s="18" t="s">
        <v>37</v>
      </c>
      <c r="C506" s="31" t="s">
        <v>1132</v>
      </c>
      <c r="D506" s="19" t="s">
        <v>1106</v>
      </c>
      <c r="E506" s="20" t="s">
        <v>1134</v>
      </c>
      <c r="F506" s="32" t="s">
        <v>2582</v>
      </c>
      <c r="G506" s="22" t="s">
        <v>31</v>
      </c>
      <c r="H506" s="23" t="s">
        <v>2620</v>
      </c>
      <c r="I506" s="24" t="s">
        <v>55</v>
      </c>
      <c r="J506" s="1" t="str">
        <f t="shared" si="0"/>
        <v/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6.25" customHeight="1">
      <c r="A507" s="17">
        <f t="shared" si="1"/>
        <v>504</v>
      </c>
      <c r="B507" s="18" t="s">
        <v>37</v>
      </c>
      <c r="C507" s="19" t="s">
        <v>2621</v>
      </c>
      <c r="D507" s="19" t="s">
        <v>173</v>
      </c>
      <c r="E507" s="20" t="s">
        <v>2622</v>
      </c>
      <c r="F507" s="21" t="s">
        <v>905</v>
      </c>
      <c r="G507" s="22" t="s">
        <v>42</v>
      </c>
      <c r="H507" s="23" t="s">
        <v>2623</v>
      </c>
      <c r="I507" s="24" t="s">
        <v>20</v>
      </c>
      <c r="J507" s="1" t="str">
        <f t="shared" si="0"/>
        <v>FRIC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6.25" customHeight="1">
      <c r="A508" s="17">
        <f t="shared" si="1"/>
        <v>505</v>
      </c>
      <c r="B508" s="18" t="s">
        <v>27</v>
      </c>
      <c r="C508" s="19" t="s">
        <v>2624</v>
      </c>
      <c r="D508" s="99" t="s">
        <v>440</v>
      </c>
      <c r="E508" s="20" t="s">
        <v>2625</v>
      </c>
      <c r="F508" s="21" t="s">
        <v>135</v>
      </c>
      <c r="G508" s="22" t="s">
        <v>63</v>
      </c>
      <c r="H508" s="23" t="s">
        <v>2626</v>
      </c>
      <c r="I508" s="24" t="s">
        <v>20</v>
      </c>
      <c r="J508" s="1" t="str">
        <f t="shared" si="0"/>
        <v>FRIC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6.25" customHeight="1">
      <c r="A509" s="17">
        <f t="shared" si="1"/>
        <v>506</v>
      </c>
      <c r="B509" s="18" t="s">
        <v>37</v>
      </c>
      <c r="C509" s="19" t="s">
        <v>2627</v>
      </c>
      <c r="D509" s="19" t="s">
        <v>124</v>
      </c>
      <c r="E509" s="20" t="s">
        <v>2628</v>
      </c>
      <c r="F509" s="21" t="s">
        <v>135</v>
      </c>
      <c r="G509" s="22" t="s">
        <v>42</v>
      </c>
      <c r="H509" s="23" t="s">
        <v>2629</v>
      </c>
      <c r="I509" s="24" t="s">
        <v>20</v>
      </c>
      <c r="J509" s="1" t="str">
        <f t="shared" si="0"/>
        <v>FRIC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6.25" customHeight="1">
      <c r="A510" s="17">
        <f t="shared" si="1"/>
        <v>507</v>
      </c>
      <c r="B510" s="18" t="s">
        <v>37</v>
      </c>
      <c r="C510" s="19" t="s">
        <v>2630</v>
      </c>
      <c r="D510" s="19" t="s">
        <v>2631</v>
      </c>
      <c r="E510" s="20" t="s">
        <v>2632</v>
      </c>
      <c r="F510" s="21" t="s">
        <v>135</v>
      </c>
      <c r="G510" s="22" t="s">
        <v>42</v>
      </c>
      <c r="H510" s="23" t="s">
        <v>2633</v>
      </c>
      <c r="I510" s="24" t="s">
        <v>20</v>
      </c>
      <c r="J510" s="1" t="str">
        <f t="shared" si="0"/>
        <v>FRIC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6.25" hidden="1" customHeight="1">
      <c r="A511" s="17">
        <f t="shared" si="1"/>
        <v>508</v>
      </c>
      <c r="B511" s="18" t="s">
        <v>105</v>
      </c>
      <c r="C511" s="31" t="s">
        <v>683</v>
      </c>
      <c r="D511" s="19" t="s">
        <v>141</v>
      </c>
      <c r="E511" s="20" t="s">
        <v>684</v>
      </c>
      <c r="F511" s="32" t="s">
        <v>603</v>
      </c>
      <c r="G511" s="33" t="s">
        <v>42</v>
      </c>
      <c r="H511" s="23" t="s">
        <v>2634</v>
      </c>
      <c r="I511" s="24" t="s">
        <v>55</v>
      </c>
      <c r="J511" s="1" t="str">
        <f t="shared" si="0"/>
        <v/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6.25" hidden="1" customHeight="1">
      <c r="A512" s="17">
        <f t="shared" si="1"/>
        <v>509</v>
      </c>
      <c r="B512" s="18" t="s">
        <v>105</v>
      </c>
      <c r="C512" s="31" t="s">
        <v>2635</v>
      </c>
      <c r="D512" s="19" t="s">
        <v>2636</v>
      </c>
      <c r="E512" s="20" t="s">
        <v>2637</v>
      </c>
      <c r="F512" s="21" t="s">
        <v>2638</v>
      </c>
      <c r="G512" s="33" t="s">
        <v>63</v>
      </c>
      <c r="H512" s="23" t="s">
        <v>2639</v>
      </c>
      <c r="I512" s="34" t="s">
        <v>20</v>
      </c>
      <c r="J512" s="1" t="str">
        <f t="shared" si="0"/>
        <v>과기</v>
      </c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</row>
    <row r="513" spans="1:24" ht="26.25" hidden="1" customHeight="1">
      <c r="A513" s="17">
        <f t="shared" si="1"/>
        <v>510</v>
      </c>
      <c r="B513" s="18" t="s">
        <v>105</v>
      </c>
      <c r="C513" s="31" t="s">
        <v>732</v>
      </c>
      <c r="D513" s="19" t="s">
        <v>733</v>
      </c>
      <c r="E513" s="20" t="s">
        <v>734</v>
      </c>
      <c r="F513" s="32" t="s">
        <v>2640</v>
      </c>
      <c r="G513" s="33" t="s">
        <v>53</v>
      </c>
      <c r="H513" s="23" t="s">
        <v>2641</v>
      </c>
      <c r="I513" s="24" t="s">
        <v>55</v>
      </c>
      <c r="J513" s="1" t="str">
        <f t="shared" si="0"/>
        <v/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6.25" hidden="1" customHeight="1">
      <c r="A514" s="17">
        <f t="shared" si="1"/>
        <v>511</v>
      </c>
      <c r="B514" s="18" t="s">
        <v>105</v>
      </c>
      <c r="C514" s="31" t="s">
        <v>740</v>
      </c>
      <c r="D514" s="19" t="s">
        <v>2642</v>
      </c>
      <c r="E514" s="20" t="s">
        <v>741</v>
      </c>
      <c r="F514" s="32" t="s">
        <v>170</v>
      </c>
      <c r="G514" s="33" t="s">
        <v>53</v>
      </c>
      <c r="H514" s="23" t="s">
        <v>2643</v>
      </c>
      <c r="I514" s="24" t="s">
        <v>55</v>
      </c>
      <c r="J514" s="1" t="str">
        <f t="shared" si="0"/>
        <v/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6.25" hidden="1" customHeight="1">
      <c r="A515" s="17">
        <f t="shared" si="1"/>
        <v>512</v>
      </c>
      <c r="B515" s="18" t="s">
        <v>105</v>
      </c>
      <c r="C515" s="31" t="s">
        <v>2644</v>
      </c>
      <c r="D515" s="19" t="s">
        <v>196</v>
      </c>
      <c r="E515" s="20" t="s">
        <v>2645</v>
      </c>
      <c r="F515" s="32" t="s">
        <v>1101</v>
      </c>
      <c r="G515" s="33" t="s">
        <v>42</v>
      </c>
      <c r="H515" s="23" t="s">
        <v>2646</v>
      </c>
      <c r="I515" s="24" t="s">
        <v>55</v>
      </c>
      <c r="J515" s="1" t="str">
        <f t="shared" si="0"/>
        <v/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6.25" hidden="1" customHeight="1">
      <c r="A516" s="17">
        <f t="shared" si="1"/>
        <v>513</v>
      </c>
      <c r="B516" s="18" t="s">
        <v>105</v>
      </c>
      <c r="C516" s="31" t="s">
        <v>2647</v>
      </c>
      <c r="D516" s="19" t="s">
        <v>196</v>
      </c>
      <c r="E516" s="20" t="s">
        <v>2648</v>
      </c>
      <c r="F516" s="32" t="s">
        <v>519</v>
      </c>
      <c r="G516" s="33" t="s">
        <v>42</v>
      </c>
      <c r="H516" s="23" t="s">
        <v>2649</v>
      </c>
      <c r="I516" s="24" t="s">
        <v>55</v>
      </c>
      <c r="J516" s="1" t="str">
        <f t="shared" si="0"/>
        <v/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6.25" hidden="1" customHeight="1">
      <c r="A517" s="17">
        <f t="shared" si="1"/>
        <v>514</v>
      </c>
      <c r="B517" s="18" t="s">
        <v>105</v>
      </c>
      <c r="C517" s="31" t="s">
        <v>1455</v>
      </c>
      <c r="D517" s="19" t="s">
        <v>141</v>
      </c>
      <c r="E517" s="20" t="s">
        <v>1457</v>
      </c>
      <c r="F517" s="32" t="s">
        <v>52</v>
      </c>
      <c r="G517" s="33" t="s">
        <v>42</v>
      </c>
      <c r="H517" s="23" t="s">
        <v>2650</v>
      </c>
      <c r="I517" s="34" t="s">
        <v>55</v>
      </c>
      <c r="J517" s="1" t="str">
        <f t="shared" si="0"/>
        <v/>
      </c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</row>
    <row r="518" spans="1:24" ht="26.25" hidden="1" customHeight="1">
      <c r="A518" s="17">
        <f t="shared" si="1"/>
        <v>515</v>
      </c>
      <c r="B518" s="18" t="s">
        <v>132</v>
      </c>
      <c r="C518" s="31" t="s">
        <v>2651</v>
      </c>
      <c r="D518" s="19" t="s">
        <v>2652</v>
      </c>
      <c r="E518" s="20" t="s">
        <v>2653</v>
      </c>
      <c r="F518" s="32" t="s">
        <v>2654</v>
      </c>
      <c r="G518" s="22" t="s">
        <v>31</v>
      </c>
      <c r="H518" s="23" t="s">
        <v>2655</v>
      </c>
      <c r="I518" s="24" t="s">
        <v>55</v>
      </c>
      <c r="J518" s="1" t="str">
        <f t="shared" si="0"/>
        <v/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6.25" hidden="1" customHeight="1">
      <c r="A519" s="17">
        <f t="shared" si="1"/>
        <v>516</v>
      </c>
      <c r="B519" s="18" t="s">
        <v>132</v>
      </c>
      <c r="C519" s="19" t="s">
        <v>1728</v>
      </c>
      <c r="D519" s="19" t="s">
        <v>124</v>
      </c>
      <c r="E519" s="20" t="s">
        <v>1729</v>
      </c>
      <c r="F519" s="32" t="s">
        <v>2656</v>
      </c>
      <c r="G519" s="22" t="s">
        <v>42</v>
      </c>
      <c r="H519" s="23" t="s">
        <v>2657</v>
      </c>
      <c r="I519" s="34" t="s">
        <v>55</v>
      </c>
      <c r="J519" s="1" t="str">
        <f t="shared" si="0"/>
        <v/>
      </c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</row>
    <row r="520" spans="1:24" ht="26.25" customHeight="1">
      <c r="A520" s="17">
        <f t="shared" si="1"/>
        <v>517</v>
      </c>
      <c r="B520" s="18" t="s">
        <v>132</v>
      </c>
      <c r="C520" s="19" t="s">
        <v>2658</v>
      </c>
      <c r="D520" s="19" t="s">
        <v>124</v>
      </c>
      <c r="E520" s="20" t="s">
        <v>2659</v>
      </c>
      <c r="F520" s="21" t="s">
        <v>135</v>
      </c>
      <c r="G520" s="22" t="s">
        <v>31</v>
      </c>
      <c r="H520" s="23" t="s">
        <v>2660</v>
      </c>
      <c r="I520" s="24" t="s">
        <v>20</v>
      </c>
      <c r="J520" s="1" t="str">
        <f t="shared" si="0"/>
        <v>FRIC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6.25" hidden="1" customHeight="1">
      <c r="A521" s="17">
        <f t="shared" si="1"/>
        <v>518</v>
      </c>
      <c r="B521" s="18" t="s">
        <v>132</v>
      </c>
      <c r="C521" s="31" t="s">
        <v>872</v>
      </c>
      <c r="D521" s="19" t="s">
        <v>2661</v>
      </c>
      <c r="E521" s="20" t="s">
        <v>873</v>
      </c>
      <c r="F521" s="32" t="s">
        <v>2662</v>
      </c>
      <c r="G521" s="22" t="s">
        <v>31</v>
      </c>
      <c r="H521" s="23" t="s">
        <v>2663</v>
      </c>
      <c r="I521" s="24" t="s">
        <v>55</v>
      </c>
      <c r="J521" s="1" t="str">
        <f t="shared" si="0"/>
        <v/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6.25" hidden="1" customHeight="1">
      <c r="A522" s="17">
        <f t="shared" si="1"/>
        <v>519</v>
      </c>
      <c r="B522" s="18" t="s">
        <v>37</v>
      </c>
      <c r="C522" s="70" t="s">
        <v>1139</v>
      </c>
      <c r="D522" s="39" t="s">
        <v>2664</v>
      </c>
      <c r="E522" s="20" t="s">
        <v>1141</v>
      </c>
      <c r="F522" s="44">
        <v>2019</v>
      </c>
      <c r="G522" s="22" t="s">
        <v>53</v>
      </c>
      <c r="H522" s="41" t="s">
        <v>2665</v>
      </c>
      <c r="I522" s="24" t="s">
        <v>55</v>
      </c>
      <c r="J522" s="1" t="str">
        <f t="shared" si="0"/>
        <v/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6.25" customHeight="1">
      <c r="A523" s="17">
        <f t="shared" si="1"/>
        <v>520</v>
      </c>
      <c r="B523" s="18" t="s">
        <v>37</v>
      </c>
      <c r="C523" s="19" t="s">
        <v>2666</v>
      </c>
      <c r="D523" s="19" t="s">
        <v>2667</v>
      </c>
      <c r="E523" s="20" t="s">
        <v>2668</v>
      </c>
      <c r="F523" s="21" t="s">
        <v>2669</v>
      </c>
      <c r="G523" s="22" t="s">
        <v>53</v>
      </c>
      <c r="H523" s="23" t="s">
        <v>2670</v>
      </c>
      <c r="I523" s="24" t="s">
        <v>20</v>
      </c>
      <c r="J523" s="1" t="str">
        <f t="shared" si="0"/>
        <v>FRIC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6.25" customHeight="1">
      <c r="A524" s="17">
        <f t="shared" si="1"/>
        <v>521</v>
      </c>
      <c r="B524" s="18" t="s">
        <v>37</v>
      </c>
      <c r="C524" s="19" t="s">
        <v>2671</v>
      </c>
      <c r="D524" s="19" t="s">
        <v>2667</v>
      </c>
      <c r="E524" s="20" t="s">
        <v>2672</v>
      </c>
      <c r="F524" s="21" t="s">
        <v>2673</v>
      </c>
      <c r="G524" s="22" t="s">
        <v>53</v>
      </c>
      <c r="H524" s="23" t="s">
        <v>2674</v>
      </c>
      <c r="I524" s="24" t="s">
        <v>20</v>
      </c>
      <c r="J524" s="1" t="str">
        <f t="shared" si="0"/>
        <v>FRIC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6.25" hidden="1" customHeight="1">
      <c r="A525" s="17">
        <f t="shared" si="1"/>
        <v>522</v>
      </c>
      <c r="B525" s="18" t="s">
        <v>37</v>
      </c>
      <c r="C525" s="31" t="s">
        <v>2675</v>
      </c>
      <c r="D525" s="19" t="s">
        <v>2676</v>
      </c>
      <c r="E525" s="20" t="s">
        <v>1148</v>
      </c>
      <c r="F525" s="32" t="s">
        <v>170</v>
      </c>
      <c r="G525" s="22" t="s">
        <v>63</v>
      </c>
      <c r="H525" s="23" t="s">
        <v>2677</v>
      </c>
      <c r="I525" s="24" t="s">
        <v>55</v>
      </c>
      <c r="J525" s="1" t="str">
        <f t="shared" si="0"/>
        <v/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6.25" hidden="1" customHeight="1">
      <c r="A526" s="17">
        <f t="shared" si="1"/>
        <v>523</v>
      </c>
      <c r="B526" s="18" t="s">
        <v>37</v>
      </c>
      <c r="C526" s="31" t="s">
        <v>2678</v>
      </c>
      <c r="D526" s="19" t="s">
        <v>277</v>
      </c>
      <c r="E526" s="20" t="s">
        <v>2679</v>
      </c>
      <c r="F526" s="32" t="s">
        <v>2257</v>
      </c>
      <c r="G526" s="22" t="s">
        <v>42</v>
      </c>
      <c r="H526" s="23" t="s">
        <v>2680</v>
      </c>
      <c r="I526" s="24" t="s">
        <v>55</v>
      </c>
      <c r="J526" s="1" t="str">
        <f t="shared" si="0"/>
        <v/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6.25" hidden="1" customHeight="1">
      <c r="A527" s="17">
        <f t="shared" si="1"/>
        <v>524</v>
      </c>
      <c r="B527" s="18" t="s">
        <v>37</v>
      </c>
      <c r="C527" s="19" t="s">
        <v>2681</v>
      </c>
      <c r="D527" s="19" t="s">
        <v>277</v>
      </c>
      <c r="E527" s="20" t="s">
        <v>2682</v>
      </c>
      <c r="F527" s="21" t="s">
        <v>2683</v>
      </c>
      <c r="G527" s="22" t="s">
        <v>42</v>
      </c>
      <c r="H527" s="23" t="s">
        <v>2684</v>
      </c>
      <c r="I527" s="24" t="s">
        <v>20</v>
      </c>
      <c r="J527" s="1" t="str">
        <f t="shared" si="0"/>
        <v>과기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6.25" hidden="1" customHeight="1">
      <c r="A528" s="17">
        <f t="shared" si="1"/>
        <v>525</v>
      </c>
      <c r="B528" s="18" t="s">
        <v>27</v>
      </c>
      <c r="C528" s="31" t="s">
        <v>2685</v>
      </c>
      <c r="D528" s="19" t="s">
        <v>808</v>
      </c>
      <c r="E528" s="20" t="s">
        <v>2686</v>
      </c>
      <c r="F528" s="32" t="s">
        <v>1947</v>
      </c>
      <c r="G528" s="22" t="s">
        <v>53</v>
      </c>
      <c r="H528" s="23" t="s">
        <v>2687</v>
      </c>
      <c r="I528" s="24" t="s">
        <v>55</v>
      </c>
      <c r="J528" s="1" t="str">
        <f t="shared" si="0"/>
        <v/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6.25" hidden="1" customHeight="1">
      <c r="A529" s="17">
        <f t="shared" si="1"/>
        <v>526</v>
      </c>
      <c r="B529" s="18" t="s">
        <v>175</v>
      </c>
      <c r="C529" s="31" t="s">
        <v>2688</v>
      </c>
      <c r="D529" s="19" t="s">
        <v>277</v>
      </c>
      <c r="E529" s="20" t="s">
        <v>2689</v>
      </c>
      <c r="F529" s="32" t="s">
        <v>252</v>
      </c>
      <c r="G529" s="33" t="s">
        <v>42</v>
      </c>
      <c r="H529" s="23" t="s">
        <v>2690</v>
      </c>
      <c r="I529" s="24" t="s">
        <v>55</v>
      </c>
      <c r="J529" s="1" t="str">
        <f t="shared" si="0"/>
        <v/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6.25" hidden="1" customHeight="1">
      <c r="A530" s="17">
        <f t="shared" si="1"/>
        <v>527</v>
      </c>
      <c r="B530" s="18" t="s">
        <v>175</v>
      </c>
      <c r="C530" s="19" t="s">
        <v>2691</v>
      </c>
      <c r="D530" s="19" t="s">
        <v>45</v>
      </c>
      <c r="E530" s="20" t="s">
        <v>2692</v>
      </c>
      <c r="F530" s="21" t="s">
        <v>905</v>
      </c>
      <c r="G530" s="33" t="s">
        <v>42</v>
      </c>
      <c r="H530" s="23" t="s">
        <v>2693</v>
      </c>
      <c r="I530" s="24" t="s">
        <v>20</v>
      </c>
      <c r="J530" s="1" t="str">
        <f t="shared" si="0"/>
        <v>과기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6.25" hidden="1" customHeight="1">
      <c r="A531" s="17">
        <f t="shared" si="1"/>
        <v>528</v>
      </c>
      <c r="B531" s="18" t="s">
        <v>48</v>
      </c>
      <c r="C531" s="31" t="s">
        <v>2694</v>
      </c>
      <c r="D531" s="19" t="s">
        <v>370</v>
      </c>
      <c r="E531" s="20" t="s">
        <v>2695</v>
      </c>
      <c r="F531" s="32" t="s">
        <v>2696</v>
      </c>
      <c r="G531" s="33" t="s">
        <v>53</v>
      </c>
      <c r="H531" s="23" t="s">
        <v>2697</v>
      </c>
      <c r="I531" s="24" t="s">
        <v>55</v>
      </c>
      <c r="J531" s="1" t="str">
        <f t="shared" si="0"/>
        <v/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6.25" customHeight="1">
      <c r="A532" s="17">
        <f t="shared" si="1"/>
        <v>529</v>
      </c>
      <c r="B532" s="18" t="s">
        <v>105</v>
      </c>
      <c r="C532" s="19" t="s">
        <v>2698</v>
      </c>
      <c r="D532" s="19" t="s">
        <v>124</v>
      </c>
      <c r="E532" s="20" t="s">
        <v>2699</v>
      </c>
      <c r="F532" s="21" t="s">
        <v>905</v>
      </c>
      <c r="G532" s="33" t="s">
        <v>42</v>
      </c>
      <c r="H532" s="23" t="s">
        <v>2700</v>
      </c>
      <c r="I532" s="24" t="s">
        <v>20</v>
      </c>
      <c r="J532" s="1" t="str">
        <f t="shared" si="0"/>
        <v>FRIC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6.25" hidden="1" customHeight="1">
      <c r="A533" s="17">
        <f t="shared" si="1"/>
        <v>530</v>
      </c>
      <c r="B533" s="18" t="s">
        <v>105</v>
      </c>
      <c r="C533" s="19" t="s">
        <v>2701</v>
      </c>
      <c r="D533" s="19" t="s">
        <v>196</v>
      </c>
      <c r="E533" s="100" t="s">
        <v>2702</v>
      </c>
      <c r="F533" s="32" t="s">
        <v>178</v>
      </c>
      <c r="G533" s="33" t="s">
        <v>42</v>
      </c>
      <c r="H533" s="23" t="s">
        <v>2703</v>
      </c>
      <c r="I533" s="34" t="s">
        <v>55</v>
      </c>
      <c r="J533" s="1" t="str">
        <f t="shared" si="0"/>
        <v/>
      </c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</row>
    <row r="534" spans="1:24" ht="26.25" hidden="1" customHeight="1">
      <c r="A534" s="17">
        <f t="shared" si="1"/>
        <v>531</v>
      </c>
      <c r="B534" s="18" t="s">
        <v>1368</v>
      </c>
      <c r="C534" s="31" t="s">
        <v>1568</v>
      </c>
      <c r="D534" s="19" t="s">
        <v>2704</v>
      </c>
      <c r="E534" s="43"/>
      <c r="F534" s="21" t="s">
        <v>2705</v>
      </c>
      <c r="G534" s="33" t="s">
        <v>53</v>
      </c>
      <c r="H534" s="59" t="s">
        <v>2706</v>
      </c>
      <c r="I534" s="34" t="s">
        <v>55</v>
      </c>
      <c r="J534" s="1" t="str">
        <f t="shared" si="0"/>
        <v/>
      </c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</row>
    <row r="535" spans="1:24" ht="26.25" customHeight="1">
      <c r="A535" s="17">
        <f t="shared" si="1"/>
        <v>532</v>
      </c>
      <c r="B535" s="18" t="s">
        <v>37</v>
      </c>
      <c r="C535" s="19" t="s">
        <v>2707</v>
      </c>
      <c r="D535" s="19" t="s">
        <v>1804</v>
      </c>
      <c r="E535" s="20" t="s">
        <v>2708</v>
      </c>
      <c r="F535" s="21" t="s">
        <v>2709</v>
      </c>
      <c r="G535" s="22" t="s">
        <v>53</v>
      </c>
      <c r="H535" s="23" t="s">
        <v>2710</v>
      </c>
      <c r="I535" s="24" t="s">
        <v>20</v>
      </c>
      <c r="J535" s="1" t="str">
        <f t="shared" si="0"/>
        <v>FRIC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6.25" hidden="1" customHeight="1">
      <c r="A536" s="17">
        <f t="shared" si="1"/>
        <v>533</v>
      </c>
      <c r="B536" s="18" t="s">
        <v>175</v>
      </c>
      <c r="C536" s="31" t="s">
        <v>2711</v>
      </c>
      <c r="D536" s="19" t="s">
        <v>196</v>
      </c>
      <c r="E536" s="20" t="s">
        <v>2712</v>
      </c>
      <c r="F536" s="32" t="s">
        <v>2713</v>
      </c>
      <c r="G536" s="33" t="s">
        <v>42</v>
      </c>
      <c r="H536" s="23" t="s">
        <v>2714</v>
      </c>
      <c r="I536" s="24" t="s">
        <v>55</v>
      </c>
      <c r="J536" s="1" t="str">
        <f t="shared" si="0"/>
        <v/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6.25" hidden="1" customHeight="1">
      <c r="A537" s="17">
        <f t="shared" si="1"/>
        <v>534</v>
      </c>
      <c r="B537" s="18" t="s">
        <v>175</v>
      </c>
      <c r="C537" s="31" t="s">
        <v>2715</v>
      </c>
      <c r="D537" s="19" t="s">
        <v>2716</v>
      </c>
      <c r="E537" s="20" t="s">
        <v>2717</v>
      </c>
      <c r="F537" s="32" t="s">
        <v>2718</v>
      </c>
      <c r="G537" s="33" t="s">
        <v>42</v>
      </c>
      <c r="H537" s="23" t="s">
        <v>2719</v>
      </c>
      <c r="I537" s="24" t="s">
        <v>55</v>
      </c>
      <c r="J537" s="1" t="str">
        <f t="shared" si="0"/>
        <v/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6.25" hidden="1" customHeight="1">
      <c r="A538" s="17">
        <f t="shared" si="1"/>
        <v>535</v>
      </c>
      <c r="B538" s="18" t="s">
        <v>132</v>
      </c>
      <c r="C538" s="31" t="s">
        <v>1157</v>
      </c>
      <c r="D538" s="19" t="s">
        <v>2720</v>
      </c>
      <c r="E538" s="20" t="s">
        <v>1158</v>
      </c>
      <c r="F538" s="32" t="s">
        <v>170</v>
      </c>
      <c r="G538" s="22" t="s">
        <v>53</v>
      </c>
      <c r="H538" s="23" t="s">
        <v>2721</v>
      </c>
      <c r="I538" s="24" t="s">
        <v>55</v>
      </c>
      <c r="J538" s="1" t="str">
        <f t="shared" si="0"/>
        <v/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6.25" customHeight="1">
      <c r="A539" s="17">
        <f t="shared" si="1"/>
        <v>536</v>
      </c>
      <c r="B539" s="18" t="s">
        <v>37</v>
      </c>
      <c r="C539" s="19" t="s">
        <v>2722</v>
      </c>
      <c r="D539" s="19" t="s">
        <v>45</v>
      </c>
      <c r="E539" s="20" t="s">
        <v>2723</v>
      </c>
      <c r="F539" s="21" t="s">
        <v>1970</v>
      </c>
      <c r="G539" s="22" t="s">
        <v>42</v>
      </c>
      <c r="H539" s="23" t="s">
        <v>2724</v>
      </c>
      <c r="I539" s="24" t="s">
        <v>20</v>
      </c>
      <c r="J539" s="1" t="str">
        <f t="shared" si="0"/>
        <v>FRIC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6.25" hidden="1" customHeight="1">
      <c r="A540" s="17">
        <f t="shared" si="1"/>
        <v>537</v>
      </c>
      <c r="B540" s="18" t="s">
        <v>175</v>
      </c>
      <c r="C540" s="31" t="s">
        <v>2725</v>
      </c>
      <c r="D540" s="19" t="s">
        <v>124</v>
      </c>
      <c r="E540" s="20" t="s">
        <v>2726</v>
      </c>
      <c r="F540" s="32" t="s">
        <v>2727</v>
      </c>
      <c r="G540" s="33" t="s">
        <v>42</v>
      </c>
      <c r="H540" s="23" t="s">
        <v>2728</v>
      </c>
      <c r="I540" s="24" t="s">
        <v>55</v>
      </c>
      <c r="J540" s="1" t="str">
        <f t="shared" si="0"/>
        <v/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6.25" hidden="1" customHeight="1">
      <c r="A541" s="17">
        <f t="shared" si="1"/>
        <v>538</v>
      </c>
      <c r="B541" s="18" t="s">
        <v>175</v>
      </c>
      <c r="C541" s="31" t="s">
        <v>2729</v>
      </c>
      <c r="D541" s="19" t="s">
        <v>227</v>
      </c>
      <c r="E541" s="20" t="s">
        <v>2730</v>
      </c>
      <c r="F541" s="32" t="s">
        <v>2731</v>
      </c>
      <c r="G541" s="33" t="s">
        <v>42</v>
      </c>
      <c r="H541" s="23" t="s">
        <v>2732</v>
      </c>
      <c r="I541" s="24" t="s">
        <v>55</v>
      </c>
      <c r="J541" s="1" t="str">
        <f t="shared" si="0"/>
        <v/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6.25" hidden="1" customHeight="1">
      <c r="A542" s="17">
        <f t="shared" si="1"/>
        <v>539</v>
      </c>
      <c r="B542" s="18" t="s">
        <v>37</v>
      </c>
      <c r="C542" s="31" t="s">
        <v>2733</v>
      </c>
      <c r="D542" s="19" t="s">
        <v>748</v>
      </c>
      <c r="E542" s="20" t="s">
        <v>2734</v>
      </c>
      <c r="F542" s="32" t="s">
        <v>209</v>
      </c>
      <c r="G542" s="22" t="s">
        <v>42</v>
      </c>
      <c r="H542" s="23" t="s">
        <v>2735</v>
      </c>
      <c r="I542" s="24" t="s">
        <v>55</v>
      </c>
      <c r="J542" s="1" t="str">
        <f t="shared" si="0"/>
        <v/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6.25" hidden="1" customHeight="1">
      <c r="A543" s="17">
        <f t="shared" si="1"/>
        <v>540</v>
      </c>
      <c r="B543" s="18" t="s">
        <v>37</v>
      </c>
      <c r="C543" s="31" t="s">
        <v>2736</v>
      </c>
      <c r="D543" s="19" t="s">
        <v>808</v>
      </c>
      <c r="E543" s="20" t="s">
        <v>2737</v>
      </c>
      <c r="F543" s="32" t="s">
        <v>209</v>
      </c>
      <c r="G543" s="22" t="s">
        <v>42</v>
      </c>
      <c r="H543" s="23" t="s">
        <v>2738</v>
      </c>
      <c r="I543" s="24" t="s">
        <v>55</v>
      </c>
      <c r="J543" s="1" t="str">
        <f t="shared" si="0"/>
        <v/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6.25" hidden="1" customHeight="1">
      <c r="A544" s="17">
        <f t="shared" si="1"/>
        <v>541</v>
      </c>
      <c r="B544" s="18" t="s">
        <v>248</v>
      </c>
      <c r="C544" s="101" t="s">
        <v>4942</v>
      </c>
      <c r="D544" s="101" t="s">
        <v>168</v>
      </c>
      <c r="E544" s="84" t="s">
        <v>1735</v>
      </c>
      <c r="F544" s="44" t="s">
        <v>4943</v>
      </c>
      <c r="G544" s="22" t="s">
        <v>31</v>
      </c>
      <c r="H544" s="102" t="s">
        <v>2741</v>
      </c>
      <c r="I544" s="34" t="s">
        <v>55</v>
      </c>
      <c r="J544" s="1" t="str">
        <f t="shared" si="0"/>
        <v/>
      </c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</row>
    <row r="545" spans="1:24" ht="26.25" hidden="1" customHeight="1">
      <c r="A545" s="17">
        <f t="shared" si="1"/>
        <v>542</v>
      </c>
      <c r="B545" s="18" t="s">
        <v>37</v>
      </c>
      <c r="C545" s="31" t="s">
        <v>878</v>
      </c>
      <c r="D545" s="19" t="s">
        <v>2742</v>
      </c>
      <c r="E545" s="20" t="s">
        <v>879</v>
      </c>
      <c r="F545" s="32" t="s">
        <v>2100</v>
      </c>
      <c r="G545" s="22" t="s">
        <v>1846</v>
      </c>
      <c r="H545" s="23" t="s">
        <v>2743</v>
      </c>
      <c r="I545" s="24" t="s">
        <v>55</v>
      </c>
      <c r="J545" s="1" t="str">
        <f t="shared" si="0"/>
        <v/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6.25" hidden="1" customHeight="1">
      <c r="A546" s="17">
        <f t="shared" si="1"/>
        <v>543</v>
      </c>
      <c r="B546" s="18" t="s">
        <v>27</v>
      </c>
      <c r="C546" s="31" t="s">
        <v>2744</v>
      </c>
      <c r="D546" s="19" t="s">
        <v>808</v>
      </c>
      <c r="E546" s="20" t="s">
        <v>2745</v>
      </c>
      <c r="F546" s="32" t="s">
        <v>2746</v>
      </c>
      <c r="G546" s="22" t="s">
        <v>42</v>
      </c>
      <c r="H546" s="23" t="s">
        <v>2747</v>
      </c>
      <c r="I546" s="24" t="s">
        <v>55</v>
      </c>
      <c r="J546" s="1" t="str">
        <f t="shared" si="0"/>
        <v/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6.25" hidden="1" customHeight="1">
      <c r="A547" s="17">
        <f t="shared" si="1"/>
        <v>544</v>
      </c>
      <c r="B547" s="18" t="s">
        <v>105</v>
      </c>
      <c r="C547" s="31" t="s">
        <v>2748</v>
      </c>
      <c r="D547" s="19" t="s">
        <v>2164</v>
      </c>
      <c r="E547" s="20" t="s">
        <v>2749</v>
      </c>
      <c r="F547" s="32" t="s">
        <v>2750</v>
      </c>
      <c r="G547" s="33" t="s">
        <v>42</v>
      </c>
      <c r="H547" s="23" t="s">
        <v>2751</v>
      </c>
      <c r="I547" s="24" t="s">
        <v>55</v>
      </c>
      <c r="J547" s="1" t="str">
        <f t="shared" si="0"/>
        <v/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6.25" hidden="1" customHeight="1">
      <c r="A548" s="17">
        <f t="shared" si="1"/>
        <v>545</v>
      </c>
      <c r="B548" s="18" t="s">
        <v>175</v>
      </c>
      <c r="C548" s="31" t="s">
        <v>2752</v>
      </c>
      <c r="D548" s="19" t="s">
        <v>196</v>
      </c>
      <c r="E548" s="20" t="s">
        <v>2753</v>
      </c>
      <c r="F548" s="32" t="s">
        <v>2754</v>
      </c>
      <c r="G548" s="33" t="s">
        <v>42</v>
      </c>
      <c r="H548" s="23" t="s">
        <v>2755</v>
      </c>
      <c r="I548" s="24" t="s">
        <v>55</v>
      </c>
      <c r="J548" s="1" t="str">
        <f t="shared" si="0"/>
        <v/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6.25" customHeight="1">
      <c r="A549" s="17">
        <f t="shared" si="1"/>
        <v>546</v>
      </c>
      <c r="B549" s="18" t="s">
        <v>1375</v>
      </c>
      <c r="C549" s="19" t="s">
        <v>2756</v>
      </c>
      <c r="D549" s="19" t="s">
        <v>2757</v>
      </c>
      <c r="E549" s="20" t="s">
        <v>2758</v>
      </c>
      <c r="F549" s="21" t="s">
        <v>135</v>
      </c>
      <c r="G549" s="22" t="s">
        <v>53</v>
      </c>
      <c r="H549" s="23" t="s">
        <v>2759</v>
      </c>
      <c r="I549" s="24" t="s">
        <v>20</v>
      </c>
      <c r="J549" s="1" t="str">
        <f t="shared" si="0"/>
        <v>FRIC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6.25" hidden="1" customHeight="1">
      <c r="A550" s="17">
        <f t="shared" si="1"/>
        <v>547</v>
      </c>
      <c r="B550" s="18" t="s">
        <v>1368</v>
      </c>
      <c r="C550" s="31" t="s">
        <v>661</v>
      </c>
      <c r="D550" s="19" t="s">
        <v>662</v>
      </c>
      <c r="E550" s="20" t="s">
        <v>663</v>
      </c>
      <c r="F550" s="32" t="s">
        <v>496</v>
      </c>
      <c r="G550" s="33" t="s">
        <v>53</v>
      </c>
      <c r="H550" s="23" t="s">
        <v>2760</v>
      </c>
      <c r="I550" s="24" t="s">
        <v>55</v>
      </c>
      <c r="J550" s="1" t="str">
        <f t="shared" si="0"/>
        <v/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6.25" hidden="1" customHeight="1">
      <c r="A551" s="17">
        <f t="shared" si="1"/>
        <v>548</v>
      </c>
      <c r="B551" s="18" t="s">
        <v>105</v>
      </c>
      <c r="C551" s="31" t="s">
        <v>2761</v>
      </c>
      <c r="D551" s="19" t="s">
        <v>733</v>
      </c>
      <c r="E551" s="20" t="s">
        <v>2762</v>
      </c>
      <c r="F551" s="32" t="s">
        <v>2763</v>
      </c>
      <c r="G551" s="33" t="s">
        <v>53</v>
      </c>
      <c r="H551" s="23" t="s">
        <v>2764</v>
      </c>
      <c r="I551" s="24" t="s">
        <v>55</v>
      </c>
      <c r="J551" s="1" t="str">
        <f t="shared" si="0"/>
        <v/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6.25" customHeight="1">
      <c r="A552" s="17">
        <f t="shared" si="1"/>
        <v>549</v>
      </c>
      <c r="B552" s="18" t="s">
        <v>37</v>
      </c>
      <c r="C552" s="19" t="s">
        <v>2765</v>
      </c>
      <c r="D552" s="19" t="s">
        <v>2766</v>
      </c>
      <c r="E552" s="20" t="s">
        <v>2767</v>
      </c>
      <c r="F552" s="21" t="s">
        <v>2768</v>
      </c>
      <c r="G552" s="22" t="s">
        <v>42</v>
      </c>
      <c r="H552" s="23" t="s">
        <v>2769</v>
      </c>
      <c r="I552" s="24" t="s">
        <v>20</v>
      </c>
      <c r="J552" s="1" t="str">
        <f t="shared" si="0"/>
        <v>FRIC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6.25" hidden="1" customHeight="1">
      <c r="A553" s="17">
        <f t="shared" si="1"/>
        <v>550</v>
      </c>
      <c r="B553" s="18" t="s">
        <v>105</v>
      </c>
      <c r="C553" s="31" t="s">
        <v>2770</v>
      </c>
      <c r="D553" s="19" t="s">
        <v>2771</v>
      </c>
      <c r="E553" s="20" t="s">
        <v>1167</v>
      </c>
      <c r="F553" s="32" t="s">
        <v>170</v>
      </c>
      <c r="G553" s="33" t="s">
        <v>63</v>
      </c>
      <c r="H553" s="23" t="s">
        <v>2772</v>
      </c>
      <c r="I553" s="24" t="s">
        <v>55</v>
      </c>
      <c r="J553" s="1" t="str">
        <f t="shared" si="0"/>
        <v/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6.25" hidden="1" customHeight="1">
      <c r="A554" s="17">
        <f t="shared" si="1"/>
        <v>551</v>
      </c>
      <c r="B554" s="18" t="s">
        <v>132</v>
      </c>
      <c r="C554" s="19" t="s">
        <v>1697</v>
      </c>
      <c r="D554" s="19" t="s">
        <v>124</v>
      </c>
      <c r="E554" s="20" t="s">
        <v>1698</v>
      </c>
      <c r="F554" s="32" t="s">
        <v>52</v>
      </c>
      <c r="G554" s="22" t="s">
        <v>42</v>
      </c>
      <c r="H554" s="23" t="s">
        <v>2773</v>
      </c>
      <c r="I554" s="34" t="s">
        <v>55</v>
      </c>
      <c r="J554" s="1" t="str">
        <f t="shared" si="0"/>
        <v/>
      </c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</row>
    <row r="555" spans="1:24" ht="26.25" hidden="1" customHeight="1">
      <c r="A555" s="17">
        <f t="shared" si="1"/>
        <v>552</v>
      </c>
      <c r="B555" s="18" t="s">
        <v>105</v>
      </c>
      <c r="C555" s="31" t="s">
        <v>2774</v>
      </c>
      <c r="D555" s="19" t="s">
        <v>112</v>
      </c>
      <c r="E555" s="20" t="s">
        <v>130</v>
      </c>
      <c r="F555" s="32" t="s">
        <v>962</v>
      </c>
      <c r="G555" s="33" t="s">
        <v>42</v>
      </c>
      <c r="H555" s="23" t="s">
        <v>2775</v>
      </c>
      <c r="I555" s="24" t="s">
        <v>55</v>
      </c>
      <c r="J555" s="1" t="str">
        <f t="shared" si="0"/>
        <v/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6.25" hidden="1" customHeight="1">
      <c r="A556" s="17">
        <f t="shared" si="1"/>
        <v>553</v>
      </c>
      <c r="B556" s="18" t="s">
        <v>175</v>
      </c>
      <c r="C556" s="31" t="s">
        <v>2776</v>
      </c>
      <c r="D556" s="19" t="s">
        <v>374</v>
      </c>
      <c r="E556" s="20" t="s">
        <v>2777</v>
      </c>
      <c r="F556" s="32" t="s">
        <v>2778</v>
      </c>
      <c r="G556" s="33" t="s">
        <v>42</v>
      </c>
      <c r="H556" s="23" t="s">
        <v>2779</v>
      </c>
      <c r="I556" s="24" t="s">
        <v>55</v>
      </c>
      <c r="J556" s="1" t="str">
        <f t="shared" si="0"/>
        <v/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6.25" customHeight="1">
      <c r="A557" s="17">
        <f t="shared" si="1"/>
        <v>554</v>
      </c>
      <c r="B557" s="18" t="s">
        <v>132</v>
      </c>
      <c r="C557" s="19" t="s">
        <v>2780</v>
      </c>
      <c r="D557" s="19" t="s">
        <v>124</v>
      </c>
      <c r="E557" s="20" t="s">
        <v>2781</v>
      </c>
      <c r="F557" s="21" t="s">
        <v>1011</v>
      </c>
      <c r="G557" s="22" t="s">
        <v>42</v>
      </c>
      <c r="H557" s="23" t="s">
        <v>2782</v>
      </c>
      <c r="I557" s="24" t="s">
        <v>20</v>
      </c>
      <c r="J557" s="1" t="str">
        <f t="shared" si="0"/>
        <v>FRIC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6.25" customHeight="1">
      <c r="A558" s="17">
        <f t="shared" si="1"/>
        <v>555</v>
      </c>
      <c r="B558" s="18" t="s">
        <v>132</v>
      </c>
      <c r="C558" s="19" t="s">
        <v>2783</v>
      </c>
      <c r="D558" s="19" t="s">
        <v>124</v>
      </c>
      <c r="E558" s="20" t="s">
        <v>2784</v>
      </c>
      <c r="F558" s="21" t="s">
        <v>1011</v>
      </c>
      <c r="G558" s="22" t="s">
        <v>42</v>
      </c>
      <c r="H558" s="23" t="s">
        <v>2785</v>
      </c>
      <c r="I558" s="24" t="s">
        <v>20</v>
      </c>
      <c r="J558" s="1" t="str">
        <f t="shared" si="0"/>
        <v>FRIC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6.25" hidden="1" customHeight="1">
      <c r="A559" s="17">
        <f t="shared" si="1"/>
        <v>556</v>
      </c>
      <c r="B559" s="18" t="s">
        <v>105</v>
      </c>
      <c r="C559" s="31" t="s">
        <v>1173</v>
      </c>
      <c r="D559" s="19" t="s">
        <v>2786</v>
      </c>
      <c r="E559" s="20" t="s">
        <v>1175</v>
      </c>
      <c r="F559" s="32" t="s">
        <v>170</v>
      </c>
      <c r="G559" s="33" t="s">
        <v>53</v>
      </c>
      <c r="H559" s="23" t="s">
        <v>2787</v>
      </c>
      <c r="I559" s="24" t="s">
        <v>55</v>
      </c>
      <c r="J559" s="1" t="str">
        <f t="shared" si="0"/>
        <v/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6.25" hidden="1" customHeight="1">
      <c r="A560" s="17">
        <f t="shared" si="1"/>
        <v>557</v>
      </c>
      <c r="B560" s="18" t="s">
        <v>146</v>
      </c>
      <c r="C560" s="31" t="s">
        <v>621</v>
      </c>
      <c r="D560" s="19" t="s">
        <v>2788</v>
      </c>
      <c r="E560" s="20" t="s">
        <v>623</v>
      </c>
      <c r="F560" s="32" t="s">
        <v>1033</v>
      </c>
      <c r="G560" s="33" t="s">
        <v>63</v>
      </c>
      <c r="H560" s="23" t="s">
        <v>2789</v>
      </c>
      <c r="I560" s="24" t="s">
        <v>55</v>
      </c>
      <c r="J560" s="1" t="str">
        <f t="shared" si="0"/>
        <v/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6.25" hidden="1" customHeight="1">
      <c r="A561" s="17">
        <f t="shared" si="1"/>
        <v>558</v>
      </c>
      <c r="B561" s="18" t="s">
        <v>27</v>
      </c>
      <c r="C561" s="31" t="s">
        <v>1188</v>
      </c>
      <c r="D561" s="19" t="s">
        <v>2790</v>
      </c>
      <c r="E561" s="20" t="s">
        <v>1190</v>
      </c>
      <c r="F561" s="32" t="s">
        <v>170</v>
      </c>
      <c r="G561" s="22" t="s">
        <v>31</v>
      </c>
      <c r="H561" s="23" t="s">
        <v>2791</v>
      </c>
      <c r="I561" s="24" t="s">
        <v>55</v>
      </c>
      <c r="J561" s="1" t="str">
        <f t="shared" si="0"/>
        <v/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6.25" hidden="1" customHeight="1">
      <c r="A562" s="17">
        <f t="shared" si="1"/>
        <v>559</v>
      </c>
      <c r="B562" s="18" t="s">
        <v>13</v>
      </c>
      <c r="C562" s="31" t="s">
        <v>2792</v>
      </c>
      <c r="D562" s="19" t="s">
        <v>2793</v>
      </c>
      <c r="E562" s="20" t="s">
        <v>1196</v>
      </c>
      <c r="F562" s="32" t="s">
        <v>170</v>
      </c>
      <c r="G562" s="22" t="s">
        <v>53</v>
      </c>
      <c r="H562" s="23" t="s">
        <v>2794</v>
      </c>
      <c r="I562" s="24" t="s">
        <v>55</v>
      </c>
      <c r="J562" s="1" t="str">
        <f t="shared" si="0"/>
        <v/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6.25" hidden="1" customHeight="1">
      <c r="A563" s="17">
        <f t="shared" si="1"/>
        <v>560</v>
      </c>
      <c r="B563" s="18" t="s">
        <v>81</v>
      </c>
      <c r="C563" s="31" t="s">
        <v>2795</v>
      </c>
      <c r="D563" s="19" t="s">
        <v>1776</v>
      </c>
      <c r="E563" s="20" t="s">
        <v>2796</v>
      </c>
      <c r="F563" s="32" t="s">
        <v>222</v>
      </c>
      <c r="G563" s="33" t="s">
        <v>42</v>
      </c>
      <c r="H563" s="23" t="s">
        <v>2797</v>
      </c>
      <c r="I563" s="24" t="s">
        <v>55</v>
      </c>
      <c r="J563" s="1" t="str">
        <f t="shared" si="0"/>
        <v/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6.25" hidden="1" customHeight="1">
      <c r="A564" s="17">
        <f t="shared" si="1"/>
        <v>561</v>
      </c>
      <c r="B564" s="18" t="s">
        <v>81</v>
      </c>
      <c r="C564" s="31" t="s">
        <v>2798</v>
      </c>
      <c r="D564" s="19" t="s">
        <v>2799</v>
      </c>
      <c r="E564" s="20" t="s">
        <v>2800</v>
      </c>
      <c r="F564" s="32" t="s">
        <v>2801</v>
      </c>
      <c r="G564" s="33" t="s">
        <v>53</v>
      </c>
      <c r="H564" s="23" t="s">
        <v>2802</v>
      </c>
      <c r="I564" s="24" t="s">
        <v>55</v>
      </c>
      <c r="J564" s="1" t="str">
        <f t="shared" si="0"/>
        <v/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6.25" hidden="1" customHeight="1">
      <c r="A565" s="17">
        <f t="shared" si="1"/>
        <v>562</v>
      </c>
      <c r="B565" s="18" t="s">
        <v>81</v>
      </c>
      <c r="C565" s="31" t="s">
        <v>2803</v>
      </c>
      <c r="D565" s="19" t="s">
        <v>1693</v>
      </c>
      <c r="E565" s="20" t="s">
        <v>2804</v>
      </c>
      <c r="F565" s="32" t="s">
        <v>2805</v>
      </c>
      <c r="G565" s="33" t="s">
        <v>1290</v>
      </c>
      <c r="H565" s="23" t="s">
        <v>2806</v>
      </c>
      <c r="I565" s="24" t="s">
        <v>55</v>
      </c>
      <c r="J565" s="1" t="str">
        <f t="shared" si="0"/>
        <v/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6.25" hidden="1" customHeight="1">
      <c r="A566" s="17">
        <f t="shared" si="1"/>
        <v>563</v>
      </c>
      <c r="B566" s="18" t="s">
        <v>105</v>
      </c>
      <c r="C566" s="31" t="s">
        <v>824</v>
      </c>
      <c r="D566" s="19" t="s">
        <v>2267</v>
      </c>
      <c r="E566" s="20" t="s">
        <v>826</v>
      </c>
      <c r="F566" s="32" t="s">
        <v>2807</v>
      </c>
      <c r="G566" s="33" t="s">
        <v>42</v>
      </c>
      <c r="H566" s="23" t="s">
        <v>2808</v>
      </c>
      <c r="I566" s="24" t="s">
        <v>55</v>
      </c>
      <c r="J566" s="1" t="str">
        <f t="shared" si="0"/>
        <v/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6.25" hidden="1" customHeight="1">
      <c r="A567" s="17">
        <f t="shared" si="1"/>
        <v>564</v>
      </c>
      <c r="B567" s="18" t="s">
        <v>105</v>
      </c>
      <c r="C567" s="31" t="s">
        <v>2809</v>
      </c>
      <c r="D567" s="19" t="s">
        <v>808</v>
      </c>
      <c r="E567" s="20" t="s">
        <v>2810</v>
      </c>
      <c r="F567" s="32" t="s">
        <v>2811</v>
      </c>
      <c r="G567" s="33" t="s">
        <v>42</v>
      </c>
      <c r="H567" s="23" t="s">
        <v>2812</v>
      </c>
      <c r="I567" s="24" t="s">
        <v>55</v>
      </c>
      <c r="J567" s="1" t="str">
        <f t="shared" si="0"/>
        <v/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6.25" hidden="1" customHeight="1">
      <c r="A568" s="17">
        <f t="shared" si="1"/>
        <v>565</v>
      </c>
      <c r="B568" s="18" t="s">
        <v>27</v>
      </c>
      <c r="C568" s="31" t="s">
        <v>2813</v>
      </c>
      <c r="D568" s="19" t="s">
        <v>124</v>
      </c>
      <c r="E568" s="20" t="s">
        <v>2814</v>
      </c>
      <c r="F568" s="21" t="s">
        <v>2815</v>
      </c>
      <c r="G568" s="22" t="s">
        <v>42</v>
      </c>
      <c r="H568" s="23" t="s">
        <v>2816</v>
      </c>
      <c r="I568" s="34" t="s">
        <v>20</v>
      </c>
      <c r="J568" s="1" t="str">
        <f t="shared" si="0"/>
        <v>과기</v>
      </c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</row>
    <row r="569" spans="1:24" ht="26.25" hidden="1" customHeight="1">
      <c r="A569" s="17">
        <f t="shared" si="1"/>
        <v>566</v>
      </c>
      <c r="B569" s="18" t="s">
        <v>13</v>
      </c>
      <c r="C569" s="31" t="s">
        <v>2817</v>
      </c>
      <c r="D569" s="19" t="s">
        <v>2818</v>
      </c>
      <c r="E569" s="20" t="s">
        <v>2819</v>
      </c>
      <c r="F569" s="32" t="s">
        <v>2820</v>
      </c>
      <c r="G569" s="22" t="s">
        <v>31</v>
      </c>
      <c r="H569" s="23" t="s">
        <v>2821</v>
      </c>
      <c r="I569" s="24" t="s">
        <v>55</v>
      </c>
      <c r="J569" s="1" t="str">
        <f t="shared" si="0"/>
        <v/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6.25" hidden="1" customHeight="1">
      <c r="A570" s="17">
        <f t="shared" si="1"/>
        <v>567</v>
      </c>
      <c r="B570" s="18" t="s">
        <v>105</v>
      </c>
      <c r="C570" s="31" t="s">
        <v>2822</v>
      </c>
      <c r="D570" s="19" t="s">
        <v>2445</v>
      </c>
      <c r="E570" s="20" t="s">
        <v>2823</v>
      </c>
      <c r="F570" s="32" t="s">
        <v>222</v>
      </c>
      <c r="G570" s="33" t="s">
        <v>42</v>
      </c>
      <c r="H570" s="23" t="s">
        <v>2824</v>
      </c>
      <c r="I570" s="24" t="s">
        <v>55</v>
      </c>
      <c r="J570" s="1" t="str">
        <f t="shared" si="0"/>
        <v/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6.25" hidden="1" customHeight="1">
      <c r="A571" s="17">
        <f t="shared" si="1"/>
        <v>568</v>
      </c>
      <c r="B571" s="18" t="s">
        <v>27</v>
      </c>
      <c r="C571" s="31" t="s">
        <v>2825</v>
      </c>
      <c r="D571" s="19" t="s">
        <v>124</v>
      </c>
      <c r="E571" s="20" t="s">
        <v>2826</v>
      </c>
      <c r="F571" s="32">
        <v>2010</v>
      </c>
      <c r="G571" s="33" t="s">
        <v>42</v>
      </c>
      <c r="H571" s="23" t="s">
        <v>2827</v>
      </c>
      <c r="I571" s="24" t="s">
        <v>55</v>
      </c>
      <c r="J571" s="1" t="str">
        <f t="shared" si="0"/>
        <v/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6.25" hidden="1" customHeight="1">
      <c r="A572" s="17">
        <f t="shared" si="1"/>
        <v>569</v>
      </c>
      <c r="B572" s="18" t="s">
        <v>105</v>
      </c>
      <c r="C572" s="31" t="s">
        <v>1203</v>
      </c>
      <c r="D572" s="19" t="s">
        <v>1204</v>
      </c>
      <c r="E572" s="20" t="s">
        <v>1205</v>
      </c>
      <c r="F572" s="32" t="s">
        <v>170</v>
      </c>
      <c r="G572" s="33" t="s">
        <v>42</v>
      </c>
      <c r="H572" s="23" t="s">
        <v>2828</v>
      </c>
      <c r="I572" s="24" t="s">
        <v>55</v>
      </c>
      <c r="J572" s="1" t="str">
        <f t="shared" si="0"/>
        <v/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6.25" hidden="1" customHeight="1">
      <c r="A573" s="17">
        <f t="shared" si="1"/>
        <v>570</v>
      </c>
      <c r="B573" s="18" t="s">
        <v>175</v>
      </c>
      <c r="C573" s="31" t="s">
        <v>2829</v>
      </c>
      <c r="D573" s="19" t="s">
        <v>2830</v>
      </c>
      <c r="E573" s="20" t="s">
        <v>2831</v>
      </c>
      <c r="F573" s="32" t="s">
        <v>2832</v>
      </c>
      <c r="G573" s="33" t="s">
        <v>42</v>
      </c>
      <c r="H573" s="23" t="s">
        <v>2833</v>
      </c>
      <c r="I573" s="24" t="s">
        <v>55</v>
      </c>
      <c r="J573" s="1" t="str">
        <f t="shared" si="0"/>
        <v/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6.25" hidden="1" customHeight="1">
      <c r="A574" s="17">
        <f t="shared" si="1"/>
        <v>571</v>
      </c>
      <c r="B574" s="18" t="s">
        <v>105</v>
      </c>
      <c r="C574" s="31" t="s">
        <v>1525</v>
      </c>
      <c r="D574" s="19" t="s">
        <v>124</v>
      </c>
      <c r="E574" s="20" t="s">
        <v>1526</v>
      </c>
      <c r="F574" s="21" t="s">
        <v>2834</v>
      </c>
      <c r="G574" s="33" t="s">
        <v>42</v>
      </c>
      <c r="H574" s="23" t="s">
        <v>2835</v>
      </c>
      <c r="I574" s="34" t="s">
        <v>55</v>
      </c>
      <c r="J574" s="1" t="str">
        <f t="shared" si="0"/>
        <v/>
      </c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</row>
    <row r="575" spans="1:24" ht="26.25" hidden="1" customHeight="1">
      <c r="A575" s="17">
        <f t="shared" si="1"/>
        <v>572</v>
      </c>
      <c r="B575" s="18" t="s">
        <v>27</v>
      </c>
      <c r="C575" s="31" t="s">
        <v>2836</v>
      </c>
      <c r="D575" s="19" t="s">
        <v>808</v>
      </c>
      <c r="E575" s="20" t="s">
        <v>2837</v>
      </c>
      <c r="F575" s="32" t="s">
        <v>2838</v>
      </c>
      <c r="G575" s="33" t="s">
        <v>42</v>
      </c>
      <c r="H575" s="23" t="s">
        <v>2839</v>
      </c>
      <c r="I575" s="24" t="s">
        <v>55</v>
      </c>
      <c r="J575" s="1" t="str">
        <f t="shared" si="0"/>
        <v/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6.25" hidden="1" customHeight="1">
      <c r="A576" s="17">
        <f t="shared" si="1"/>
        <v>573</v>
      </c>
      <c r="B576" s="18" t="s">
        <v>27</v>
      </c>
      <c r="C576" s="31" t="s">
        <v>2840</v>
      </c>
      <c r="D576" s="19" t="s">
        <v>808</v>
      </c>
      <c r="E576" s="20" t="s">
        <v>2841</v>
      </c>
      <c r="F576" s="32" t="s">
        <v>2842</v>
      </c>
      <c r="G576" s="33" t="s">
        <v>42</v>
      </c>
      <c r="H576" s="23" t="s">
        <v>2843</v>
      </c>
      <c r="I576" s="24" t="s">
        <v>55</v>
      </c>
      <c r="J576" s="1" t="str">
        <f t="shared" si="0"/>
        <v/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6.25" customHeight="1">
      <c r="A577" s="17">
        <f t="shared" si="1"/>
        <v>574</v>
      </c>
      <c r="B577" s="18" t="s">
        <v>105</v>
      </c>
      <c r="C577" s="19" t="s">
        <v>2844</v>
      </c>
      <c r="D577" s="19" t="s">
        <v>124</v>
      </c>
      <c r="E577" s="20" t="s">
        <v>2845</v>
      </c>
      <c r="F577" s="21" t="s">
        <v>933</v>
      </c>
      <c r="G577" s="33" t="s">
        <v>42</v>
      </c>
      <c r="H577" s="23" t="s">
        <v>2846</v>
      </c>
      <c r="I577" s="24" t="s">
        <v>20</v>
      </c>
      <c r="J577" s="1" t="str">
        <f t="shared" si="0"/>
        <v>FRIC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6.25" hidden="1" customHeight="1">
      <c r="A578" s="17">
        <f t="shared" si="1"/>
        <v>575</v>
      </c>
      <c r="B578" s="18" t="s">
        <v>27</v>
      </c>
      <c r="C578" s="31" t="s">
        <v>2847</v>
      </c>
      <c r="D578" s="19" t="s">
        <v>1320</v>
      </c>
      <c r="E578" s="20" t="s">
        <v>2848</v>
      </c>
      <c r="F578" s="32" t="s">
        <v>2849</v>
      </c>
      <c r="G578" s="22" t="s">
        <v>53</v>
      </c>
      <c r="H578" s="23" t="s">
        <v>2850</v>
      </c>
      <c r="I578" s="24" t="s">
        <v>55</v>
      </c>
      <c r="J578" s="1" t="str">
        <f t="shared" si="0"/>
        <v/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6.25" hidden="1" customHeight="1">
      <c r="A579" s="17">
        <f t="shared" si="1"/>
        <v>576</v>
      </c>
      <c r="B579" s="18" t="s">
        <v>175</v>
      </c>
      <c r="C579" s="31" t="s">
        <v>2851</v>
      </c>
      <c r="D579" s="19" t="s">
        <v>1338</v>
      </c>
      <c r="E579" s="20" t="s">
        <v>297</v>
      </c>
      <c r="F579" s="32" t="s">
        <v>2852</v>
      </c>
      <c r="G579" s="33" t="s">
        <v>42</v>
      </c>
      <c r="H579" s="23" t="s">
        <v>2853</v>
      </c>
      <c r="I579" s="24" t="s">
        <v>55</v>
      </c>
      <c r="J579" s="1" t="str">
        <f t="shared" si="0"/>
        <v/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6.25" hidden="1" customHeight="1">
      <c r="A580" s="17">
        <f t="shared" si="1"/>
        <v>577</v>
      </c>
      <c r="B580" s="18" t="s">
        <v>175</v>
      </c>
      <c r="C580" s="31" t="s">
        <v>2854</v>
      </c>
      <c r="D580" s="19" t="s">
        <v>722</v>
      </c>
      <c r="E580" s="20" t="s">
        <v>2855</v>
      </c>
      <c r="F580" s="32" t="s">
        <v>252</v>
      </c>
      <c r="G580" s="33" t="s">
        <v>42</v>
      </c>
      <c r="H580" s="23" t="s">
        <v>2856</v>
      </c>
      <c r="I580" s="24" t="s">
        <v>55</v>
      </c>
      <c r="J580" s="1" t="str">
        <f t="shared" si="0"/>
        <v/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6.25" hidden="1" customHeight="1">
      <c r="A581" s="17">
        <f t="shared" si="1"/>
        <v>578</v>
      </c>
      <c r="B581" s="18" t="s">
        <v>175</v>
      </c>
      <c r="C581" s="31" t="s">
        <v>2857</v>
      </c>
      <c r="D581" s="19" t="s">
        <v>2858</v>
      </c>
      <c r="E581" s="20" t="s">
        <v>2859</v>
      </c>
      <c r="F581" s="32" t="s">
        <v>2860</v>
      </c>
      <c r="G581" s="33" t="s">
        <v>42</v>
      </c>
      <c r="H581" s="23" t="s">
        <v>2861</v>
      </c>
      <c r="I581" s="24" t="s">
        <v>55</v>
      </c>
      <c r="J581" s="1" t="str">
        <f t="shared" si="0"/>
        <v/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6.25" hidden="1" customHeight="1">
      <c r="A582" s="17">
        <f t="shared" si="1"/>
        <v>579</v>
      </c>
      <c r="B582" s="18" t="s">
        <v>175</v>
      </c>
      <c r="C582" s="31" t="s">
        <v>2862</v>
      </c>
      <c r="D582" s="19" t="s">
        <v>2863</v>
      </c>
      <c r="E582" s="20" t="s">
        <v>2864</v>
      </c>
      <c r="F582" s="32" t="s">
        <v>252</v>
      </c>
      <c r="G582" s="33" t="s">
        <v>53</v>
      </c>
      <c r="H582" s="23" t="s">
        <v>2865</v>
      </c>
      <c r="I582" s="24" t="s">
        <v>55</v>
      </c>
      <c r="J582" s="1" t="str">
        <f t="shared" si="0"/>
        <v/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6.25" hidden="1" customHeight="1">
      <c r="A583" s="17">
        <f t="shared" si="1"/>
        <v>580</v>
      </c>
      <c r="B583" s="18" t="s">
        <v>175</v>
      </c>
      <c r="C583" s="31" t="s">
        <v>2866</v>
      </c>
      <c r="D583" s="19" t="s">
        <v>196</v>
      </c>
      <c r="E583" s="20" t="s">
        <v>2867</v>
      </c>
      <c r="F583" s="32" t="s">
        <v>2868</v>
      </c>
      <c r="G583" s="33" t="s">
        <v>42</v>
      </c>
      <c r="H583" s="23" t="s">
        <v>2869</v>
      </c>
      <c r="I583" s="24" t="s">
        <v>55</v>
      </c>
      <c r="J583" s="1" t="str">
        <f t="shared" si="0"/>
        <v/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6.25" hidden="1" customHeight="1">
      <c r="A584" s="17">
        <f t="shared" si="1"/>
        <v>581</v>
      </c>
      <c r="B584" s="18" t="s">
        <v>105</v>
      </c>
      <c r="C584" s="31" t="s">
        <v>2870</v>
      </c>
      <c r="D584" s="19" t="s">
        <v>2501</v>
      </c>
      <c r="E584" s="20" t="s">
        <v>2871</v>
      </c>
      <c r="F584" s="32" t="s">
        <v>738</v>
      </c>
      <c r="G584" s="33" t="s">
        <v>42</v>
      </c>
      <c r="H584" s="23" t="s">
        <v>2872</v>
      </c>
      <c r="I584" s="24" t="s">
        <v>55</v>
      </c>
      <c r="J584" s="1" t="str">
        <f t="shared" si="0"/>
        <v/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6.25" customHeight="1">
      <c r="A585" s="17">
        <f t="shared" si="1"/>
        <v>582</v>
      </c>
      <c r="B585" s="18" t="s">
        <v>37</v>
      </c>
      <c r="C585" s="19" t="s">
        <v>2873</v>
      </c>
      <c r="D585" s="19" t="s">
        <v>173</v>
      </c>
      <c r="E585" s="20" t="s">
        <v>2874</v>
      </c>
      <c r="F585" s="21" t="s">
        <v>135</v>
      </c>
      <c r="G585" s="22" t="s">
        <v>42</v>
      </c>
      <c r="H585" s="23" t="s">
        <v>2875</v>
      </c>
      <c r="I585" s="24" t="s">
        <v>20</v>
      </c>
      <c r="J585" s="1" t="str">
        <f t="shared" si="0"/>
        <v>FRIC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6.25" customHeight="1">
      <c r="A586" s="17">
        <f t="shared" si="1"/>
        <v>583</v>
      </c>
      <c r="B586" s="18" t="s">
        <v>27</v>
      </c>
      <c r="C586" s="19" t="s">
        <v>2876</v>
      </c>
      <c r="D586" s="19" t="s">
        <v>196</v>
      </c>
      <c r="E586" s="20" t="s">
        <v>2877</v>
      </c>
      <c r="F586" s="21" t="s">
        <v>1363</v>
      </c>
      <c r="G586" s="22" t="s">
        <v>42</v>
      </c>
      <c r="H586" s="23" t="s">
        <v>2878</v>
      </c>
      <c r="I586" s="24" t="s">
        <v>20</v>
      </c>
      <c r="J586" s="1" t="str">
        <f t="shared" si="0"/>
        <v>FRIC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6.25" hidden="1" customHeight="1">
      <c r="A587" s="17">
        <f t="shared" si="1"/>
        <v>584</v>
      </c>
      <c r="B587" s="18" t="s">
        <v>27</v>
      </c>
      <c r="C587" s="31" t="s">
        <v>2879</v>
      </c>
      <c r="D587" s="19" t="s">
        <v>808</v>
      </c>
      <c r="E587" s="20" t="s">
        <v>2880</v>
      </c>
      <c r="F587" s="32" t="s">
        <v>209</v>
      </c>
      <c r="G587" s="22" t="s">
        <v>42</v>
      </c>
      <c r="H587" s="23" t="s">
        <v>2881</v>
      </c>
      <c r="I587" s="24" t="s">
        <v>55</v>
      </c>
      <c r="J587" s="1" t="str">
        <f t="shared" si="0"/>
        <v/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6.25" hidden="1" customHeight="1">
      <c r="A588" s="17">
        <f t="shared" si="1"/>
        <v>585</v>
      </c>
      <c r="B588" s="18" t="s">
        <v>27</v>
      </c>
      <c r="C588" s="31" t="s">
        <v>2882</v>
      </c>
      <c r="D588" s="19" t="s">
        <v>2883</v>
      </c>
      <c r="E588" s="20" t="s">
        <v>2884</v>
      </c>
      <c r="F588" s="32" t="s">
        <v>2885</v>
      </c>
      <c r="G588" s="22" t="s">
        <v>42</v>
      </c>
      <c r="H588" s="23" t="s">
        <v>2886</v>
      </c>
      <c r="I588" s="24" t="s">
        <v>55</v>
      </c>
      <c r="J588" s="1" t="str">
        <f t="shared" si="0"/>
        <v/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6.25" customHeight="1">
      <c r="A589" s="17">
        <f t="shared" si="1"/>
        <v>586</v>
      </c>
      <c r="B589" s="18" t="s">
        <v>27</v>
      </c>
      <c r="C589" s="31" t="s">
        <v>2887</v>
      </c>
      <c r="D589" s="19" t="s">
        <v>124</v>
      </c>
      <c r="E589" s="79" t="s">
        <v>2888</v>
      </c>
      <c r="F589" s="32" t="s">
        <v>1033</v>
      </c>
      <c r="G589" s="22" t="s">
        <v>42</v>
      </c>
      <c r="H589" s="23" t="s">
        <v>2889</v>
      </c>
      <c r="I589" s="34" t="s">
        <v>20</v>
      </c>
      <c r="J589" s="1" t="str">
        <f t="shared" si="0"/>
        <v>FRIC</v>
      </c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</row>
    <row r="590" spans="1:24" ht="26.25" hidden="1" customHeight="1">
      <c r="A590" s="17">
        <f t="shared" si="1"/>
        <v>587</v>
      </c>
      <c r="B590" s="18" t="s">
        <v>27</v>
      </c>
      <c r="C590" s="31" t="s">
        <v>1463</v>
      </c>
      <c r="D590" s="19" t="s">
        <v>124</v>
      </c>
      <c r="E590" s="20" t="s">
        <v>1464</v>
      </c>
      <c r="F590" s="21" t="s">
        <v>2890</v>
      </c>
      <c r="G590" s="22" t="s">
        <v>42</v>
      </c>
      <c r="H590" s="23" t="s">
        <v>2891</v>
      </c>
      <c r="I590" s="34" t="s">
        <v>55</v>
      </c>
      <c r="J590" s="1" t="str">
        <f t="shared" si="0"/>
        <v/>
      </c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</row>
    <row r="591" spans="1:24" ht="26.25" customHeight="1">
      <c r="A591" s="17">
        <f t="shared" si="1"/>
        <v>588</v>
      </c>
      <c r="B591" s="18" t="s">
        <v>27</v>
      </c>
      <c r="C591" s="19" t="s">
        <v>2892</v>
      </c>
      <c r="D591" s="19" t="s">
        <v>141</v>
      </c>
      <c r="E591" s="20" t="s">
        <v>2893</v>
      </c>
      <c r="F591" s="21" t="s">
        <v>135</v>
      </c>
      <c r="G591" s="22" t="s">
        <v>42</v>
      </c>
      <c r="H591" s="23" t="s">
        <v>2894</v>
      </c>
      <c r="I591" s="24" t="s">
        <v>20</v>
      </c>
      <c r="J591" s="1" t="str">
        <f t="shared" si="0"/>
        <v>FRIC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6.25" hidden="1" customHeight="1">
      <c r="A592" s="17">
        <f t="shared" si="1"/>
        <v>589</v>
      </c>
      <c r="B592" s="18" t="s">
        <v>132</v>
      </c>
      <c r="C592" s="31" t="s">
        <v>2895</v>
      </c>
      <c r="D592" s="19" t="s">
        <v>647</v>
      </c>
      <c r="E592" s="20" t="s">
        <v>2896</v>
      </c>
      <c r="F592" s="32" t="s">
        <v>2897</v>
      </c>
      <c r="G592" s="22" t="s">
        <v>53</v>
      </c>
      <c r="H592" s="23" t="s">
        <v>2898</v>
      </c>
      <c r="I592" s="24" t="s">
        <v>55</v>
      </c>
      <c r="J592" s="1" t="str">
        <f t="shared" si="0"/>
        <v/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6.25" hidden="1" customHeight="1">
      <c r="A593" s="17">
        <f t="shared" si="1"/>
        <v>590</v>
      </c>
      <c r="B593" s="18" t="s">
        <v>248</v>
      </c>
      <c r="C593" s="31" t="s">
        <v>1210</v>
      </c>
      <c r="D593" s="19" t="s">
        <v>2899</v>
      </c>
      <c r="E593" s="20" t="s">
        <v>1211</v>
      </c>
      <c r="F593" s="32" t="s">
        <v>170</v>
      </c>
      <c r="G593" s="33" t="s">
        <v>42</v>
      </c>
      <c r="H593" s="23" t="s">
        <v>2900</v>
      </c>
      <c r="I593" s="24" t="s">
        <v>55</v>
      </c>
      <c r="J593" s="1" t="str">
        <f t="shared" si="0"/>
        <v/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6.25" hidden="1" customHeight="1">
      <c r="A594" s="17">
        <f t="shared" si="1"/>
        <v>591</v>
      </c>
      <c r="B594" s="18" t="s">
        <v>37</v>
      </c>
      <c r="C594" s="31" t="s">
        <v>1530</v>
      </c>
      <c r="D594" s="19" t="s">
        <v>2901</v>
      </c>
      <c r="E594" s="20" t="s">
        <v>1532</v>
      </c>
      <c r="F594" s="32" t="s">
        <v>2902</v>
      </c>
      <c r="G594" s="22" t="s">
        <v>53</v>
      </c>
      <c r="H594" s="23" t="s">
        <v>2903</v>
      </c>
      <c r="I594" s="34" t="s">
        <v>55</v>
      </c>
      <c r="J594" s="1" t="str">
        <f t="shared" si="0"/>
        <v/>
      </c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</row>
    <row r="595" spans="1:24" ht="26.25" hidden="1" customHeight="1">
      <c r="A595" s="17">
        <f t="shared" si="1"/>
        <v>592</v>
      </c>
      <c r="B595" s="18" t="s">
        <v>13</v>
      </c>
      <c r="C595" s="70" t="s">
        <v>1217</v>
      </c>
      <c r="D595" s="39" t="s">
        <v>939</v>
      </c>
      <c r="E595" s="20" t="s">
        <v>1218</v>
      </c>
      <c r="F595" s="44">
        <v>2019</v>
      </c>
      <c r="G595" s="22" t="s">
        <v>1086</v>
      </c>
      <c r="H595" s="41" t="s">
        <v>2904</v>
      </c>
      <c r="I595" s="24" t="s">
        <v>55</v>
      </c>
      <c r="J595" s="1" t="str">
        <f t="shared" si="0"/>
        <v/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6.25" hidden="1" customHeight="1">
      <c r="A596" s="17">
        <f t="shared" si="1"/>
        <v>593</v>
      </c>
      <c r="B596" s="18" t="s">
        <v>248</v>
      </c>
      <c r="C596" s="31" t="s">
        <v>2905</v>
      </c>
      <c r="D596" s="19" t="s">
        <v>45</v>
      </c>
      <c r="E596" s="20" t="s">
        <v>145</v>
      </c>
      <c r="F596" s="32" t="s">
        <v>142</v>
      </c>
      <c r="G596" s="33" t="s">
        <v>42</v>
      </c>
      <c r="H596" s="23" t="s">
        <v>2906</v>
      </c>
      <c r="I596" s="24" t="s">
        <v>55</v>
      </c>
      <c r="J596" s="1" t="str">
        <f t="shared" si="0"/>
        <v/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6.25" hidden="1" customHeight="1">
      <c r="A597" s="17">
        <f t="shared" si="1"/>
        <v>594</v>
      </c>
      <c r="B597" s="18" t="s">
        <v>13</v>
      </c>
      <c r="C597" s="31" t="s">
        <v>609</v>
      </c>
      <c r="D597" s="19" t="s">
        <v>199</v>
      </c>
      <c r="E597" s="20" t="s">
        <v>610</v>
      </c>
      <c r="F597" s="32" t="s">
        <v>496</v>
      </c>
      <c r="G597" s="22" t="s">
        <v>42</v>
      </c>
      <c r="H597" s="23" t="s">
        <v>2907</v>
      </c>
      <c r="I597" s="24" t="s">
        <v>55</v>
      </c>
      <c r="J597" s="1" t="str">
        <f t="shared" si="0"/>
        <v/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6.25" hidden="1" customHeight="1">
      <c r="A598" s="17">
        <f t="shared" si="1"/>
        <v>595</v>
      </c>
      <c r="B598" s="18" t="s">
        <v>13</v>
      </c>
      <c r="C598" s="19" t="s">
        <v>1638</v>
      </c>
      <c r="D598" s="19" t="s">
        <v>199</v>
      </c>
      <c r="E598" s="20" t="s">
        <v>1639</v>
      </c>
      <c r="F598" s="32" t="s">
        <v>52</v>
      </c>
      <c r="G598" s="22" t="s">
        <v>42</v>
      </c>
      <c r="H598" s="23" t="s">
        <v>2908</v>
      </c>
      <c r="I598" s="34" t="s">
        <v>55</v>
      </c>
      <c r="J598" s="1" t="str">
        <f t="shared" si="0"/>
        <v/>
      </c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</row>
    <row r="599" spans="1:24" ht="26.25" hidden="1" customHeight="1">
      <c r="A599" s="17">
        <f t="shared" si="1"/>
        <v>596</v>
      </c>
      <c r="B599" s="18" t="s">
        <v>13</v>
      </c>
      <c r="C599" s="19" t="s">
        <v>1655</v>
      </c>
      <c r="D599" s="19" t="s">
        <v>199</v>
      </c>
      <c r="E599" s="20" t="s">
        <v>1656</v>
      </c>
      <c r="F599" s="32" t="s">
        <v>52</v>
      </c>
      <c r="G599" s="22" t="s">
        <v>42</v>
      </c>
      <c r="H599" s="23" t="s">
        <v>2909</v>
      </c>
      <c r="I599" s="34" t="s">
        <v>55</v>
      </c>
      <c r="J599" s="1" t="str">
        <f t="shared" si="0"/>
        <v/>
      </c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</row>
    <row r="600" spans="1:24" ht="26.25" hidden="1" customHeight="1">
      <c r="A600" s="17">
        <f t="shared" si="1"/>
        <v>597</v>
      </c>
      <c r="B600" s="18" t="s">
        <v>13</v>
      </c>
      <c r="C600" s="19" t="s">
        <v>2910</v>
      </c>
      <c r="D600" s="19" t="s">
        <v>199</v>
      </c>
      <c r="E600" s="20" t="s">
        <v>1634</v>
      </c>
      <c r="F600" s="32" t="s">
        <v>52</v>
      </c>
      <c r="G600" s="22" t="s">
        <v>31</v>
      </c>
      <c r="H600" s="23" t="s">
        <v>2911</v>
      </c>
      <c r="I600" s="34" t="s">
        <v>55</v>
      </c>
      <c r="J600" s="1" t="str">
        <f t="shared" si="0"/>
        <v/>
      </c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</row>
    <row r="601" spans="1:24" ht="26.25" hidden="1" customHeight="1">
      <c r="A601" s="17">
        <f t="shared" si="1"/>
        <v>598</v>
      </c>
      <c r="B601" s="18" t="s">
        <v>13</v>
      </c>
      <c r="C601" s="19" t="s">
        <v>2912</v>
      </c>
      <c r="D601" s="19" t="s">
        <v>199</v>
      </c>
      <c r="E601" s="20" t="s">
        <v>1645</v>
      </c>
      <c r="F601" s="32" t="s">
        <v>52</v>
      </c>
      <c r="G601" s="22" t="s">
        <v>42</v>
      </c>
      <c r="H601" s="23" t="s">
        <v>2913</v>
      </c>
      <c r="I601" s="34" t="s">
        <v>55</v>
      </c>
      <c r="J601" s="1" t="str">
        <f t="shared" si="0"/>
        <v/>
      </c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</row>
    <row r="602" spans="1:24" ht="26.25" hidden="1" customHeight="1">
      <c r="A602" s="17">
        <f t="shared" si="1"/>
        <v>599</v>
      </c>
      <c r="B602" s="18" t="s">
        <v>13</v>
      </c>
      <c r="C602" s="19" t="s">
        <v>2914</v>
      </c>
      <c r="D602" s="19" t="s">
        <v>199</v>
      </c>
      <c r="E602" s="20" t="s">
        <v>1651</v>
      </c>
      <c r="F602" s="32" t="s">
        <v>52</v>
      </c>
      <c r="G602" s="22" t="s">
        <v>42</v>
      </c>
      <c r="H602" s="23" t="s">
        <v>2915</v>
      </c>
      <c r="I602" s="34" t="s">
        <v>55</v>
      </c>
      <c r="J602" s="1" t="str">
        <f t="shared" si="0"/>
        <v/>
      </c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</row>
    <row r="603" spans="1:24" ht="26.25" hidden="1" customHeight="1">
      <c r="A603" s="17">
        <f t="shared" si="1"/>
        <v>600</v>
      </c>
      <c r="B603" s="18" t="s">
        <v>132</v>
      </c>
      <c r="C603" s="31" t="s">
        <v>2916</v>
      </c>
      <c r="D603" s="19" t="s">
        <v>141</v>
      </c>
      <c r="E603" s="20" t="s">
        <v>2917</v>
      </c>
      <c r="F603" s="32" t="s">
        <v>2918</v>
      </c>
      <c r="G603" s="22" t="s">
        <v>42</v>
      </c>
      <c r="H603" s="23" t="s">
        <v>2919</v>
      </c>
      <c r="I603" s="24" t="s">
        <v>55</v>
      </c>
      <c r="J603" s="1" t="str">
        <f t="shared" si="0"/>
        <v/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6.25" customHeight="1">
      <c r="A604" s="17">
        <f t="shared" si="1"/>
        <v>601</v>
      </c>
      <c r="B604" s="18" t="s">
        <v>132</v>
      </c>
      <c r="C604" s="19" t="s">
        <v>2920</v>
      </c>
      <c r="D604" s="19" t="s">
        <v>141</v>
      </c>
      <c r="E604" s="20" t="s">
        <v>2921</v>
      </c>
      <c r="F604" s="21" t="s">
        <v>2922</v>
      </c>
      <c r="G604" s="22" t="s">
        <v>42</v>
      </c>
      <c r="H604" s="23" t="s">
        <v>2923</v>
      </c>
      <c r="I604" s="24" t="s">
        <v>20</v>
      </c>
      <c r="J604" s="1" t="str">
        <f t="shared" si="0"/>
        <v>FRIC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6.25" customHeight="1">
      <c r="A605" s="17">
        <f t="shared" si="1"/>
        <v>602</v>
      </c>
      <c r="B605" s="18" t="s">
        <v>132</v>
      </c>
      <c r="C605" s="19" t="s">
        <v>2924</v>
      </c>
      <c r="D605" s="19" t="s">
        <v>141</v>
      </c>
      <c r="E605" s="20" t="s">
        <v>2925</v>
      </c>
      <c r="F605" s="21" t="s">
        <v>2926</v>
      </c>
      <c r="G605" s="22" t="s">
        <v>42</v>
      </c>
      <c r="H605" s="23" t="s">
        <v>2927</v>
      </c>
      <c r="I605" s="24" t="s">
        <v>20</v>
      </c>
      <c r="J605" s="1" t="str">
        <f t="shared" si="0"/>
        <v>FRIC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6.25" customHeight="1">
      <c r="A606" s="17">
        <f t="shared" si="1"/>
        <v>603</v>
      </c>
      <c r="B606" s="18" t="s">
        <v>132</v>
      </c>
      <c r="C606" s="19" t="s">
        <v>2928</v>
      </c>
      <c r="D606" s="19" t="s">
        <v>141</v>
      </c>
      <c r="E606" s="20" t="s">
        <v>2929</v>
      </c>
      <c r="F606" s="21" t="s">
        <v>2930</v>
      </c>
      <c r="G606" s="22" t="s">
        <v>42</v>
      </c>
      <c r="H606" s="23" t="s">
        <v>2931</v>
      </c>
      <c r="I606" s="24" t="s">
        <v>20</v>
      </c>
      <c r="J606" s="1" t="str">
        <f t="shared" si="0"/>
        <v>FRIC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6.25" hidden="1" customHeight="1">
      <c r="A607" s="17">
        <f t="shared" si="1"/>
        <v>604</v>
      </c>
      <c r="B607" s="18" t="s">
        <v>132</v>
      </c>
      <c r="C607" s="31" t="s">
        <v>2932</v>
      </c>
      <c r="D607" s="19" t="s">
        <v>141</v>
      </c>
      <c r="E607" s="20" t="s">
        <v>2933</v>
      </c>
      <c r="F607" s="32" t="s">
        <v>2934</v>
      </c>
      <c r="G607" s="22" t="s">
        <v>42</v>
      </c>
      <c r="H607" s="23" t="s">
        <v>2935</v>
      </c>
      <c r="I607" s="24" t="s">
        <v>55</v>
      </c>
      <c r="J607" s="1" t="str">
        <f t="shared" si="0"/>
        <v/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6.25" customHeight="1">
      <c r="A608" s="17">
        <f t="shared" si="1"/>
        <v>605</v>
      </c>
      <c r="B608" s="18" t="s">
        <v>132</v>
      </c>
      <c r="C608" s="19" t="s">
        <v>2936</v>
      </c>
      <c r="D608" s="19" t="s">
        <v>141</v>
      </c>
      <c r="E608" s="20" t="s">
        <v>2937</v>
      </c>
      <c r="F608" s="21" t="s">
        <v>2938</v>
      </c>
      <c r="G608" s="22" t="s">
        <v>42</v>
      </c>
      <c r="H608" s="23" t="s">
        <v>2939</v>
      </c>
      <c r="I608" s="24" t="s">
        <v>20</v>
      </c>
      <c r="J608" s="1" t="str">
        <f t="shared" si="0"/>
        <v>FRIC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6.25" customHeight="1">
      <c r="A609" s="17">
        <f t="shared" si="1"/>
        <v>606</v>
      </c>
      <c r="B609" s="18" t="s">
        <v>233</v>
      </c>
      <c r="C609" s="19" t="s">
        <v>2940</v>
      </c>
      <c r="D609" s="19" t="s">
        <v>141</v>
      </c>
      <c r="E609" s="20" t="s">
        <v>2941</v>
      </c>
      <c r="F609" s="21" t="s">
        <v>2922</v>
      </c>
      <c r="G609" s="22" t="s">
        <v>42</v>
      </c>
      <c r="H609" s="23" t="s">
        <v>2942</v>
      </c>
      <c r="I609" s="24" t="s">
        <v>20</v>
      </c>
      <c r="J609" s="1" t="str">
        <f t="shared" si="0"/>
        <v>FRIC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6.25" customHeight="1">
      <c r="A610" s="17">
        <f t="shared" si="1"/>
        <v>607</v>
      </c>
      <c r="B610" s="18" t="s">
        <v>132</v>
      </c>
      <c r="C610" s="19" t="s">
        <v>2943</v>
      </c>
      <c r="D610" s="19" t="s">
        <v>141</v>
      </c>
      <c r="E610" s="20" t="s">
        <v>2944</v>
      </c>
      <c r="F610" s="21" t="s">
        <v>2922</v>
      </c>
      <c r="G610" s="22" t="s">
        <v>42</v>
      </c>
      <c r="H610" s="23" t="s">
        <v>2945</v>
      </c>
      <c r="I610" s="24" t="s">
        <v>20</v>
      </c>
      <c r="J610" s="1" t="str">
        <f t="shared" si="0"/>
        <v>FRIC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6.25" customHeight="1">
      <c r="A611" s="17">
        <f t="shared" si="1"/>
        <v>608</v>
      </c>
      <c r="B611" s="18" t="s">
        <v>132</v>
      </c>
      <c r="C611" s="19" t="s">
        <v>2946</v>
      </c>
      <c r="D611" s="19" t="s">
        <v>141</v>
      </c>
      <c r="E611" s="20" t="s">
        <v>2947</v>
      </c>
      <c r="F611" s="21" t="s">
        <v>2922</v>
      </c>
      <c r="G611" s="22" t="s">
        <v>42</v>
      </c>
      <c r="H611" s="23" t="s">
        <v>2948</v>
      </c>
      <c r="I611" s="24" t="s">
        <v>20</v>
      </c>
      <c r="J611" s="1" t="str">
        <f t="shared" si="0"/>
        <v>FRIC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6.25" hidden="1" customHeight="1">
      <c r="A612" s="17">
        <f t="shared" si="1"/>
        <v>609</v>
      </c>
      <c r="B612" s="18" t="s">
        <v>132</v>
      </c>
      <c r="C612" s="31" t="s">
        <v>2949</v>
      </c>
      <c r="D612" s="19" t="s">
        <v>141</v>
      </c>
      <c r="E612" s="20" t="s">
        <v>2950</v>
      </c>
      <c r="F612" s="32" t="s">
        <v>2951</v>
      </c>
      <c r="G612" s="22" t="s">
        <v>42</v>
      </c>
      <c r="H612" s="23" t="s">
        <v>2952</v>
      </c>
      <c r="I612" s="24" t="s">
        <v>55</v>
      </c>
      <c r="J612" s="1" t="str">
        <f t="shared" si="0"/>
        <v/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6.25" customHeight="1">
      <c r="A613" s="17">
        <f t="shared" si="1"/>
        <v>610</v>
      </c>
      <c r="B613" s="18" t="s">
        <v>132</v>
      </c>
      <c r="C613" s="19" t="s">
        <v>2953</v>
      </c>
      <c r="D613" s="19" t="s">
        <v>141</v>
      </c>
      <c r="E613" s="20" t="s">
        <v>2954</v>
      </c>
      <c r="F613" s="21" t="s">
        <v>2955</v>
      </c>
      <c r="G613" s="22" t="s">
        <v>42</v>
      </c>
      <c r="H613" s="23" t="s">
        <v>2956</v>
      </c>
      <c r="I613" s="24" t="s">
        <v>20</v>
      </c>
      <c r="J613" s="1" t="str">
        <f t="shared" si="0"/>
        <v>FRIC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6.25" hidden="1" customHeight="1">
      <c r="A614" s="17">
        <f t="shared" si="1"/>
        <v>611</v>
      </c>
      <c r="B614" s="18" t="s">
        <v>132</v>
      </c>
      <c r="C614" s="31" t="s">
        <v>2957</v>
      </c>
      <c r="D614" s="19" t="s">
        <v>141</v>
      </c>
      <c r="E614" s="20" t="s">
        <v>2958</v>
      </c>
      <c r="F614" s="32" t="s">
        <v>2959</v>
      </c>
      <c r="G614" s="22" t="s">
        <v>42</v>
      </c>
      <c r="H614" s="23" t="s">
        <v>2960</v>
      </c>
      <c r="I614" s="24" t="s">
        <v>55</v>
      </c>
      <c r="J614" s="1" t="str">
        <f t="shared" si="0"/>
        <v/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6.25" customHeight="1">
      <c r="A615" s="17">
        <f t="shared" si="1"/>
        <v>612</v>
      </c>
      <c r="B615" s="18" t="s">
        <v>1375</v>
      </c>
      <c r="C615" s="19" t="s">
        <v>2961</v>
      </c>
      <c r="D615" s="19" t="s">
        <v>141</v>
      </c>
      <c r="E615" s="20" t="s">
        <v>2962</v>
      </c>
      <c r="F615" s="21" t="s">
        <v>2963</v>
      </c>
      <c r="G615" s="22" t="s">
        <v>42</v>
      </c>
      <c r="H615" s="23" t="s">
        <v>2964</v>
      </c>
      <c r="I615" s="24" t="s">
        <v>20</v>
      </c>
      <c r="J615" s="1" t="str">
        <f t="shared" si="0"/>
        <v>FRIC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6.25" customHeight="1">
      <c r="A616" s="17">
        <f t="shared" si="1"/>
        <v>613</v>
      </c>
      <c r="B616" s="18" t="s">
        <v>248</v>
      </c>
      <c r="C616" s="19" t="s">
        <v>2965</v>
      </c>
      <c r="D616" s="19" t="s">
        <v>141</v>
      </c>
      <c r="E616" s="20" t="s">
        <v>2966</v>
      </c>
      <c r="F616" s="21" t="s">
        <v>293</v>
      </c>
      <c r="G616" s="33" t="s">
        <v>42</v>
      </c>
      <c r="H616" s="23" t="s">
        <v>2967</v>
      </c>
      <c r="I616" s="24" t="s">
        <v>20</v>
      </c>
      <c r="J616" s="1" t="str">
        <f t="shared" si="0"/>
        <v>FRIC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6.25" hidden="1" customHeight="1">
      <c r="A617" s="17">
        <f t="shared" si="1"/>
        <v>614</v>
      </c>
      <c r="B617" s="18" t="s">
        <v>1375</v>
      </c>
      <c r="C617" s="31" t="s">
        <v>2968</v>
      </c>
      <c r="D617" s="19" t="s">
        <v>2969</v>
      </c>
      <c r="E617" s="20" t="s">
        <v>2970</v>
      </c>
      <c r="F617" s="32" t="s">
        <v>1913</v>
      </c>
      <c r="G617" s="22" t="s">
        <v>53</v>
      </c>
      <c r="H617" s="23" t="s">
        <v>2971</v>
      </c>
      <c r="I617" s="24" t="s">
        <v>55</v>
      </c>
      <c r="J617" s="1" t="str">
        <f t="shared" si="0"/>
        <v/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6.25" hidden="1" customHeight="1">
      <c r="A618" s="17">
        <f t="shared" si="1"/>
        <v>615</v>
      </c>
      <c r="B618" s="18" t="s">
        <v>1375</v>
      </c>
      <c r="C618" s="31" t="s">
        <v>2972</v>
      </c>
      <c r="D618" s="19" t="s">
        <v>2969</v>
      </c>
      <c r="E618" s="20" t="s">
        <v>2973</v>
      </c>
      <c r="F618" s="32" t="s">
        <v>2974</v>
      </c>
      <c r="G618" s="22" t="s">
        <v>53</v>
      </c>
      <c r="H618" s="23" t="s">
        <v>2975</v>
      </c>
      <c r="I618" s="24" t="s">
        <v>55</v>
      </c>
      <c r="J618" s="1" t="str">
        <f t="shared" si="0"/>
        <v/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6.25" hidden="1" customHeight="1">
      <c r="A619" s="17">
        <f t="shared" si="1"/>
        <v>616</v>
      </c>
      <c r="B619" s="18" t="s">
        <v>105</v>
      </c>
      <c r="C619" s="31" t="s">
        <v>2976</v>
      </c>
      <c r="D619" s="19" t="s">
        <v>2977</v>
      </c>
      <c r="E619" s="20" t="s">
        <v>2978</v>
      </c>
      <c r="F619" s="32" t="s">
        <v>2979</v>
      </c>
      <c r="G619" s="33" t="s">
        <v>42</v>
      </c>
      <c r="H619" s="23" t="s">
        <v>2980</v>
      </c>
      <c r="I619" s="24" t="s">
        <v>55</v>
      </c>
      <c r="J619" s="1" t="str">
        <f t="shared" si="0"/>
        <v/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6.25" customHeight="1">
      <c r="A620" s="17">
        <f t="shared" si="1"/>
        <v>617</v>
      </c>
      <c r="B620" s="18" t="s">
        <v>81</v>
      </c>
      <c r="C620" s="19" t="s">
        <v>2981</v>
      </c>
      <c r="D620" s="19" t="s">
        <v>124</v>
      </c>
      <c r="E620" s="20" t="s">
        <v>2982</v>
      </c>
      <c r="F620" s="21" t="s">
        <v>135</v>
      </c>
      <c r="G620" s="33" t="s">
        <v>42</v>
      </c>
      <c r="H620" s="23" t="s">
        <v>2983</v>
      </c>
      <c r="I620" s="24" t="s">
        <v>20</v>
      </c>
      <c r="J620" s="1" t="str">
        <f t="shared" si="0"/>
        <v>FRIC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6.25" hidden="1" customHeight="1">
      <c r="A621" s="17">
        <f t="shared" si="1"/>
        <v>618</v>
      </c>
      <c r="B621" s="18" t="s">
        <v>27</v>
      </c>
      <c r="C621" s="31" t="s">
        <v>2984</v>
      </c>
      <c r="D621" s="19" t="s">
        <v>196</v>
      </c>
      <c r="E621" s="20" t="s">
        <v>151</v>
      </c>
      <c r="F621" s="32" t="s">
        <v>2985</v>
      </c>
      <c r="G621" s="22" t="s">
        <v>53</v>
      </c>
      <c r="H621" s="23" t="s">
        <v>2986</v>
      </c>
      <c r="I621" s="24" t="s">
        <v>55</v>
      </c>
      <c r="J621" s="1" t="str">
        <f t="shared" si="0"/>
        <v/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6.25" customHeight="1">
      <c r="A622" s="17">
        <f t="shared" si="1"/>
        <v>619</v>
      </c>
      <c r="B622" s="18" t="s">
        <v>81</v>
      </c>
      <c r="C622" s="19" t="s">
        <v>2987</v>
      </c>
      <c r="D622" s="19" t="s">
        <v>1789</v>
      </c>
      <c r="E622" s="20" t="s">
        <v>2988</v>
      </c>
      <c r="F622" s="21" t="s">
        <v>135</v>
      </c>
      <c r="G622" s="33" t="s">
        <v>31</v>
      </c>
      <c r="H622" s="23" t="s">
        <v>2989</v>
      </c>
      <c r="I622" s="24" t="s">
        <v>20</v>
      </c>
      <c r="J622" s="1" t="str">
        <f t="shared" si="0"/>
        <v>FRIC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6.25" hidden="1" customHeight="1">
      <c r="A623" s="17">
        <f t="shared" si="1"/>
        <v>620</v>
      </c>
      <c r="B623" s="18" t="s">
        <v>37</v>
      </c>
      <c r="C623" s="19" t="s">
        <v>1704</v>
      </c>
      <c r="D623" s="19" t="s">
        <v>141</v>
      </c>
      <c r="E623" s="20" t="s">
        <v>1706</v>
      </c>
      <c r="F623" s="32" t="s">
        <v>186</v>
      </c>
      <c r="G623" s="22" t="s">
        <v>42</v>
      </c>
      <c r="H623" s="23" t="s">
        <v>2990</v>
      </c>
      <c r="I623" s="34" t="s">
        <v>55</v>
      </c>
      <c r="J623" s="1" t="str">
        <f t="shared" si="0"/>
        <v/>
      </c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</row>
    <row r="624" spans="1:24" ht="26.25" hidden="1" customHeight="1">
      <c r="A624" s="17">
        <f t="shared" si="1"/>
        <v>621</v>
      </c>
      <c r="B624" s="18" t="s">
        <v>105</v>
      </c>
      <c r="C624" s="31" t="s">
        <v>2991</v>
      </c>
      <c r="D624" s="19" t="s">
        <v>460</v>
      </c>
      <c r="E624" s="20" t="s">
        <v>2992</v>
      </c>
      <c r="F624" s="32" t="s">
        <v>2993</v>
      </c>
      <c r="G624" s="33" t="s">
        <v>53</v>
      </c>
      <c r="H624" s="23" t="s">
        <v>2994</v>
      </c>
      <c r="I624" s="24" t="s">
        <v>55</v>
      </c>
      <c r="J624" s="1" t="str">
        <f t="shared" si="0"/>
        <v/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6.25" hidden="1" customHeight="1">
      <c r="A625" s="17">
        <f t="shared" si="1"/>
        <v>622</v>
      </c>
      <c r="B625" s="18" t="s">
        <v>13</v>
      </c>
      <c r="C625" s="31" t="s">
        <v>2995</v>
      </c>
      <c r="D625" s="19" t="s">
        <v>2996</v>
      </c>
      <c r="E625" s="20" t="s">
        <v>2997</v>
      </c>
      <c r="F625" s="32" t="s">
        <v>2998</v>
      </c>
      <c r="G625" s="22" t="s">
        <v>53</v>
      </c>
      <c r="H625" s="23" t="s">
        <v>2999</v>
      </c>
      <c r="I625" s="24" t="s">
        <v>55</v>
      </c>
      <c r="J625" s="1" t="str">
        <f t="shared" si="0"/>
        <v/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6.25" hidden="1" customHeight="1">
      <c r="A626" s="17">
        <f t="shared" si="1"/>
        <v>623</v>
      </c>
      <c r="B626" s="18" t="s">
        <v>105</v>
      </c>
      <c r="C626" s="31" t="s">
        <v>3000</v>
      </c>
      <c r="D626" s="19" t="s">
        <v>3001</v>
      </c>
      <c r="E626" s="20" t="s">
        <v>3002</v>
      </c>
      <c r="F626" s="32" t="s">
        <v>404</v>
      </c>
      <c r="G626" s="33" t="s">
        <v>42</v>
      </c>
      <c r="H626" s="23" t="s">
        <v>3003</v>
      </c>
      <c r="I626" s="24" t="s">
        <v>55</v>
      </c>
      <c r="J626" s="1" t="str">
        <f t="shared" si="0"/>
        <v/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6.25" hidden="1" customHeight="1">
      <c r="A627" s="17">
        <f t="shared" si="1"/>
        <v>624</v>
      </c>
      <c r="B627" s="18" t="s">
        <v>27</v>
      </c>
      <c r="C627" s="31" t="s">
        <v>3004</v>
      </c>
      <c r="D627" s="19" t="s">
        <v>3005</v>
      </c>
      <c r="E627" s="20" t="s">
        <v>3006</v>
      </c>
      <c r="F627" s="32" t="s">
        <v>3007</v>
      </c>
      <c r="G627" s="22" t="s">
        <v>42</v>
      </c>
      <c r="H627" s="23" t="s">
        <v>3008</v>
      </c>
      <c r="I627" s="24" t="s">
        <v>55</v>
      </c>
      <c r="J627" s="1" t="str">
        <f t="shared" si="0"/>
        <v/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6.25" hidden="1" customHeight="1">
      <c r="A628" s="17">
        <f t="shared" si="1"/>
        <v>625</v>
      </c>
      <c r="B628" s="18" t="s">
        <v>105</v>
      </c>
      <c r="C628" s="31" t="s">
        <v>1222</v>
      </c>
      <c r="D628" s="19" t="s">
        <v>3009</v>
      </c>
      <c r="E628" s="20" t="s">
        <v>1223</v>
      </c>
      <c r="F628" s="32" t="s">
        <v>3010</v>
      </c>
      <c r="G628" s="33" t="s">
        <v>42</v>
      </c>
      <c r="H628" s="23" t="s">
        <v>3011</v>
      </c>
      <c r="I628" s="24" t="s">
        <v>55</v>
      </c>
      <c r="J628" s="1" t="str">
        <f t="shared" si="0"/>
        <v/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6.25" customHeight="1">
      <c r="A629" s="17">
        <f t="shared" si="1"/>
        <v>626</v>
      </c>
      <c r="B629" s="18" t="s">
        <v>13</v>
      </c>
      <c r="C629" s="19" t="s">
        <v>3012</v>
      </c>
      <c r="D629" s="19" t="s">
        <v>2445</v>
      </c>
      <c r="E629" s="20" t="s">
        <v>3013</v>
      </c>
      <c r="F629" s="21" t="s">
        <v>135</v>
      </c>
      <c r="G629" s="22" t="s">
        <v>42</v>
      </c>
      <c r="H629" s="23" t="s">
        <v>3014</v>
      </c>
      <c r="I629" s="24" t="s">
        <v>20</v>
      </c>
      <c r="J629" s="1" t="str">
        <f t="shared" si="0"/>
        <v>FRIC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6.25" hidden="1" customHeight="1">
      <c r="A630" s="17">
        <f t="shared" si="1"/>
        <v>627</v>
      </c>
      <c r="B630" s="18" t="s">
        <v>132</v>
      </c>
      <c r="C630" s="31" t="s">
        <v>1534</v>
      </c>
      <c r="D630" s="19" t="s">
        <v>3015</v>
      </c>
      <c r="E630" s="20" t="s">
        <v>1536</v>
      </c>
      <c r="F630" s="32" t="s">
        <v>52</v>
      </c>
      <c r="G630" s="22" t="s">
        <v>53</v>
      </c>
      <c r="H630" s="23" t="s">
        <v>3016</v>
      </c>
      <c r="I630" s="34" t="s">
        <v>55</v>
      </c>
      <c r="J630" s="1" t="str">
        <f t="shared" si="0"/>
        <v/>
      </c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</row>
    <row r="631" spans="1:24" ht="26.25" hidden="1" customHeight="1">
      <c r="A631" s="17">
        <f t="shared" si="1"/>
        <v>628</v>
      </c>
      <c r="B631" s="18" t="s">
        <v>27</v>
      </c>
      <c r="C631" s="31" t="s">
        <v>3017</v>
      </c>
      <c r="D631" s="19" t="s">
        <v>268</v>
      </c>
      <c r="E631" s="20" t="s">
        <v>269</v>
      </c>
      <c r="F631" s="32" t="s">
        <v>142</v>
      </c>
      <c r="G631" s="22" t="s">
        <v>53</v>
      </c>
      <c r="H631" s="23" t="s">
        <v>3018</v>
      </c>
      <c r="I631" s="24" t="s">
        <v>55</v>
      </c>
      <c r="J631" s="1" t="str">
        <f t="shared" si="0"/>
        <v/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6.25" hidden="1" customHeight="1">
      <c r="A632" s="17">
        <f t="shared" si="1"/>
        <v>629</v>
      </c>
      <c r="B632" s="18" t="s">
        <v>132</v>
      </c>
      <c r="C632" s="31" t="s">
        <v>3019</v>
      </c>
      <c r="D632" s="19" t="s">
        <v>271</v>
      </c>
      <c r="E632" s="20" t="s">
        <v>3020</v>
      </c>
      <c r="F632" s="32" t="s">
        <v>222</v>
      </c>
      <c r="G632" s="22" t="s">
        <v>42</v>
      </c>
      <c r="H632" s="23" t="s">
        <v>3021</v>
      </c>
      <c r="I632" s="24" t="s">
        <v>55</v>
      </c>
      <c r="J632" s="1" t="str">
        <f t="shared" si="0"/>
        <v/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6.25" customHeight="1">
      <c r="A633" s="17">
        <f t="shared" si="1"/>
        <v>630</v>
      </c>
      <c r="B633" s="18" t="s">
        <v>48</v>
      </c>
      <c r="C633" s="19" t="s">
        <v>3022</v>
      </c>
      <c r="D633" s="19" t="s">
        <v>3023</v>
      </c>
      <c r="E633" s="20" t="s">
        <v>3024</v>
      </c>
      <c r="F633" s="21" t="s">
        <v>293</v>
      </c>
      <c r="G633" s="33" t="s">
        <v>42</v>
      </c>
      <c r="H633" s="23" t="s">
        <v>3025</v>
      </c>
      <c r="I633" s="24" t="s">
        <v>20</v>
      </c>
      <c r="J633" s="1" t="str">
        <f t="shared" si="0"/>
        <v>FRIC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6.25" customHeight="1">
      <c r="A634" s="17">
        <f t="shared" si="1"/>
        <v>631</v>
      </c>
      <c r="B634" s="18" t="s">
        <v>1368</v>
      </c>
      <c r="C634" s="19" t="s">
        <v>3026</v>
      </c>
      <c r="D634" s="19" t="s">
        <v>3027</v>
      </c>
      <c r="E634" s="20" t="s">
        <v>3028</v>
      </c>
      <c r="F634" s="21" t="s">
        <v>135</v>
      </c>
      <c r="G634" s="33" t="s">
        <v>53</v>
      </c>
      <c r="H634" s="23" t="s">
        <v>3029</v>
      </c>
      <c r="I634" s="24" t="s">
        <v>20</v>
      </c>
      <c r="J634" s="1" t="str">
        <f t="shared" si="0"/>
        <v>FRIC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6.25" customHeight="1">
      <c r="A635" s="17">
        <f t="shared" si="1"/>
        <v>632</v>
      </c>
      <c r="B635" s="18" t="s">
        <v>132</v>
      </c>
      <c r="C635" s="19" t="s">
        <v>3030</v>
      </c>
      <c r="D635" s="19" t="s">
        <v>124</v>
      </c>
      <c r="E635" s="20" t="s">
        <v>3031</v>
      </c>
      <c r="F635" s="21" t="s">
        <v>135</v>
      </c>
      <c r="G635" s="22" t="s">
        <v>42</v>
      </c>
      <c r="H635" s="23" t="s">
        <v>3032</v>
      </c>
      <c r="I635" s="24" t="s">
        <v>20</v>
      </c>
      <c r="J635" s="1" t="str">
        <f t="shared" si="0"/>
        <v>FRIC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6.25" hidden="1" customHeight="1">
      <c r="A636" s="17">
        <f t="shared" si="1"/>
        <v>633</v>
      </c>
      <c r="B636" s="18" t="s">
        <v>105</v>
      </c>
      <c r="C636" s="31" t="s">
        <v>3033</v>
      </c>
      <c r="D636" s="19" t="s">
        <v>3034</v>
      </c>
      <c r="E636" s="20" t="s">
        <v>1613</v>
      </c>
      <c r="F636" s="21" t="s">
        <v>3035</v>
      </c>
      <c r="G636" s="33" t="s">
        <v>53</v>
      </c>
      <c r="H636" s="23" t="s">
        <v>3036</v>
      </c>
      <c r="I636" s="34" t="s">
        <v>55</v>
      </c>
      <c r="J636" s="1" t="str">
        <f t="shared" si="0"/>
        <v/>
      </c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</row>
    <row r="637" spans="1:24" ht="26.25" hidden="1" customHeight="1">
      <c r="A637" s="17">
        <f t="shared" si="1"/>
        <v>634</v>
      </c>
      <c r="B637" s="18" t="s">
        <v>105</v>
      </c>
      <c r="C637" s="31" t="s">
        <v>3037</v>
      </c>
      <c r="D637" s="19" t="s">
        <v>3034</v>
      </c>
      <c r="E637" s="20" t="s">
        <v>3038</v>
      </c>
      <c r="F637" s="32" t="s">
        <v>3039</v>
      </c>
      <c r="G637" s="33" t="s">
        <v>42</v>
      </c>
      <c r="H637" s="23" t="s">
        <v>3040</v>
      </c>
      <c r="I637" s="24" t="s">
        <v>55</v>
      </c>
      <c r="J637" s="1" t="str">
        <f t="shared" si="0"/>
        <v/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6.25" hidden="1" customHeight="1">
      <c r="A638" s="17">
        <f t="shared" si="1"/>
        <v>635</v>
      </c>
      <c r="B638" s="18" t="s">
        <v>248</v>
      </c>
      <c r="C638" s="31" t="s">
        <v>3041</v>
      </c>
      <c r="D638" s="19" t="s">
        <v>3042</v>
      </c>
      <c r="E638" s="20" t="s">
        <v>3043</v>
      </c>
      <c r="F638" s="32">
        <v>2010</v>
      </c>
      <c r="G638" s="33" t="s">
        <v>53</v>
      </c>
      <c r="H638" s="23" t="s">
        <v>3044</v>
      </c>
      <c r="I638" s="24" t="s">
        <v>55</v>
      </c>
      <c r="J638" s="1" t="str">
        <f t="shared" si="0"/>
        <v/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6.25" hidden="1" customHeight="1">
      <c r="A639" s="17">
        <f t="shared" si="1"/>
        <v>636</v>
      </c>
      <c r="B639" s="18" t="s">
        <v>105</v>
      </c>
      <c r="C639" s="31" t="s">
        <v>3045</v>
      </c>
      <c r="D639" s="19" t="s">
        <v>3046</v>
      </c>
      <c r="E639" s="20" t="s">
        <v>3047</v>
      </c>
      <c r="F639" s="21" t="s">
        <v>3048</v>
      </c>
      <c r="G639" s="33" t="s">
        <v>31</v>
      </c>
      <c r="H639" s="23" t="s">
        <v>3049</v>
      </c>
      <c r="I639" s="34" t="s">
        <v>20</v>
      </c>
      <c r="J639" s="1" t="str">
        <f t="shared" si="0"/>
        <v>과기</v>
      </c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</row>
    <row r="640" spans="1:24" ht="26.25" customHeight="1">
      <c r="A640" s="17">
        <f t="shared" si="1"/>
        <v>637</v>
      </c>
      <c r="B640" s="18" t="s">
        <v>105</v>
      </c>
      <c r="C640" s="19" t="s">
        <v>3050</v>
      </c>
      <c r="D640" s="19" t="s">
        <v>196</v>
      </c>
      <c r="E640" s="20" t="s">
        <v>3051</v>
      </c>
      <c r="F640" s="21" t="s">
        <v>1011</v>
      </c>
      <c r="G640" s="33" t="s">
        <v>42</v>
      </c>
      <c r="H640" s="23" t="s">
        <v>3052</v>
      </c>
      <c r="I640" s="24" t="s">
        <v>20</v>
      </c>
      <c r="J640" s="1" t="str">
        <f t="shared" si="0"/>
        <v>FRIC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6.25" customHeight="1">
      <c r="A641" s="17">
        <f t="shared" si="1"/>
        <v>638</v>
      </c>
      <c r="B641" s="18" t="s">
        <v>13</v>
      </c>
      <c r="C641" s="19" t="s">
        <v>3053</v>
      </c>
      <c r="D641" s="19" t="s">
        <v>124</v>
      </c>
      <c r="E641" s="20" t="s">
        <v>3054</v>
      </c>
      <c r="F641" s="21" t="s">
        <v>135</v>
      </c>
      <c r="G641" s="22" t="s">
        <v>42</v>
      </c>
      <c r="H641" s="23" t="s">
        <v>3055</v>
      </c>
      <c r="I641" s="24" t="s">
        <v>20</v>
      </c>
      <c r="J641" s="1" t="str">
        <f t="shared" si="0"/>
        <v>FRIC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6.25" hidden="1" customHeight="1">
      <c r="A642" s="17">
        <f t="shared" si="1"/>
        <v>639</v>
      </c>
      <c r="B642" s="18" t="s">
        <v>81</v>
      </c>
      <c r="C642" s="31" t="s">
        <v>158</v>
      </c>
      <c r="D642" s="19" t="s">
        <v>3056</v>
      </c>
      <c r="E642" s="20" t="s">
        <v>159</v>
      </c>
      <c r="F642" s="32" t="s">
        <v>142</v>
      </c>
      <c r="G642" s="33" t="s">
        <v>42</v>
      </c>
      <c r="H642" s="23" t="s">
        <v>3057</v>
      </c>
      <c r="I642" s="24" t="s">
        <v>55</v>
      </c>
      <c r="J642" s="1" t="str">
        <f t="shared" si="0"/>
        <v/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6.25" hidden="1" customHeight="1">
      <c r="A643" s="17">
        <f t="shared" si="1"/>
        <v>640</v>
      </c>
      <c r="B643" s="18" t="s">
        <v>233</v>
      </c>
      <c r="C643" s="19" t="s">
        <v>1667</v>
      </c>
      <c r="D643" s="19" t="s">
        <v>3058</v>
      </c>
      <c r="E643" s="20" t="s">
        <v>1669</v>
      </c>
      <c r="F643" s="32" t="s">
        <v>52</v>
      </c>
      <c r="G643" s="22" t="s">
        <v>53</v>
      </c>
      <c r="H643" s="23" t="s">
        <v>3059</v>
      </c>
      <c r="I643" s="34" t="s">
        <v>55</v>
      </c>
      <c r="J643" s="1" t="str">
        <f t="shared" si="0"/>
        <v/>
      </c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</row>
    <row r="644" spans="1:24" ht="26.25" hidden="1" customHeight="1">
      <c r="A644" s="17">
        <f t="shared" si="1"/>
        <v>641</v>
      </c>
      <c r="B644" s="18" t="s">
        <v>37</v>
      </c>
      <c r="C644" s="31" t="s">
        <v>3060</v>
      </c>
      <c r="D644" s="19" t="s">
        <v>3061</v>
      </c>
      <c r="E644" s="20" t="s">
        <v>3062</v>
      </c>
      <c r="F644" s="32" t="s">
        <v>3063</v>
      </c>
      <c r="G644" s="22" t="s">
        <v>42</v>
      </c>
      <c r="H644" s="23" t="s">
        <v>3064</v>
      </c>
      <c r="I644" s="24" t="s">
        <v>55</v>
      </c>
      <c r="J644" s="1" t="str">
        <f t="shared" si="0"/>
        <v/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6.25" hidden="1" customHeight="1">
      <c r="A645" s="17">
        <f t="shared" si="1"/>
        <v>642</v>
      </c>
      <c r="B645" s="18" t="s">
        <v>105</v>
      </c>
      <c r="C645" s="31" t="s">
        <v>3065</v>
      </c>
      <c r="D645" s="19" t="s">
        <v>2742</v>
      </c>
      <c r="E645" s="20" t="s">
        <v>3066</v>
      </c>
      <c r="F645" s="32" t="s">
        <v>2564</v>
      </c>
      <c r="G645" s="33" t="s">
        <v>42</v>
      </c>
      <c r="H645" s="23" t="s">
        <v>3067</v>
      </c>
      <c r="I645" s="24" t="s">
        <v>55</v>
      </c>
      <c r="J645" s="1" t="str">
        <f t="shared" si="0"/>
        <v/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6.25" hidden="1" customHeight="1">
      <c r="A646" s="17">
        <f t="shared" si="1"/>
        <v>643</v>
      </c>
      <c r="B646" s="18" t="s">
        <v>48</v>
      </c>
      <c r="C646" s="31" t="s">
        <v>3068</v>
      </c>
      <c r="D646" s="19" t="s">
        <v>3069</v>
      </c>
      <c r="E646" s="20" t="s">
        <v>3070</v>
      </c>
      <c r="F646" s="32" t="s">
        <v>3071</v>
      </c>
      <c r="G646" s="33" t="s">
        <v>63</v>
      </c>
      <c r="H646" s="23" t="s">
        <v>3072</v>
      </c>
      <c r="I646" s="24" t="s">
        <v>55</v>
      </c>
      <c r="J646" s="1" t="str">
        <f t="shared" si="0"/>
        <v/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6.25" hidden="1" customHeight="1">
      <c r="A647" s="17">
        <f t="shared" si="1"/>
        <v>644</v>
      </c>
      <c r="B647" s="18" t="s">
        <v>105</v>
      </c>
      <c r="C647" s="31" t="s">
        <v>165</v>
      </c>
      <c r="D647" s="19" t="s">
        <v>112</v>
      </c>
      <c r="E647" s="20" t="s">
        <v>166</v>
      </c>
      <c r="F647" s="32" t="s">
        <v>962</v>
      </c>
      <c r="G647" s="33" t="s">
        <v>42</v>
      </c>
      <c r="H647" s="23" t="s">
        <v>3073</v>
      </c>
      <c r="I647" s="24" t="s">
        <v>55</v>
      </c>
      <c r="J647" s="1" t="str">
        <f t="shared" si="0"/>
        <v/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6.25" hidden="1" customHeight="1">
      <c r="A648" s="17">
        <f t="shared" si="1"/>
        <v>645</v>
      </c>
      <c r="B648" s="18" t="s">
        <v>233</v>
      </c>
      <c r="C648" s="31" t="s">
        <v>3074</v>
      </c>
      <c r="D648" s="19" t="s">
        <v>3075</v>
      </c>
      <c r="E648" s="20" t="s">
        <v>3076</v>
      </c>
      <c r="F648" s="32">
        <v>1962</v>
      </c>
      <c r="G648" s="22" t="s">
        <v>53</v>
      </c>
      <c r="H648" s="23" t="s">
        <v>3077</v>
      </c>
      <c r="I648" s="24" t="s">
        <v>55</v>
      </c>
      <c r="J648" s="1" t="str">
        <f t="shared" si="0"/>
        <v/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6.25" hidden="1" customHeight="1">
      <c r="A649" s="17">
        <f t="shared" si="1"/>
        <v>646</v>
      </c>
      <c r="B649" s="18" t="s">
        <v>37</v>
      </c>
      <c r="C649" s="31" t="s">
        <v>3078</v>
      </c>
      <c r="D649" s="19" t="s">
        <v>1980</v>
      </c>
      <c r="E649" s="20" t="s">
        <v>3079</v>
      </c>
      <c r="F649" s="32" t="s">
        <v>3080</v>
      </c>
      <c r="G649" s="22" t="s">
        <v>31</v>
      </c>
      <c r="H649" s="23" t="s">
        <v>3081</v>
      </c>
      <c r="I649" s="24" t="s">
        <v>55</v>
      </c>
      <c r="J649" s="1" t="str">
        <f t="shared" si="0"/>
        <v/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6.25" hidden="1" customHeight="1">
      <c r="A650" s="17">
        <f t="shared" si="1"/>
        <v>647</v>
      </c>
      <c r="B650" s="18" t="s">
        <v>105</v>
      </c>
      <c r="C650" s="31" t="s">
        <v>3082</v>
      </c>
      <c r="D650" s="19" t="s">
        <v>3083</v>
      </c>
      <c r="E650" s="20" t="s">
        <v>3084</v>
      </c>
      <c r="F650" s="32" t="s">
        <v>3085</v>
      </c>
      <c r="G650" s="33" t="s">
        <v>53</v>
      </c>
      <c r="H650" s="23" t="s">
        <v>3086</v>
      </c>
      <c r="I650" s="24" t="s">
        <v>55</v>
      </c>
      <c r="J650" s="1" t="str">
        <f t="shared" si="0"/>
        <v/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6.25" hidden="1" customHeight="1">
      <c r="A651" s="17">
        <f t="shared" si="1"/>
        <v>648</v>
      </c>
      <c r="B651" s="18" t="s">
        <v>132</v>
      </c>
      <c r="C651" s="31" t="s">
        <v>3087</v>
      </c>
      <c r="D651" s="19" t="s">
        <v>3088</v>
      </c>
      <c r="E651" s="20" t="s">
        <v>3089</v>
      </c>
      <c r="F651" s="32" t="s">
        <v>2820</v>
      </c>
      <c r="G651" s="22" t="s">
        <v>53</v>
      </c>
      <c r="H651" s="23" t="s">
        <v>3090</v>
      </c>
      <c r="I651" s="24" t="s">
        <v>55</v>
      </c>
      <c r="J651" s="1" t="str">
        <f t="shared" si="0"/>
        <v/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6.25" hidden="1" customHeight="1">
      <c r="A652" s="17">
        <f t="shared" si="1"/>
        <v>649</v>
      </c>
      <c r="B652" s="18" t="s">
        <v>105</v>
      </c>
      <c r="C652" s="31" t="s">
        <v>3091</v>
      </c>
      <c r="D652" s="19" t="s">
        <v>3092</v>
      </c>
      <c r="E652" s="20" t="s">
        <v>3093</v>
      </c>
      <c r="F652" s="32" t="s">
        <v>3094</v>
      </c>
      <c r="G652" s="33" t="s">
        <v>42</v>
      </c>
      <c r="H652" s="23" t="s">
        <v>3095</v>
      </c>
      <c r="I652" s="24" t="s">
        <v>55</v>
      </c>
      <c r="J652" s="1" t="str">
        <f t="shared" si="0"/>
        <v/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6.25" hidden="1" customHeight="1">
      <c r="A653" s="17">
        <f t="shared" si="1"/>
        <v>650</v>
      </c>
      <c r="B653" s="18" t="s">
        <v>27</v>
      </c>
      <c r="C653" s="31" t="s">
        <v>3096</v>
      </c>
      <c r="D653" s="19" t="s">
        <v>112</v>
      </c>
      <c r="E653" s="20" t="s">
        <v>3097</v>
      </c>
      <c r="F653" s="32" t="s">
        <v>416</v>
      </c>
      <c r="G653" s="22" t="s">
        <v>31</v>
      </c>
      <c r="H653" s="23" t="s">
        <v>3098</v>
      </c>
      <c r="I653" s="24" t="s">
        <v>55</v>
      </c>
      <c r="J653" s="1" t="str">
        <f t="shared" si="0"/>
        <v/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6.25" hidden="1" customHeight="1">
      <c r="A654" s="17">
        <f t="shared" si="1"/>
        <v>651</v>
      </c>
      <c r="B654" s="18" t="s">
        <v>27</v>
      </c>
      <c r="C654" s="39" t="s">
        <v>1867</v>
      </c>
      <c r="D654" s="39" t="s">
        <v>1868</v>
      </c>
      <c r="E654" s="20" t="s">
        <v>1869</v>
      </c>
      <c r="F654" s="44" t="s">
        <v>4944</v>
      </c>
      <c r="G654" s="22" t="s">
        <v>31</v>
      </c>
      <c r="H654" s="41" t="s">
        <v>3100</v>
      </c>
      <c r="I654" s="34" t="s">
        <v>55</v>
      </c>
      <c r="J654" s="1" t="str">
        <f t="shared" si="0"/>
        <v/>
      </c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</row>
    <row r="655" spans="1:24" ht="26.25" hidden="1" customHeight="1">
      <c r="A655" s="17">
        <f t="shared" si="1"/>
        <v>652</v>
      </c>
      <c r="B655" s="18" t="s">
        <v>248</v>
      </c>
      <c r="C655" s="31" t="s">
        <v>3101</v>
      </c>
      <c r="D655" s="19" t="s">
        <v>3102</v>
      </c>
      <c r="E655" s="20" t="s">
        <v>3103</v>
      </c>
      <c r="F655" s="32" t="s">
        <v>209</v>
      </c>
      <c r="G655" s="33" t="s">
        <v>42</v>
      </c>
      <c r="H655" s="23" t="s">
        <v>3104</v>
      </c>
      <c r="I655" s="24" t="s">
        <v>55</v>
      </c>
      <c r="J655" s="1" t="str">
        <f t="shared" si="0"/>
        <v/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6.25" customHeight="1">
      <c r="A656" s="17">
        <f t="shared" si="1"/>
        <v>653</v>
      </c>
      <c r="B656" s="18" t="s">
        <v>37</v>
      </c>
      <c r="C656" s="19" t="s">
        <v>3105</v>
      </c>
      <c r="D656" s="19" t="s">
        <v>168</v>
      </c>
      <c r="E656" s="20" t="s">
        <v>3106</v>
      </c>
      <c r="F656" s="21" t="s">
        <v>3107</v>
      </c>
      <c r="G656" s="22" t="s">
        <v>31</v>
      </c>
      <c r="H656" s="23" t="s">
        <v>3108</v>
      </c>
      <c r="I656" s="24" t="s">
        <v>20</v>
      </c>
      <c r="J656" s="1" t="str">
        <f t="shared" si="0"/>
        <v>FRIC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6.25" hidden="1" customHeight="1">
      <c r="A657" s="17">
        <f t="shared" si="1"/>
        <v>654</v>
      </c>
      <c r="B657" s="18" t="s">
        <v>105</v>
      </c>
      <c r="C657" s="31" t="s">
        <v>3109</v>
      </c>
      <c r="D657" s="19" t="s">
        <v>2164</v>
      </c>
      <c r="E657" s="20" t="s">
        <v>3110</v>
      </c>
      <c r="F657" s="21" t="s">
        <v>3111</v>
      </c>
      <c r="G657" s="33" t="s">
        <v>31</v>
      </c>
      <c r="H657" s="23" t="s">
        <v>3112</v>
      </c>
      <c r="I657" s="34" t="s">
        <v>20</v>
      </c>
      <c r="J657" s="1" t="str">
        <f t="shared" si="0"/>
        <v>과기</v>
      </c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</row>
    <row r="658" spans="1:24" ht="26.25" hidden="1" customHeight="1">
      <c r="A658" s="17">
        <f t="shared" si="1"/>
        <v>655</v>
      </c>
      <c r="B658" s="18" t="s">
        <v>105</v>
      </c>
      <c r="C658" s="19" t="s">
        <v>1660</v>
      </c>
      <c r="D658" s="19" t="s">
        <v>3113</v>
      </c>
      <c r="E658" s="20" t="s">
        <v>1662</v>
      </c>
      <c r="F658" s="32" t="s">
        <v>52</v>
      </c>
      <c r="G658" s="33" t="s">
        <v>31</v>
      </c>
      <c r="H658" s="23" t="s">
        <v>3114</v>
      </c>
      <c r="I658" s="34" t="s">
        <v>55</v>
      </c>
      <c r="J658" s="1" t="str">
        <f t="shared" si="0"/>
        <v/>
      </c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</row>
    <row r="659" spans="1:24" ht="26.25" hidden="1" customHeight="1">
      <c r="A659" s="17">
        <f t="shared" si="1"/>
        <v>656</v>
      </c>
      <c r="B659" s="18" t="s">
        <v>1375</v>
      </c>
      <c r="C659" s="31" t="s">
        <v>1538</v>
      </c>
      <c r="D659" s="19" t="s">
        <v>3115</v>
      </c>
      <c r="E659" s="20" t="s">
        <v>1540</v>
      </c>
      <c r="F659" s="32" t="s">
        <v>178</v>
      </c>
      <c r="G659" s="22" t="s">
        <v>53</v>
      </c>
      <c r="H659" s="23" t="s">
        <v>3116</v>
      </c>
      <c r="I659" s="34" t="s">
        <v>55</v>
      </c>
      <c r="J659" s="1" t="str">
        <f t="shared" si="0"/>
        <v/>
      </c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</row>
    <row r="660" spans="1:24" ht="26.25" customHeight="1">
      <c r="A660" s="17">
        <f t="shared" si="1"/>
        <v>657</v>
      </c>
      <c r="B660" s="18" t="s">
        <v>48</v>
      </c>
      <c r="C660" s="19" t="s">
        <v>3117</v>
      </c>
      <c r="D660" s="19" t="s">
        <v>168</v>
      </c>
      <c r="E660" s="20" t="s">
        <v>3118</v>
      </c>
      <c r="F660" s="21" t="s">
        <v>135</v>
      </c>
      <c r="G660" s="33" t="s">
        <v>53</v>
      </c>
      <c r="H660" s="23" t="s">
        <v>3119</v>
      </c>
      <c r="I660" s="24" t="s">
        <v>20</v>
      </c>
      <c r="J660" s="1" t="str">
        <f t="shared" si="0"/>
        <v>FRIC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6.25" customHeight="1">
      <c r="A661" s="17">
        <f t="shared" si="1"/>
        <v>658</v>
      </c>
      <c r="B661" s="18" t="s">
        <v>105</v>
      </c>
      <c r="C661" s="19" t="s">
        <v>3120</v>
      </c>
      <c r="D661" s="19" t="s">
        <v>3121</v>
      </c>
      <c r="E661" s="20" t="s">
        <v>3122</v>
      </c>
      <c r="F661" s="21" t="s">
        <v>135</v>
      </c>
      <c r="G661" s="33" t="s">
        <v>42</v>
      </c>
      <c r="H661" s="23" t="s">
        <v>3123</v>
      </c>
      <c r="I661" s="24" t="s">
        <v>20</v>
      </c>
      <c r="J661" s="1" t="str">
        <f t="shared" si="0"/>
        <v>FRIC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6.25" customHeight="1">
      <c r="A662" s="17">
        <f t="shared" si="1"/>
        <v>659</v>
      </c>
      <c r="B662" s="18" t="s">
        <v>27</v>
      </c>
      <c r="C662" s="19" t="s">
        <v>3124</v>
      </c>
      <c r="D662" s="19" t="s">
        <v>124</v>
      </c>
      <c r="E662" s="20" t="s">
        <v>3125</v>
      </c>
      <c r="F662" s="21" t="s">
        <v>2431</v>
      </c>
      <c r="G662" s="22" t="s">
        <v>42</v>
      </c>
      <c r="H662" s="23" t="s">
        <v>3126</v>
      </c>
      <c r="I662" s="24" t="s">
        <v>20</v>
      </c>
      <c r="J662" s="1" t="str">
        <f t="shared" si="0"/>
        <v>FRIC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6.25" hidden="1" customHeight="1">
      <c r="A663" s="17">
        <f t="shared" si="1"/>
        <v>660</v>
      </c>
      <c r="B663" s="18" t="s">
        <v>1375</v>
      </c>
      <c r="C663" s="31" t="s">
        <v>3127</v>
      </c>
      <c r="D663" s="19" t="s">
        <v>124</v>
      </c>
      <c r="E663" s="20" t="s">
        <v>3128</v>
      </c>
      <c r="F663" s="32" t="s">
        <v>1913</v>
      </c>
      <c r="G663" s="22" t="s">
        <v>1086</v>
      </c>
      <c r="H663" s="23" t="s">
        <v>3129</v>
      </c>
      <c r="I663" s="24" t="s">
        <v>55</v>
      </c>
      <c r="J663" s="1" t="str">
        <f t="shared" si="0"/>
        <v/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6.25" hidden="1" customHeight="1">
      <c r="A664" s="17">
        <f t="shared" si="1"/>
        <v>661</v>
      </c>
      <c r="B664" s="18" t="s">
        <v>1375</v>
      </c>
      <c r="C664" s="31" t="s">
        <v>3130</v>
      </c>
      <c r="D664" s="19" t="s">
        <v>3131</v>
      </c>
      <c r="E664" s="20" t="s">
        <v>1152</v>
      </c>
      <c r="F664" s="32" t="s">
        <v>170</v>
      </c>
      <c r="G664" s="22" t="s">
        <v>63</v>
      </c>
      <c r="H664" s="23" t="s">
        <v>3132</v>
      </c>
      <c r="I664" s="24" t="s">
        <v>55</v>
      </c>
      <c r="J664" s="1" t="str">
        <f t="shared" si="0"/>
        <v/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6.25" customHeight="1">
      <c r="A665" s="17">
        <f t="shared" si="1"/>
        <v>662</v>
      </c>
      <c r="B665" s="18" t="s">
        <v>1375</v>
      </c>
      <c r="C665" s="19" t="s">
        <v>3133</v>
      </c>
      <c r="D665" s="19" t="s">
        <v>124</v>
      </c>
      <c r="E665" s="20" t="s">
        <v>3134</v>
      </c>
      <c r="F665" s="21" t="s">
        <v>2284</v>
      </c>
      <c r="G665" s="22" t="s">
        <v>42</v>
      </c>
      <c r="H665" s="23" t="s">
        <v>3135</v>
      </c>
      <c r="I665" s="24" t="s">
        <v>20</v>
      </c>
      <c r="J665" s="1" t="str">
        <f t="shared" si="0"/>
        <v>FRIC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6.25" hidden="1" customHeight="1">
      <c r="A666" s="17">
        <f t="shared" si="1"/>
        <v>663</v>
      </c>
      <c r="B666" s="18" t="s">
        <v>248</v>
      </c>
      <c r="C666" s="31" t="s">
        <v>3136</v>
      </c>
      <c r="D666" s="19" t="s">
        <v>207</v>
      </c>
      <c r="E666" s="20" t="s">
        <v>3137</v>
      </c>
      <c r="F666" s="32" t="s">
        <v>222</v>
      </c>
      <c r="G666" s="33" t="s">
        <v>42</v>
      </c>
      <c r="H666" s="23" t="s">
        <v>3138</v>
      </c>
      <c r="I666" s="24" t="s">
        <v>55</v>
      </c>
      <c r="J666" s="1" t="str">
        <f t="shared" si="0"/>
        <v/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6.25" hidden="1" customHeight="1">
      <c r="A667" s="17">
        <f t="shared" si="1"/>
        <v>664</v>
      </c>
      <c r="B667" s="18" t="s">
        <v>81</v>
      </c>
      <c r="C667" s="31" t="s">
        <v>3139</v>
      </c>
      <c r="D667" s="19" t="s">
        <v>567</v>
      </c>
      <c r="E667" s="20" t="s">
        <v>3140</v>
      </c>
      <c r="F667" s="32" t="s">
        <v>3141</v>
      </c>
      <c r="G667" s="33" t="s">
        <v>42</v>
      </c>
      <c r="H667" s="23" t="s">
        <v>3142</v>
      </c>
      <c r="I667" s="24" t="s">
        <v>55</v>
      </c>
      <c r="J667" s="1" t="str">
        <f t="shared" si="0"/>
        <v/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6.25" hidden="1" customHeight="1">
      <c r="A668" s="17">
        <f t="shared" si="1"/>
        <v>665</v>
      </c>
      <c r="B668" s="18" t="s">
        <v>105</v>
      </c>
      <c r="C668" s="31" t="s">
        <v>3143</v>
      </c>
      <c r="D668" s="19" t="s">
        <v>567</v>
      </c>
      <c r="E668" s="20" t="s">
        <v>568</v>
      </c>
      <c r="F668" s="32" t="s">
        <v>3144</v>
      </c>
      <c r="G668" s="33" t="s">
        <v>42</v>
      </c>
      <c r="H668" s="23" t="s">
        <v>3145</v>
      </c>
      <c r="I668" s="24" t="s">
        <v>55</v>
      </c>
      <c r="J668" s="1" t="str">
        <f t="shared" si="0"/>
        <v/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6.25" hidden="1" customHeight="1">
      <c r="A669" s="17">
        <f t="shared" si="1"/>
        <v>666</v>
      </c>
      <c r="B669" s="18" t="s">
        <v>105</v>
      </c>
      <c r="C669" s="31" t="s">
        <v>3146</v>
      </c>
      <c r="D669" s="19" t="s">
        <v>567</v>
      </c>
      <c r="E669" s="20" t="s">
        <v>3147</v>
      </c>
      <c r="F669" s="32" t="s">
        <v>3148</v>
      </c>
      <c r="G669" s="33" t="s">
        <v>42</v>
      </c>
      <c r="H669" s="23" t="s">
        <v>3149</v>
      </c>
      <c r="I669" s="24" t="s">
        <v>55</v>
      </c>
      <c r="J669" s="1" t="str">
        <f t="shared" si="0"/>
        <v/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6.25" customHeight="1">
      <c r="A670" s="17">
        <f t="shared" si="1"/>
        <v>667</v>
      </c>
      <c r="B670" s="18" t="s">
        <v>81</v>
      </c>
      <c r="C670" s="19" t="s">
        <v>3150</v>
      </c>
      <c r="D670" s="19" t="s">
        <v>1700</v>
      </c>
      <c r="E670" s="20" t="s">
        <v>3151</v>
      </c>
      <c r="F670" s="21" t="s">
        <v>905</v>
      </c>
      <c r="G670" s="33" t="s">
        <v>53</v>
      </c>
      <c r="H670" s="23" t="s">
        <v>3152</v>
      </c>
      <c r="I670" s="24" t="s">
        <v>20</v>
      </c>
      <c r="J670" s="1" t="str">
        <f t="shared" si="0"/>
        <v>FRIC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6.25" hidden="1" customHeight="1">
      <c r="A671" s="17">
        <f t="shared" si="1"/>
        <v>668</v>
      </c>
      <c r="B671" s="18" t="s">
        <v>105</v>
      </c>
      <c r="C671" s="31" t="s">
        <v>3153</v>
      </c>
      <c r="D671" s="19" t="s">
        <v>1700</v>
      </c>
      <c r="E671" s="20" t="s">
        <v>3154</v>
      </c>
      <c r="F671" s="32" t="s">
        <v>3155</v>
      </c>
      <c r="G671" s="33" t="s">
        <v>63</v>
      </c>
      <c r="H671" s="23" t="s">
        <v>3156</v>
      </c>
      <c r="I671" s="24" t="s">
        <v>55</v>
      </c>
      <c r="J671" s="1" t="str">
        <f t="shared" si="0"/>
        <v/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6.25" customHeight="1">
      <c r="A672" s="17">
        <f t="shared" si="1"/>
        <v>669</v>
      </c>
      <c r="B672" s="18" t="s">
        <v>13</v>
      </c>
      <c r="C672" s="19" t="s">
        <v>3157</v>
      </c>
      <c r="D672" s="19" t="s">
        <v>1058</v>
      </c>
      <c r="E672" s="20" t="s">
        <v>3158</v>
      </c>
      <c r="F672" s="21" t="s">
        <v>135</v>
      </c>
      <c r="G672" s="22" t="s">
        <v>42</v>
      </c>
      <c r="H672" s="23" t="s">
        <v>3159</v>
      </c>
      <c r="I672" s="24" t="s">
        <v>20</v>
      </c>
      <c r="J672" s="1" t="str">
        <f t="shared" si="0"/>
        <v>FRIC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6.25" customHeight="1">
      <c r="A673" s="17">
        <f t="shared" si="1"/>
        <v>670</v>
      </c>
      <c r="B673" s="18" t="s">
        <v>105</v>
      </c>
      <c r="C673" s="19" t="s">
        <v>3160</v>
      </c>
      <c r="D673" s="19" t="s">
        <v>124</v>
      </c>
      <c r="E673" s="20" t="s">
        <v>3161</v>
      </c>
      <c r="F673" s="21" t="s">
        <v>135</v>
      </c>
      <c r="G673" s="33" t="s">
        <v>42</v>
      </c>
      <c r="H673" s="23" t="s">
        <v>3162</v>
      </c>
      <c r="I673" s="24" t="s">
        <v>20</v>
      </c>
      <c r="J673" s="1" t="str">
        <f t="shared" si="0"/>
        <v>FRIC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6.25" customHeight="1">
      <c r="A674" s="17">
        <f t="shared" si="1"/>
        <v>671</v>
      </c>
      <c r="B674" s="18" t="s">
        <v>1197</v>
      </c>
      <c r="C674" s="19" t="s">
        <v>3163</v>
      </c>
      <c r="D674" s="19" t="s">
        <v>124</v>
      </c>
      <c r="E674" s="20" t="s">
        <v>3164</v>
      </c>
      <c r="F674" s="21" t="s">
        <v>135</v>
      </c>
      <c r="G674" s="33" t="s">
        <v>42</v>
      </c>
      <c r="H674" s="23" t="s">
        <v>3165</v>
      </c>
      <c r="I674" s="24" t="s">
        <v>20</v>
      </c>
      <c r="J674" s="1" t="str">
        <f t="shared" si="0"/>
        <v>FRIC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6.25" hidden="1" customHeight="1">
      <c r="A675" s="17">
        <f t="shared" si="1"/>
        <v>672</v>
      </c>
      <c r="B675" s="18" t="s">
        <v>13</v>
      </c>
      <c r="C675" s="19" t="s">
        <v>1763</v>
      </c>
      <c r="D675" s="19" t="s">
        <v>3166</v>
      </c>
      <c r="E675" s="20" t="s">
        <v>1764</v>
      </c>
      <c r="F675" s="32" t="s">
        <v>3167</v>
      </c>
      <c r="G675" s="22" t="s">
        <v>42</v>
      </c>
      <c r="H675" s="23" t="s">
        <v>3168</v>
      </c>
      <c r="I675" s="34" t="s">
        <v>55</v>
      </c>
      <c r="J675" s="1" t="str">
        <f t="shared" si="0"/>
        <v/>
      </c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</row>
    <row r="676" spans="1:24" ht="26.25" customHeight="1">
      <c r="A676" s="17">
        <f t="shared" si="1"/>
        <v>673</v>
      </c>
      <c r="B676" s="18" t="s">
        <v>37</v>
      </c>
      <c r="C676" s="19" t="s">
        <v>3169</v>
      </c>
      <c r="D676" s="19" t="s">
        <v>3170</v>
      </c>
      <c r="E676" s="20" t="s">
        <v>3171</v>
      </c>
      <c r="F676" s="21" t="s">
        <v>135</v>
      </c>
      <c r="G676" s="22" t="s">
        <v>53</v>
      </c>
      <c r="H676" s="23" t="s">
        <v>3172</v>
      </c>
      <c r="I676" s="24" t="s">
        <v>20</v>
      </c>
      <c r="J676" s="1" t="str">
        <f t="shared" si="0"/>
        <v>FRIC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6.25" hidden="1" customHeight="1">
      <c r="A677" s="17">
        <f t="shared" si="1"/>
        <v>674</v>
      </c>
      <c r="B677" s="18" t="s">
        <v>132</v>
      </c>
      <c r="C677" s="31" t="s">
        <v>3173</v>
      </c>
      <c r="D677" s="19" t="s">
        <v>271</v>
      </c>
      <c r="E677" s="20" t="s">
        <v>3174</v>
      </c>
      <c r="F677" s="32" t="s">
        <v>222</v>
      </c>
      <c r="G677" s="22" t="s">
        <v>42</v>
      </c>
      <c r="H677" s="23" t="s">
        <v>3175</v>
      </c>
      <c r="I677" s="24" t="s">
        <v>55</v>
      </c>
      <c r="J677" s="1" t="str">
        <f t="shared" si="0"/>
        <v/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6.25" hidden="1" customHeight="1">
      <c r="A678" s="17">
        <f t="shared" si="1"/>
        <v>675</v>
      </c>
      <c r="B678" s="18" t="s">
        <v>132</v>
      </c>
      <c r="C678" s="31" t="s">
        <v>344</v>
      </c>
      <c r="D678" s="19" t="s">
        <v>181</v>
      </c>
      <c r="E678" s="20" t="s">
        <v>346</v>
      </c>
      <c r="F678" s="32" t="s">
        <v>163</v>
      </c>
      <c r="G678" s="22" t="s">
        <v>1846</v>
      </c>
      <c r="H678" s="23" t="s">
        <v>3176</v>
      </c>
      <c r="I678" s="24" t="s">
        <v>55</v>
      </c>
      <c r="J678" s="1" t="str">
        <f t="shared" si="0"/>
        <v/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6.25" hidden="1" customHeight="1">
      <c r="A679" s="17">
        <f t="shared" si="1"/>
        <v>676</v>
      </c>
      <c r="B679" s="18" t="s">
        <v>233</v>
      </c>
      <c r="C679" s="31" t="s">
        <v>3177</v>
      </c>
      <c r="D679" s="19" t="s">
        <v>1068</v>
      </c>
      <c r="E679" s="20" t="s">
        <v>3178</v>
      </c>
      <c r="F679" s="32" t="s">
        <v>3179</v>
      </c>
      <c r="G679" s="22" t="s">
        <v>53</v>
      </c>
      <c r="H679" s="23" t="s">
        <v>3180</v>
      </c>
      <c r="I679" s="24" t="s">
        <v>55</v>
      </c>
      <c r="J679" s="1" t="str">
        <f t="shared" si="0"/>
        <v/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6.25" hidden="1" customHeight="1">
      <c r="A680" s="17">
        <f t="shared" si="1"/>
        <v>677</v>
      </c>
      <c r="B680" s="18" t="s">
        <v>146</v>
      </c>
      <c r="C680" s="31" t="s">
        <v>3181</v>
      </c>
      <c r="D680" s="19" t="s">
        <v>3182</v>
      </c>
      <c r="E680" s="20" t="s">
        <v>3183</v>
      </c>
      <c r="F680" s="32" t="s">
        <v>222</v>
      </c>
      <c r="G680" s="33" t="s">
        <v>42</v>
      </c>
      <c r="H680" s="23" t="s">
        <v>3184</v>
      </c>
      <c r="I680" s="24" t="s">
        <v>55</v>
      </c>
      <c r="J680" s="1" t="str">
        <f t="shared" si="0"/>
        <v/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6.25" hidden="1" customHeight="1">
      <c r="A681" s="17">
        <f t="shared" si="1"/>
        <v>678</v>
      </c>
      <c r="B681" s="18" t="s">
        <v>146</v>
      </c>
      <c r="C681" s="31" t="s">
        <v>3185</v>
      </c>
      <c r="D681" s="19" t="s">
        <v>3182</v>
      </c>
      <c r="E681" s="20" t="s">
        <v>3186</v>
      </c>
      <c r="F681" s="32" t="s">
        <v>222</v>
      </c>
      <c r="G681" s="33" t="s">
        <v>42</v>
      </c>
      <c r="H681" s="23" t="s">
        <v>3187</v>
      </c>
      <c r="I681" s="24" t="s">
        <v>55</v>
      </c>
      <c r="J681" s="1" t="str">
        <f t="shared" si="0"/>
        <v/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6.25" hidden="1" customHeight="1">
      <c r="A682" s="17">
        <f t="shared" si="1"/>
        <v>679</v>
      </c>
      <c r="B682" s="18" t="s">
        <v>146</v>
      </c>
      <c r="C682" s="31" t="s">
        <v>3188</v>
      </c>
      <c r="D682" s="19" t="s">
        <v>3182</v>
      </c>
      <c r="E682" s="20" t="s">
        <v>3189</v>
      </c>
      <c r="F682" s="32" t="s">
        <v>222</v>
      </c>
      <c r="G682" s="33" t="s">
        <v>42</v>
      </c>
      <c r="H682" s="23" t="s">
        <v>3190</v>
      </c>
      <c r="I682" s="24" t="s">
        <v>55</v>
      </c>
      <c r="J682" s="1" t="str">
        <f t="shared" si="0"/>
        <v/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6.25" hidden="1" customHeight="1">
      <c r="A683" s="17">
        <f t="shared" si="1"/>
        <v>680</v>
      </c>
      <c r="B683" s="18" t="s">
        <v>146</v>
      </c>
      <c r="C683" s="31" t="s">
        <v>3191</v>
      </c>
      <c r="D683" s="19" t="s">
        <v>3182</v>
      </c>
      <c r="E683" s="20" t="s">
        <v>3192</v>
      </c>
      <c r="F683" s="32" t="s">
        <v>222</v>
      </c>
      <c r="G683" s="33" t="s">
        <v>42</v>
      </c>
      <c r="H683" s="23" t="s">
        <v>3193</v>
      </c>
      <c r="I683" s="24" t="s">
        <v>55</v>
      </c>
      <c r="J683" s="1" t="str">
        <f t="shared" si="0"/>
        <v/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6.25" hidden="1" customHeight="1">
      <c r="A684" s="17">
        <f t="shared" si="1"/>
        <v>681</v>
      </c>
      <c r="B684" s="18" t="s">
        <v>3194</v>
      </c>
      <c r="C684" s="31" t="s">
        <v>3195</v>
      </c>
      <c r="D684" s="19" t="s">
        <v>3196</v>
      </c>
      <c r="E684" s="20" t="s">
        <v>3197</v>
      </c>
      <c r="F684" s="32" t="s">
        <v>3198</v>
      </c>
      <c r="G684" s="33" t="s">
        <v>18</v>
      </c>
      <c r="H684" s="23" t="s">
        <v>3199</v>
      </c>
      <c r="I684" s="24" t="s">
        <v>55</v>
      </c>
      <c r="J684" s="1" t="str">
        <f t="shared" si="0"/>
        <v/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6.25" hidden="1" customHeight="1">
      <c r="A685" s="17">
        <f t="shared" si="1"/>
        <v>682</v>
      </c>
      <c r="B685" s="18" t="s">
        <v>37</v>
      </c>
      <c r="C685" s="31" t="s">
        <v>1228</v>
      </c>
      <c r="D685" s="19" t="s">
        <v>1229</v>
      </c>
      <c r="E685" s="20" t="s">
        <v>1230</v>
      </c>
      <c r="F685" s="32" t="s">
        <v>170</v>
      </c>
      <c r="G685" s="22" t="s">
        <v>53</v>
      </c>
      <c r="H685" s="23" t="s">
        <v>3200</v>
      </c>
      <c r="I685" s="24" t="s">
        <v>55</v>
      </c>
      <c r="J685" s="1" t="str">
        <f t="shared" si="0"/>
        <v/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6.25" hidden="1" customHeight="1">
      <c r="A686" s="17">
        <f t="shared" si="1"/>
        <v>683</v>
      </c>
      <c r="B686" s="18" t="s">
        <v>105</v>
      </c>
      <c r="C686" s="31" t="s">
        <v>3201</v>
      </c>
      <c r="D686" s="19" t="s">
        <v>3202</v>
      </c>
      <c r="E686" s="20" t="s">
        <v>3203</v>
      </c>
      <c r="F686" s="21" t="s">
        <v>126</v>
      </c>
      <c r="G686" s="33" t="s">
        <v>42</v>
      </c>
      <c r="H686" s="23" t="s">
        <v>3204</v>
      </c>
      <c r="I686" s="34" t="s">
        <v>20</v>
      </c>
      <c r="J686" s="1" t="str">
        <f t="shared" si="0"/>
        <v>과기</v>
      </c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</row>
    <row r="687" spans="1:24" ht="26.25" hidden="1" customHeight="1">
      <c r="A687" s="17">
        <f t="shared" si="1"/>
        <v>684</v>
      </c>
      <c r="B687" s="18" t="s">
        <v>105</v>
      </c>
      <c r="C687" s="31" t="s">
        <v>3205</v>
      </c>
      <c r="D687" s="19" t="s">
        <v>3206</v>
      </c>
      <c r="E687" s="20" t="s">
        <v>3207</v>
      </c>
      <c r="F687" s="32" t="s">
        <v>3208</v>
      </c>
      <c r="G687" s="33" t="s">
        <v>31</v>
      </c>
      <c r="H687" s="23" t="s">
        <v>3209</v>
      </c>
      <c r="I687" s="24" t="s">
        <v>55</v>
      </c>
      <c r="J687" s="1" t="str">
        <f t="shared" si="0"/>
        <v/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6.25" customHeight="1">
      <c r="A688" s="17">
        <f t="shared" si="1"/>
        <v>685</v>
      </c>
      <c r="B688" s="18" t="s">
        <v>37</v>
      </c>
      <c r="C688" s="19" t="s">
        <v>3210</v>
      </c>
      <c r="D688" s="19" t="s">
        <v>1058</v>
      </c>
      <c r="E688" s="20" t="s">
        <v>3211</v>
      </c>
      <c r="F688" s="21" t="s">
        <v>135</v>
      </c>
      <c r="G688" s="22" t="s">
        <v>42</v>
      </c>
      <c r="H688" s="23" t="s">
        <v>3212</v>
      </c>
      <c r="I688" s="24" t="s">
        <v>20</v>
      </c>
      <c r="J688" s="1" t="str">
        <f t="shared" si="0"/>
        <v>FRIC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6.25" hidden="1" customHeight="1">
      <c r="A689" s="17">
        <f t="shared" si="1"/>
        <v>686</v>
      </c>
      <c r="B689" s="18" t="s">
        <v>248</v>
      </c>
      <c r="C689" s="83" t="s">
        <v>1470</v>
      </c>
      <c r="D689" s="83" t="s">
        <v>196</v>
      </c>
      <c r="E689" s="43" t="s">
        <v>1471</v>
      </c>
      <c r="F689" s="44" t="s">
        <v>4945</v>
      </c>
      <c r="G689" s="22" t="s">
        <v>42</v>
      </c>
      <c r="H689" s="59" t="s">
        <v>3214</v>
      </c>
      <c r="I689" s="34" t="s">
        <v>55</v>
      </c>
      <c r="J689" s="1" t="str">
        <f t="shared" si="0"/>
        <v/>
      </c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</row>
    <row r="690" spans="1:24" ht="26.25" customHeight="1">
      <c r="A690" s="17">
        <f t="shared" si="1"/>
        <v>687</v>
      </c>
      <c r="B690" s="18" t="s">
        <v>132</v>
      </c>
      <c r="C690" s="19" t="s">
        <v>3215</v>
      </c>
      <c r="D690" s="19" t="s">
        <v>1058</v>
      </c>
      <c r="E690" s="20" t="s">
        <v>3216</v>
      </c>
      <c r="F690" s="21" t="s">
        <v>135</v>
      </c>
      <c r="G690" s="22" t="s">
        <v>42</v>
      </c>
      <c r="H690" s="23" t="s">
        <v>3217</v>
      </c>
      <c r="I690" s="24" t="s">
        <v>20</v>
      </c>
      <c r="J690" s="1" t="str">
        <f t="shared" si="0"/>
        <v>FRIC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6.25" customHeight="1">
      <c r="A691" s="17">
        <f t="shared" si="1"/>
        <v>688</v>
      </c>
      <c r="B691" s="18" t="s">
        <v>13</v>
      </c>
      <c r="C691" s="19" t="s">
        <v>3218</v>
      </c>
      <c r="D691" s="19" t="s">
        <v>124</v>
      </c>
      <c r="E691" s="20" t="s">
        <v>3219</v>
      </c>
      <c r="F691" s="21" t="s">
        <v>135</v>
      </c>
      <c r="G691" s="22" t="s">
        <v>42</v>
      </c>
      <c r="H691" s="23" t="s">
        <v>3220</v>
      </c>
      <c r="I691" s="24" t="s">
        <v>20</v>
      </c>
      <c r="J691" s="1" t="str">
        <f t="shared" si="0"/>
        <v>FRIC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6.25" customHeight="1">
      <c r="A692" s="17">
        <f t="shared" si="1"/>
        <v>689</v>
      </c>
      <c r="B692" s="18" t="s">
        <v>175</v>
      </c>
      <c r="C692" s="19" t="s">
        <v>3221</v>
      </c>
      <c r="D692" s="19" t="s">
        <v>141</v>
      </c>
      <c r="E692" s="20" t="s">
        <v>3222</v>
      </c>
      <c r="F692" s="21" t="s">
        <v>905</v>
      </c>
      <c r="G692" s="33" t="s">
        <v>42</v>
      </c>
      <c r="H692" s="23" t="s">
        <v>3223</v>
      </c>
      <c r="I692" s="24" t="s">
        <v>20</v>
      </c>
      <c r="J692" s="1" t="str">
        <f t="shared" si="0"/>
        <v>FRIC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6.25" hidden="1" customHeight="1">
      <c r="A693" s="17">
        <f t="shared" si="1"/>
        <v>690</v>
      </c>
      <c r="B693" s="18" t="s">
        <v>13</v>
      </c>
      <c r="C693" s="31" t="s">
        <v>180</v>
      </c>
      <c r="D693" s="19" t="s">
        <v>1045</v>
      </c>
      <c r="E693" s="20" t="s">
        <v>182</v>
      </c>
      <c r="F693" s="32" t="s">
        <v>222</v>
      </c>
      <c r="G693" s="22" t="s">
        <v>53</v>
      </c>
      <c r="H693" s="23" t="s">
        <v>3224</v>
      </c>
      <c r="I693" s="24" t="s">
        <v>55</v>
      </c>
      <c r="J693" s="1" t="str">
        <f t="shared" si="0"/>
        <v/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6.25" customHeight="1">
      <c r="A694" s="17">
        <f t="shared" si="1"/>
        <v>691</v>
      </c>
      <c r="B694" s="18" t="s">
        <v>248</v>
      </c>
      <c r="C694" s="19" t="s">
        <v>3225</v>
      </c>
      <c r="D694" s="19" t="s">
        <v>124</v>
      </c>
      <c r="E694" s="20" t="s">
        <v>3226</v>
      </c>
      <c r="F694" s="21" t="s">
        <v>135</v>
      </c>
      <c r="G694" s="33" t="s">
        <v>42</v>
      </c>
      <c r="H694" s="23" t="s">
        <v>3227</v>
      </c>
      <c r="I694" s="24" t="s">
        <v>20</v>
      </c>
      <c r="J694" s="1" t="str">
        <f t="shared" si="0"/>
        <v>FRIC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6.25" customHeight="1">
      <c r="A695" s="17">
        <f t="shared" si="1"/>
        <v>692</v>
      </c>
      <c r="B695" s="18" t="s">
        <v>3194</v>
      </c>
      <c r="C695" s="19" t="s">
        <v>3228</v>
      </c>
      <c r="D695" s="19" t="s">
        <v>3229</v>
      </c>
      <c r="E695" s="20" t="s">
        <v>3230</v>
      </c>
      <c r="F695" s="21" t="s">
        <v>135</v>
      </c>
      <c r="G695" s="33" t="s">
        <v>2018</v>
      </c>
      <c r="H695" s="23" t="s">
        <v>3231</v>
      </c>
      <c r="I695" s="24" t="s">
        <v>20</v>
      </c>
      <c r="J695" s="1" t="str">
        <f t="shared" si="0"/>
        <v>FRIC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6.25" hidden="1" customHeight="1">
      <c r="A696" s="17">
        <f t="shared" si="1"/>
        <v>693</v>
      </c>
      <c r="B696" s="18" t="s">
        <v>13</v>
      </c>
      <c r="C696" s="31" t="s">
        <v>3232</v>
      </c>
      <c r="D696" s="19" t="s">
        <v>124</v>
      </c>
      <c r="E696" s="20" t="s">
        <v>3233</v>
      </c>
      <c r="F696" s="32" t="s">
        <v>3234</v>
      </c>
      <c r="G696" s="22" t="s">
        <v>18</v>
      </c>
      <c r="H696" s="23" t="s">
        <v>3235</v>
      </c>
      <c r="I696" s="24" t="s">
        <v>55</v>
      </c>
      <c r="J696" s="1" t="str">
        <f t="shared" si="0"/>
        <v/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6.25" customHeight="1">
      <c r="A697" s="17">
        <f t="shared" si="1"/>
        <v>694</v>
      </c>
      <c r="B697" s="18" t="s">
        <v>27</v>
      </c>
      <c r="C697" s="19" t="s">
        <v>3236</v>
      </c>
      <c r="D697" s="19" t="s">
        <v>3237</v>
      </c>
      <c r="E697" s="20" t="s">
        <v>3238</v>
      </c>
      <c r="F697" s="21" t="s">
        <v>135</v>
      </c>
      <c r="G697" s="22" t="s">
        <v>42</v>
      </c>
      <c r="H697" s="23" t="s">
        <v>3239</v>
      </c>
      <c r="I697" s="24" t="s">
        <v>20</v>
      </c>
      <c r="J697" s="1" t="str">
        <f t="shared" si="0"/>
        <v>FRIC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6.25" hidden="1" customHeight="1">
      <c r="A698" s="17">
        <f t="shared" si="1"/>
        <v>695</v>
      </c>
      <c r="B698" s="18" t="s">
        <v>37</v>
      </c>
      <c r="C698" s="19" t="s">
        <v>3240</v>
      </c>
      <c r="D698" s="19" t="s">
        <v>1776</v>
      </c>
      <c r="E698" s="20" t="s">
        <v>3241</v>
      </c>
      <c r="F698" s="21" t="s">
        <v>135</v>
      </c>
      <c r="G698" s="22" t="s">
        <v>42</v>
      </c>
      <c r="H698" s="23" t="s">
        <v>3242</v>
      </c>
      <c r="I698" s="24" t="s">
        <v>20</v>
      </c>
      <c r="J698" s="1" t="str">
        <f t="shared" si="0"/>
        <v>과기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6.25" hidden="1" customHeight="1">
      <c r="A699" s="17">
        <f t="shared" si="1"/>
        <v>696</v>
      </c>
      <c r="B699" s="18" t="s">
        <v>13</v>
      </c>
      <c r="C699" s="31" t="s">
        <v>3243</v>
      </c>
      <c r="D699" s="19" t="s">
        <v>124</v>
      </c>
      <c r="E699" s="20" t="s">
        <v>3244</v>
      </c>
      <c r="F699" s="32" t="s">
        <v>222</v>
      </c>
      <c r="G699" s="22" t="s">
        <v>42</v>
      </c>
      <c r="H699" s="23" t="s">
        <v>3245</v>
      </c>
      <c r="I699" s="24" t="s">
        <v>55</v>
      </c>
      <c r="J699" s="1" t="str">
        <f t="shared" si="0"/>
        <v/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6.25" hidden="1" customHeight="1">
      <c r="A700" s="17">
        <f t="shared" si="1"/>
        <v>697</v>
      </c>
      <c r="B700" s="18" t="s">
        <v>105</v>
      </c>
      <c r="C700" s="31" t="s">
        <v>3246</v>
      </c>
      <c r="D700" s="19" t="s">
        <v>3247</v>
      </c>
      <c r="E700" s="20" t="s">
        <v>3248</v>
      </c>
      <c r="F700" s="32" t="s">
        <v>3249</v>
      </c>
      <c r="G700" s="33" t="s">
        <v>53</v>
      </c>
      <c r="H700" s="23" t="s">
        <v>3250</v>
      </c>
      <c r="I700" s="24" t="s">
        <v>55</v>
      </c>
      <c r="J700" s="1" t="str">
        <f t="shared" si="0"/>
        <v/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6.25" hidden="1" customHeight="1">
      <c r="A701" s="17">
        <f t="shared" si="1"/>
        <v>698</v>
      </c>
      <c r="B701" s="18" t="s">
        <v>27</v>
      </c>
      <c r="C701" s="31" t="s">
        <v>3251</v>
      </c>
      <c r="D701" s="19" t="s">
        <v>3252</v>
      </c>
      <c r="E701" s="20" t="s">
        <v>3253</v>
      </c>
      <c r="F701" s="32" t="s">
        <v>1101</v>
      </c>
      <c r="G701" s="22" t="s">
        <v>42</v>
      </c>
      <c r="H701" s="23" t="s">
        <v>3254</v>
      </c>
      <c r="I701" s="24" t="s">
        <v>55</v>
      </c>
      <c r="J701" s="1" t="str">
        <f t="shared" si="0"/>
        <v/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6.25" hidden="1" customHeight="1">
      <c r="A702" s="17">
        <f t="shared" si="1"/>
        <v>699</v>
      </c>
      <c r="B702" s="18" t="s">
        <v>175</v>
      </c>
      <c r="C702" s="31" t="s">
        <v>3255</v>
      </c>
      <c r="D702" s="19" t="s">
        <v>3256</v>
      </c>
      <c r="E702" s="20" t="s">
        <v>3257</v>
      </c>
      <c r="F702" s="32" t="s">
        <v>3258</v>
      </c>
      <c r="G702" s="33" t="s">
        <v>42</v>
      </c>
      <c r="H702" s="23" t="s">
        <v>3259</v>
      </c>
      <c r="I702" s="24" t="s">
        <v>55</v>
      </c>
      <c r="J702" s="1" t="str">
        <f t="shared" si="0"/>
        <v/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6.25" hidden="1" customHeight="1">
      <c r="A703" s="17">
        <f t="shared" si="1"/>
        <v>700</v>
      </c>
      <c r="B703" s="18" t="s">
        <v>48</v>
      </c>
      <c r="C703" s="31" t="s">
        <v>3260</v>
      </c>
      <c r="D703" s="19" t="s">
        <v>3261</v>
      </c>
      <c r="E703" s="20" t="s">
        <v>671</v>
      </c>
      <c r="F703" s="32" t="s">
        <v>496</v>
      </c>
      <c r="G703" s="33" t="s">
        <v>53</v>
      </c>
      <c r="H703" s="23" t="s">
        <v>3262</v>
      </c>
      <c r="I703" s="24" t="s">
        <v>55</v>
      </c>
      <c r="J703" s="1" t="str">
        <f t="shared" si="0"/>
        <v/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6.25" customHeight="1">
      <c r="A704" s="17">
        <f t="shared" si="1"/>
        <v>701</v>
      </c>
      <c r="B704" s="18" t="s">
        <v>27</v>
      </c>
      <c r="C704" s="19" t="s">
        <v>3263</v>
      </c>
      <c r="D704" s="19" t="s">
        <v>3264</v>
      </c>
      <c r="E704" s="20" t="s">
        <v>3265</v>
      </c>
      <c r="F704" s="21" t="s">
        <v>3266</v>
      </c>
      <c r="G704" s="22" t="s">
        <v>53</v>
      </c>
      <c r="H704" s="23" t="s">
        <v>3267</v>
      </c>
      <c r="I704" s="24" t="s">
        <v>20</v>
      </c>
      <c r="J704" s="1" t="str">
        <f t="shared" si="0"/>
        <v>FRIC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6.25" customHeight="1">
      <c r="A705" s="17">
        <f t="shared" si="1"/>
        <v>702</v>
      </c>
      <c r="B705" s="18" t="s">
        <v>37</v>
      </c>
      <c r="C705" s="19" t="s">
        <v>3268</v>
      </c>
      <c r="D705" s="19" t="s">
        <v>2664</v>
      </c>
      <c r="E705" s="20" t="s">
        <v>3269</v>
      </c>
      <c r="F705" s="21" t="s">
        <v>135</v>
      </c>
      <c r="G705" s="22" t="s">
        <v>53</v>
      </c>
      <c r="H705" s="23" t="s">
        <v>3270</v>
      </c>
      <c r="I705" s="24" t="s">
        <v>20</v>
      </c>
      <c r="J705" s="1" t="str">
        <f t="shared" si="0"/>
        <v>FRIC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6.25" customHeight="1">
      <c r="A706" s="17">
        <f t="shared" si="1"/>
        <v>703</v>
      </c>
      <c r="B706" s="18" t="s">
        <v>132</v>
      </c>
      <c r="C706" s="19" t="s">
        <v>3271</v>
      </c>
      <c r="D706" s="19" t="s">
        <v>3272</v>
      </c>
      <c r="E706" s="20" t="s">
        <v>3273</v>
      </c>
      <c r="F706" s="21" t="s">
        <v>135</v>
      </c>
      <c r="G706" s="22" t="s">
        <v>42</v>
      </c>
      <c r="H706" s="23" t="s">
        <v>3274</v>
      </c>
      <c r="I706" s="24" t="s">
        <v>20</v>
      </c>
      <c r="J706" s="1" t="str">
        <f t="shared" si="0"/>
        <v>FRIC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6.25" hidden="1" customHeight="1">
      <c r="A707" s="17">
        <f t="shared" si="1"/>
        <v>704</v>
      </c>
      <c r="B707" s="18" t="s">
        <v>1375</v>
      </c>
      <c r="C707" s="31" t="s">
        <v>3275</v>
      </c>
      <c r="D707" s="19" t="s">
        <v>3276</v>
      </c>
      <c r="E707" s="20" t="s">
        <v>3277</v>
      </c>
      <c r="F707" s="32" t="s">
        <v>3278</v>
      </c>
      <c r="G707" s="22" t="s">
        <v>53</v>
      </c>
      <c r="H707" s="23" t="s">
        <v>3279</v>
      </c>
      <c r="I707" s="24" t="s">
        <v>55</v>
      </c>
      <c r="J707" s="1" t="str">
        <f t="shared" si="0"/>
        <v/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6.25" customHeight="1">
      <c r="A708" s="17">
        <f t="shared" si="1"/>
        <v>705</v>
      </c>
      <c r="B708" s="18" t="s">
        <v>1368</v>
      </c>
      <c r="C708" s="19" t="s">
        <v>3280</v>
      </c>
      <c r="D708" s="19" t="s">
        <v>332</v>
      </c>
      <c r="E708" s="20" t="s">
        <v>3281</v>
      </c>
      <c r="F708" s="21" t="s">
        <v>135</v>
      </c>
      <c r="G708" s="33" t="s">
        <v>3282</v>
      </c>
      <c r="H708" s="23" t="s">
        <v>3283</v>
      </c>
      <c r="I708" s="24" t="s">
        <v>20</v>
      </c>
      <c r="J708" s="1" t="str">
        <f t="shared" si="0"/>
        <v>FRIC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6.25" customHeight="1">
      <c r="A709" s="17">
        <f t="shared" si="1"/>
        <v>706</v>
      </c>
      <c r="B709" s="18" t="s">
        <v>248</v>
      </c>
      <c r="C709" s="19" t="s">
        <v>3284</v>
      </c>
      <c r="D709" s="19" t="s">
        <v>3285</v>
      </c>
      <c r="E709" s="20" t="s">
        <v>3286</v>
      </c>
      <c r="F709" s="21" t="s">
        <v>1005</v>
      </c>
      <c r="G709" s="33" t="s">
        <v>42</v>
      </c>
      <c r="H709" s="23" t="s">
        <v>3287</v>
      </c>
      <c r="I709" s="24" t="s">
        <v>20</v>
      </c>
      <c r="J709" s="1" t="str">
        <f t="shared" si="0"/>
        <v>FRIC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6.25" hidden="1" customHeight="1">
      <c r="A710" s="17">
        <f t="shared" si="1"/>
        <v>707</v>
      </c>
      <c r="B710" s="18" t="s">
        <v>27</v>
      </c>
      <c r="C710" s="31" t="s">
        <v>3288</v>
      </c>
      <c r="D710" s="19" t="s">
        <v>2603</v>
      </c>
      <c r="E710" s="20" t="s">
        <v>3289</v>
      </c>
      <c r="F710" s="32">
        <v>2013</v>
      </c>
      <c r="G710" s="22" t="s">
        <v>42</v>
      </c>
      <c r="H710" s="23" t="s">
        <v>3290</v>
      </c>
      <c r="I710" s="24" t="s">
        <v>55</v>
      </c>
      <c r="J710" s="1" t="str">
        <f t="shared" si="0"/>
        <v/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6.25" customHeight="1">
      <c r="A711" s="17">
        <f t="shared" si="1"/>
        <v>708</v>
      </c>
      <c r="B711" s="18" t="s">
        <v>37</v>
      </c>
      <c r="C711" s="19" t="s">
        <v>3291</v>
      </c>
      <c r="D711" s="19" t="s">
        <v>141</v>
      </c>
      <c r="E711" s="20" t="s">
        <v>3292</v>
      </c>
      <c r="F711" s="21" t="s">
        <v>2523</v>
      </c>
      <c r="G711" s="22" t="s">
        <v>42</v>
      </c>
      <c r="H711" s="23" t="s">
        <v>3293</v>
      </c>
      <c r="I711" s="24" t="s">
        <v>20</v>
      </c>
      <c r="J711" s="1" t="str">
        <f t="shared" si="0"/>
        <v>FRIC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6.25" hidden="1" customHeight="1">
      <c r="A712" s="17">
        <f t="shared" si="1"/>
        <v>709</v>
      </c>
      <c r="B712" s="18" t="s">
        <v>233</v>
      </c>
      <c r="C712" s="31" t="s">
        <v>3294</v>
      </c>
      <c r="D712" s="19" t="s">
        <v>45</v>
      </c>
      <c r="E712" s="20" t="s">
        <v>3295</v>
      </c>
      <c r="F712" s="32" t="s">
        <v>222</v>
      </c>
      <c r="G712" s="22" t="s">
        <v>42</v>
      </c>
      <c r="H712" s="23" t="s">
        <v>3296</v>
      </c>
      <c r="I712" s="24" t="s">
        <v>55</v>
      </c>
      <c r="J712" s="1" t="str">
        <f t="shared" si="0"/>
        <v/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6.25" hidden="1" customHeight="1">
      <c r="A713" s="17">
        <f t="shared" si="1"/>
        <v>710</v>
      </c>
      <c r="B713" s="18" t="s">
        <v>175</v>
      </c>
      <c r="C713" s="31" t="s">
        <v>3297</v>
      </c>
      <c r="D713" s="19" t="s">
        <v>3298</v>
      </c>
      <c r="E713" s="20" t="s">
        <v>3299</v>
      </c>
      <c r="F713" s="32" t="s">
        <v>3300</v>
      </c>
      <c r="G713" s="33" t="s">
        <v>42</v>
      </c>
      <c r="H713" s="23" t="s">
        <v>3301</v>
      </c>
      <c r="I713" s="24" t="s">
        <v>55</v>
      </c>
      <c r="J713" s="1" t="str">
        <f t="shared" si="0"/>
        <v/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6.25" hidden="1" customHeight="1">
      <c r="A714" s="17">
        <f t="shared" si="1"/>
        <v>711</v>
      </c>
      <c r="B714" s="18" t="s">
        <v>105</v>
      </c>
      <c r="C714" s="31" t="s">
        <v>3302</v>
      </c>
      <c r="D714" s="19" t="s">
        <v>3303</v>
      </c>
      <c r="E714" s="20" t="s">
        <v>3304</v>
      </c>
      <c r="F714" s="32" t="s">
        <v>252</v>
      </c>
      <c r="G714" s="33" t="s">
        <v>42</v>
      </c>
      <c r="H714" s="23" t="s">
        <v>3305</v>
      </c>
      <c r="I714" s="24" t="s">
        <v>55</v>
      </c>
      <c r="J714" s="1" t="str">
        <f t="shared" si="0"/>
        <v/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6.25" hidden="1" customHeight="1">
      <c r="A715" s="17">
        <f t="shared" si="1"/>
        <v>712</v>
      </c>
      <c r="B715" s="18" t="s">
        <v>105</v>
      </c>
      <c r="C715" s="31" t="s">
        <v>3306</v>
      </c>
      <c r="D715" s="19" t="s">
        <v>2636</v>
      </c>
      <c r="E715" s="20" t="s">
        <v>3307</v>
      </c>
      <c r="F715" s="21" t="s">
        <v>3308</v>
      </c>
      <c r="G715" s="33" t="s">
        <v>42</v>
      </c>
      <c r="H715" s="23" t="s">
        <v>3309</v>
      </c>
      <c r="I715" s="34" t="s">
        <v>20</v>
      </c>
      <c r="J715" s="1" t="str">
        <f t="shared" si="0"/>
        <v>과기</v>
      </c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</row>
    <row r="716" spans="1:24" ht="26.25" hidden="1" customHeight="1">
      <c r="A716" s="17">
        <f t="shared" si="1"/>
        <v>713</v>
      </c>
      <c r="B716" s="18" t="s">
        <v>105</v>
      </c>
      <c r="C716" s="31" t="s">
        <v>3310</v>
      </c>
      <c r="D716" s="19" t="s">
        <v>3046</v>
      </c>
      <c r="E716" s="20" t="s">
        <v>3311</v>
      </c>
      <c r="F716" s="21" t="s">
        <v>3312</v>
      </c>
      <c r="G716" s="33" t="s">
        <v>42</v>
      </c>
      <c r="H716" s="23" t="s">
        <v>3313</v>
      </c>
      <c r="I716" s="34" t="s">
        <v>20</v>
      </c>
      <c r="J716" s="1" t="str">
        <f t="shared" si="0"/>
        <v>과기</v>
      </c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</row>
    <row r="717" spans="1:24" ht="26.25" hidden="1" customHeight="1">
      <c r="A717" s="17">
        <f t="shared" si="1"/>
        <v>714</v>
      </c>
      <c r="B717" s="18" t="s">
        <v>105</v>
      </c>
      <c r="C717" s="31" t="s">
        <v>3314</v>
      </c>
      <c r="D717" s="19" t="s">
        <v>3206</v>
      </c>
      <c r="E717" s="20" t="s">
        <v>3315</v>
      </c>
      <c r="F717" s="21" t="s">
        <v>3316</v>
      </c>
      <c r="G717" s="33" t="s">
        <v>42</v>
      </c>
      <c r="H717" s="23" t="s">
        <v>3317</v>
      </c>
      <c r="I717" s="34" t="s">
        <v>20</v>
      </c>
      <c r="J717" s="1" t="str">
        <f t="shared" si="0"/>
        <v>과기</v>
      </c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</row>
    <row r="718" spans="1:24" ht="26.25" hidden="1" customHeight="1">
      <c r="A718" s="17">
        <f t="shared" si="1"/>
        <v>715</v>
      </c>
      <c r="B718" s="18" t="s">
        <v>13</v>
      </c>
      <c r="C718" s="19" t="s">
        <v>3318</v>
      </c>
      <c r="D718" s="19" t="s">
        <v>3319</v>
      </c>
      <c r="E718" s="20" t="s">
        <v>3320</v>
      </c>
      <c r="F718" s="21" t="s">
        <v>2523</v>
      </c>
      <c r="G718" s="33" t="s">
        <v>53</v>
      </c>
      <c r="H718" s="23" t="s">
        <v>3321</v>
      </c>
      <c r="I718" s="24" t="s">
        <v>20</v>
      </c>
      <c r="J718" s="1" t="str">
        <f t="shared" si="0"/>
        <v>과기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6.25" customHeight="1">
      <c r="A719" s="17">
        <f t="shared" si="1"/>
        <v>716</v>
      </c>
      <c r="B719" s="18" t="s">
        <v>13</v>
      </c>
      <c r="C719" s="19" t="s">
        <v>3322</v>
      </c>
      <c r="D719" s="19" t="s">
        <v>3323</v>
      </c>
      <c r="E719" s="20" t="s">
        <v>3324</v>
      </c>
      <c r="F719" s="21" t="s">
        <v>1075</v>
      </c>
      <c r="G719" s="22" t="s">
        <v>2552</v>
      </c>
      <c r="H719" s="23" t="s">
        <v>3325</v>
      </c>
      <c r="I719" s="24" t="s">
        <v>20</v>
      </c>
      <c r="J719" s="1" t="str">
        <f t="shared" si="0"/>
        <v>FRIC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6.25" hidden="1" customHeight="1">
      <c r="A720" s="17">
        <f t="shared" si="1"/>
        <v>717</v>
      </c>
      <c r="B720" s="18" t="s">
        <v>105</v>
      </c>
      <c r="C720" s="31" t="s">
        <v>3326</v>
      </c>
      <c r="D720" s="19" t="s">
        <v>2501</v>
      </c>
      <c r="E720" s="20" t="s">
        <v>58</v>
      </c>
      <c r="F720" s="32" t="s">
        <v>3327</v>
      </c>
      <c r="G720" s="33" t="s">
        <v>42</v>
      </c>
      <c r="H720" s="23" t="s">
        <v>3328</v>
      </c>
      <c r="I720" s="24" t="s">
        <v>55</v>
      </c>
      <c r="J720" s="1" t="str">
        <f t="shared" si="0"/>
        <v/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6.25" hidden="1" customHeight="1">
      <c r="A721" s="17">
        <f t="shared" si="1"/>
        <v>718</v>
      </c>
      <c r="B721" s="18" t="s">
        <v>105</v>
      </c>
      <c r="C721" s="31" t="s">
        <v>3329</v>
      </c>
      <c r="D721" s="19" t="s">
        <v>1338</v>
      </c>
      <c r="E721" s="20" t="s">
        <v>3330</v>
      </c>
      <c r="F721" s="32" t="s">
        <v>3331</v>
      </c>
      <c r="G721" s="33" t="s">
        <v>42</v>
      </c>
      <c r="H721" s="23" t="s">
        <v>3332</v>
      </c>
      <c r="I721" s="24" t="s">
        <v>55</v>
      </c>
      <c r="J721" s="1" t="str">
        <f t="shared" si="0"/>
        <v/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6.25" hidden="1" customHeight="1">
      <c r="A722" s="17">
        <f t="shared" si="1"/>
        <v>719</v>
      </c>
      <c r="B722" s="18" t="s">
        <v>13</v>
      </c>
      <c r="C722" s="31" t="s">
        <v>3333</v>
      </c>
      <c r="D722" s="19" t="s">
        <v>3334</v>
      </c>
      <c r="E722" s="20" t="s">
        <v>937</v>
      </c>
      <c r="F722" s="32" t="s">
        <v>170</v>
      </c>
      <c r="G722" s="33" t="s">
        <v>42</v>
      </c>
      <c r="H722" s="23" t="s">
        <v>3335</v>
      </c>
      <c r="I722" s="24" t="s">
        <v>55</v>
      </c>
      <c r="J722" s="1" t="str">
        <f t="shared" si="0"/>
        <v/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6.25" hidden="1" customHeight="1">
      <c r="A723" s="17">
        <f t="shared" si="1"/>
        <v>720</v>
      </c>
      <c r="B723" s="18" t="s">
        <v>105</v>
      </c>
      <c r="C723" s="31" t="s">
        <v>3336</v>
      </c>
      <c r="D723" s="19" t="s">
        <v>2455</v>
      </c>
      <c r="E723" s="20" t="s">
        <v>3337</v>
      </c>
      <c r="F723" s="32" t="s">
        <v>3338</v>
      </c>
      <c r="G723" s="33" t="s">
        <v>42</v>
      </c>
      <c r="H723" s="23" t="s">
        <v>3339</v>
      </c>
      <c r="I723" s="24" t="s">
        <v>55</v>
      </c>
      <c r="J723" s="1" t="str">
        <f t="shared" si="0"/>
        <v/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6.25" hidden="1" customHeight="1">
      <c r="A724" s="17">
        <f t="shared" si="1"/>
        <v>721</v>
      </c>
      <c r="B724" s="18" t="s">
        <v>105</v>
      </c>
      <c r="C724" s="31" t="s">
        <v>3340</v>
      </c>
      <c r="D724" s="19" t="s">
        <v>124</v>
      </c>
      <c r="E724" s="20" t="s">
        <v>3341</v>
      </c>
      <c r="F724" s="21" t="s">
        <v>2062</v>
      </c>
      <c r="G724" s="33" t="s">
        <v>63</v>
      </c>
      <c r="H724" s="23" t="s">
        <v>3342</v>
      </c>
      <c r="I724" s="34" t="s">
        <v>20</v>
      </c>
      <c r="J724" s="1" t="str">
        <f t="shared" si="0"/>
        <v>과기</v>
      </c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</row>
    <row r="725" spans="1:24" ht="26.25" hidden="1" customHeight="1">
      <c r="A725" s="17">
        <f t="shared" si="1"/>
        <v>722</v>
      </c>
      <c r="B725" s="18" t="s">
        <v>27</v>
      </c>
      <c r="C725" s="31" t="s">
        <v>3343</v>
      </c>
      <c r="D725" s="19" t="s">
        <v>3344</v>
      </c>
      <c r="E725" s="20" t="s">
        <v>991</v>
      </c>
      <c r="F725" s="32" t="s">
        <v>170</v>
      </c>
      <c r="G725" s="22" t="s">
        <v>53</v>
      </c>
      <c r="H725" s="23" t="s">
        <v>3345</v>
      </c>
      <c r="I725" s="24" t="s">
        <v>55</v>
      </c>
      <c r="J725" s="1" t="str">
        <f t="shared" si="0"/>
        <v/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6.25" hidden="1" customHeight="1">
      <c r="A726" s="17">
        <f t="shared" si="1"/>
        <v>723</v>
      </c>
      <c r="B726" s="18" t="s">
        <v>27</v>
      </c>
      <c r="C726" s="31" t="s">
        <v>3346</v>
      </c>
      <c r="D726" s="19" t="s">
        <v>246</v>
      </c>
      <c r="E726" s="20" t="s">
        <v>247</v>
      </c>
      <c r="F726" s="32" t="s">
        <v>3347</v>
      </c>
      <c r="G726" s="22" t="s">
        <v>1086</v>
      </c>
      <c r="H726" s="23" t="s">
        <v>3348</v>
      </c>
      <c r="I726" s="24" t="s">
        <v>55</v>
      </c>
      <c r="J726" s="1" t="str">
        <f t="shared" si="0"/>
        <v/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6.25" hidden="1" customHeight="1">
      <c r="A727" s="17">
        <f t="shared" si="1"/>
        <v>724</v>
      </c>
      <c r="B727" s="18" t="s">
        <v>105</v>
      </c>
      <c r="C727" s="31" t="s">
        <v>3349</v>
      </c>
      <c r="D727" s="19" t="s">
        <v>3350</v>
      </c>
      <c r="E727" s="20" t="s">
        <v>3351</v>
      </c>
      <c r="F727" s="21" t="s">
        <v>3352</v>
      </c>
      <c r="G727" s="33" t="s">
        <v>1086</v>
      </c>
      <c r="H727" s="23" t="s">
        <v>3353</v>
      </c>
      <c r="I727" s="34" t="s">
        <v>20</v>
      </c>
      <c r="J727" s="1" t="str">
        <f t="shared" si="0"/>
        <v>과기</v>
      </c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</row>
    <row r="728" spans="1:24" ht="26.25" hidden="1" customHeight="1">
      <c r="A728" s="17">
        <f t="shared" si="1"/>
        <v>725</v>
      </c>
      <c r="B728" s="18" t="s">
        <v>13</v>
      </c>
      <c r="C728" s="31" t="s">
        <v>800</v>
      </c>
      <c r="D728" s="19" t="s">
        <v>3354</v>
      </c>
      <c r="E728" s="20" t="s">
        <v>802</v>
      </c>
      <c r="F728" s="32" t="s">
        <v>170</v>
      </c>
      <c r="G728" s="22" t="s">
        <v>63</v>
      </c>
      <c r="H728" s="23" t="s">
        <v>3355</v>
      </c>
      <c r="I728" s="24" t="s">
        <v>55</v>
      </c>
      <c r="J728" s="1" t="str">
        <f t="shared" si="0"/>
        <v/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6.25" hidden="1" customHeight="1">
      <c r="A729" s="17">
        <f t="shared" si="1"/>
        <v>726</v>
      </c>
      <c r="B729" s="18" t="s">
        <v>81</v>
      </c>
      <c r="C729" s="31" t="s">
        <v>3356</v>
      </c>
      <c r="D729" s="19" t="s">
        <v>271</v>
      </c>
      <c r="E729" s="20" t="s">
        <v>3357</v>
      </c>
      <c r="F729" s="32" t="s">
        <v>3358</v>
      </c>
      <c r="G729" s="33" t="s">
        <v>42</v>
      </c>
      <c r="H729" s="23" t="s">
        <v>3359</v>
      </c>
      <c r="I729" s="24" t="s">
        <v>55</v>
      </c>
      <c r="J729" s="1" t="str">
        <f t="shared" si="0"/>
        <v/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6.25" hidden="1" customHeight="1">
      <c r="A730" s="17">
        <f t="shared" si="1"/>
        <v>727</v>
      </c>
      <c r="B730" s="18" t="s">
        <v>233</v>
      </c>
      <c r="C730" s="19" t="s">
        <v>3360</v>
      </c>
      <c r="D730" s="19" t="s">
        <v>141</v>
      </c>
      <c r="E730" s="20" t="s">
        <v>3361</v>
      </c>
      <c r="F730" s="21" t="s">
        <v>293</v>
      </c>
      <c r="G730" s="22" t="s">
        <v>42</v>
      </c>
      <c r="H730" s="23" t="s">
        <v>3362</v>
      </c>
      <c r="I730" s="24" t="s">
        <v>20</v>
      </c>
      <c r="J730" s="1" t="str">
        <f t="shared" si="0"/>
        <v>과기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6.25" hidden="1" customHeight="1">
      <c r="A731" s="17">
        <f t="shared" si="1"/>
        <v>728</v>
      </c>
      <c r="B731" s="18" t="s">
        <v>132</v>
      </c>
      <c r="C731" s="31" t="s">
        <v>3363</v>
      </c>
      <c r="D731" s="19" t="s">
        <v>1068</v>
      </c>
      <c r="E731" s="20" t="s">
        <v>3364</v>
      </c>
      <c r="F731" s="32" t="s">
        <v>222</v>
      </c>
      <c r="G731" s="22" t="s">
        <v>42</v>
      </c>
      <c r="H731" s="23" t="s">
        <v>3365</v>
      </c>
      <c r="I731" s="24" t="s">
        <v>55</v>
      </c>
      <c r="J731" s="1" t="str">
        <f t="shared" si="0"/>
        <v/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6.25" customHeight="1">
      <c r="A732" s="17">
        <f t="shared" si="1"/>
        <v>729</v>
      </c>
      <c r="B732" s="18" t="s">
        <v>37</v>
      </c>
      <c r="C732" s="19" t="s">
        <v>3366</v>
      </c>
      <c r="D732" s="19" t="s">
        <v>124</v>
      </c>
      <c r="E732" s="20" t="s">
        <v>3367</v>
      </c>
      <c r="F732" s="21" t="s">
        <v>135</v>
      </c>
      <c r="G732" s="22" t="s">
        <v>42</v>
      </c>
      <c r="H732" s="23" t="s">
        <v>3368</v>
      </c>
      <c r="I732" s="24" t="s">
        <v>20</v>
      </c>
      <c r="J732" s="1" t="str">
        <f t="shared" si="0"/>
        <v>FRIC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6.25" customHeight="1">
      <c r="A733" s="17">
        <f t="shared" si="1"/>
        <v>730</v>
      </c>
      <c r="B733" s="18" t="s">
        <v>13</v>
      </c>
      <c r="C733" s="19" t="s">
        <v>3369</v>
      </c>
      <c r="D733" s="19" t="s">
        <v>124</v>
      </c>
      <c r="E733" s="20" t="s">
        <v>3370</v>
      </c>
      <c r="F733" s="21" t="s">
        <v>135</v>
      </c>
      <c r="G733" s="22" t="s">
        <v>42</v>
      </c>
      <c r="H733" s="23" t="s">
        <v>3371</v>
      </c>
      <c r="I733" s="24" t="s">
        <v>20</v>
      </c>
      <c r="J733" s="1" t="str">
        <f t="shared" si="0"/>
        <v>FRIC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6.25" customHeight="1">
      <c r="A734" s="17">
        <f t="shared" si="1"/>
        <v>731</v>
      </c>
      <c r="B734" s="18" t="s">
        <v>27</v>
      </c>
      <c r="C734" s="19" t="s">
        <v>3372</v>
      </c>
      <c r="D734" s="19" t="s">
        <v>124</v>
      </c>
      <c r="E734" s="20" t="s">
        <v>3373</v>
      </c>
      <c r="F734" s="21" t="s">
        <v>135</v>
      </c>
      <c r="G734" s="22" t="s">
        <v>42</v>
      </c>
      <c r="H734" s="23" t="s">
        <v>3374</v>
      </c>
      <c r="I734" s="24" t="s">
        <v>20</v>
      </c>
      <c r="J734" s="1" t="str">
        <f t="shared" si="0"/>
        <v>FRIC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6.25" hidden="1" customHeight="1">
      <c r="A735" s="17">
        <f t="shared" si="1"/>
        <v>732</v>
      </c>
      <c r="B735" s="18" t="s">
        <v>105</v>
      </c>
      <c r="C735" s="31" t="s">
        <v>3375</v>
      </c>
      <c r="D735" s="19" t="s">
        <v>374</v>
      </c>
      <c r="E735" s="20" t="s">
        <v>3376</v>
      </c>
      <c r="F735" s="32" t="s">
        <v>3377</v>
      </c>
      <c r="G735" s="33" t="s">
        <v>42</v>
      </c>
      <c r="H735" s="23" t="s">
        <v>3378</v>
      </c>
      <c r="I735" s="24" t="s">
        <v>55</v>
      </c>
      <c r="J735" s="1" t="str">
        <f t="shared" si="0"/>
        <v/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6.25" customHeight="1">
      <c r="A736" s="17">
        <f t="shared" si="1"/>
        <v>733</v>
      </c>
      <c r="B736" s="18" t="s">
        <v>37</v>
      </c>
      <c r="C736" s="19" t="s">
        <v>3379</v>
      </c>
      <c r="D736" s="19" t="s">
        <v>141</v>
      </c>
      <c r="E736" s="20" t="s">
        <v>3380</v>
      </c>
      <c r="F736" s="21" t="s">
        <v>3381</v>
      </c>
      <c r="G736" s="22" t="s">
        <v>42</v>
      </c>
      <c r="H736" s="23" t="s">
        <v>3382</v>
      </c>
      <c r="I736" s="24" t="s">
        <v>20</v>
      </c>
      <c r="J736" s="1" t="str">
        <f t="shared" si="0"/>
        <v>FRIC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6.25" hidden="1" customHeight="1">
      <c r="A737" s="17">
        <f t="shared" si="1"/>
        <v>734</v>
      </c>
      <c r="B737" s="18" t="s">
        <v>27</v>
      </c>
      <c r="C737" s="31" t="s">
        <v>1083</v>
      </c>
      <c r="D737" s="19" t="s">
        <v>3383</v>
      </c>
      <c r="E737" s="20" t="s">
        <v>1085</v>
      </c>
      <c r="F737" s="32" t="s">
        <v>170</v>
      </c>
      <c r="G737" s="22" t="s">
        <v>53</v>
      </c>
      <c r="H737" s="23" t="s">
        <v>3384</v>
      </c>
      <c r="I737" s="24" t="s">
        <v>55</v>
      </c>
      <c r="J737" s="1" t="str">
        <f t="shared" si="0"/>
        <v/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6.25" hidden="1" customHeight="1">
      <c r="A738" s="17">
        <f t="shared" si="1"/>
        <v>735</v>
      </c>
      <c r="B738" s="18" t="s">
        <v>175</v>
      </c>
      <c r="C738" s="31" t="s">
        <v>3385</v>
      </c>
      <c r="D738" s="19" t="s">
        <v>3386</v>
      </c>
      <c r="E738" s="20" t="s">
        <v>3387</v>
      </c>
      <c r="F738" s="21" t="s">
        <v>2200</v>
      </c>
      <c r="G738" s="33" t="s">
        <v>42</v>
      </c>
      <c r="H738" s="23" t="s">
        <v>3388</v>
      </c>
      <c r="I738" s="34" t="s">
        <v>20</v>
      </c>
      <c r="J738" s="1" t="str">
        <f t="shared" si="0"/>
        <v>과기</v>
      </c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</row>
    <row r="739" spans="1:24" ht="26.25" hidden="1" customHeight="1">
      <c r="A739" s="17">
        <f t="shared" si="1"/>
        <v>736</v>
      </c>
      <c r="B739" s="18" t="s">
        <v>175</v>
      </c>
      <c r="C739" s="31" t="s">
        <v>3389</v>
      </c>
      <c r="D739" s="19" t="s">
        <v>3390</v>
      </c>
      <c r="E739" s="20" t="s">
        <v>3391</v>
      </c>
      <c r="F739" s="32" t="s">
        <v>3392</v>
      </c>
      <c r="G739" s="33" t="s">
        <v>42</v>
      </c>
      <c r="H739" s="23" t="s">
        <v>3393</v>
      </c>
      <c r="I739" s="24" t="s">
        <v>55</v>
      </c>
      <c r="J739" s="1" t="str">
        <f t="shared" si="0"/>
        <v/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6.25" hidden="1" customHeight="1">
      <c r="A740" s="17">
        <f t="shared" si="1"/>
        <v>737</v>
      </c>
      <c r="B740" s="18" t="s">
        <v>2181</v>
      </c>
      <c r="C740" s="31" t="s">
        <v>3394</v>
      </c>
      <c r="D740" s="19" t="s">
        <v>141</v>
      </c>
      <c r="E740" s="20" t="s">
        <v>3395</v>
      </c>
      <c r="F740" s="32" t="s">
        <v>3396</v>
      </c>
      <c r="G740" s="33" t="s">
        <v>350</v>
      </c>
      <c r="H740" s="23" t="s">
        <v>3397</v>
      </c>
      <c r="I740" s="24" t="s">
        <v>55</v>
      </c>
      <c r="J740" s="1" t="str">
        <f t="shared" si="0"/>
        <v/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6.25" hidden="1" customHeight="1">
      <c r="A741" s="17">
        <f t="shared" si="1"/>
        <v>738</v>
      </c>
      <c r="B741" s="18" t="s">
        <v>1375</v>
      </c>
      <c r="C741" s="19" t="s">
        <v>3398</v>
      </c>
      <c r="D741" s="19" t="s">
        <v>45</v>
      </c>
      <c r="E741" s="20" t="s">
        <v>3399</v>
      </c>
      <c r="F741" s="21" t="s">
        <v>135</v>
      </c>
      <c r="G741" s="22" t="s">
        <v>42</v>
      </c>
      <c r="H741" s="23" t="s">
        <v>3400</v>
      </c>
      <c r="I741" s="24" t="s">
        <v>20</v>
      </c>
      <c r="J741" s="1" t="str">
        <f t="shared" si="0"/>
        <v>과기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6.25" hidden="1" customHeight="1">
      <c r="A742" s="17">
        <f t="shared" si="1"/>
        <v>739</v>
      </c>
      <c r="B742" s="18" t="s">
        <v>175</v>
      </c>
      <c r="C742" s="31" t="s">
        <v>3401</v>
      </c>
      <c r="D742" s="19" t="s">
        <v>3298</v>
      </c>
      <c r="E742" s="20" t="s">
        <v>3402</v>
      </c>
      <c r="F742" s="32" t="s">
        <v>3403</v>
      </c>
      <c r="G742" s="33" t="s">
        <v>42</v>
      </c>
      <c r="H742" s="23" t="s">
        <v>3404</v>
      </c>
      <c r="I742" s="24" t="s">
        <v>55</v>
      </c>
      <c r="J742" s="1" t="str">
        <f t="shared" si="0"/>
        <v/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6.25" hidden="1" customHeight="1">
      <c r="A743" s="17">
        <f t="shared" si="1"/>
        <v>740</v>
      </c>
      <c r="B743" s="18" t="s">
        <v>132</v>
      </c>
      <c r="C743" s="19" t="s">
        <v>3405</v>
      </c>
      <c r="D743" s="19" t="s">
        <v>141</v>
      </c>
      <c r="E743" s="20" t="s">
        <v>1517</v>
      </c>
      <c r="F743" s="32" t="s">
        <v>52</v>
      </c>
      <c r="G743" s="22" t="s">
        <v>42</v>
      </c>
      <c r="H743" s="23" t="s">
        <v>3406</v>
      </c>
      <c r="I743" s="34" t="s">
        <v>55</v>
      </c>
      <c r="J743" s="1" t="str">
        <f t="shared" si="0"/>
        <v/>
      </c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</row>
    <row r="744" spans="1:24" ht="26.25" hidden="1" customHeight="1">
      <c r="A744" s="17">
        <f t="shared" si="1"/>
        <v>741</v>
      </c>
      <c r="B744" s="18" t="s">
        <v>233</v>
      </c>
      <c r="C744" s="31" t="s">
        <v>3407</v>
      </c>
      <c r="D744" s="19" t="s">
        <v>3408</v>
      </c>
      <c r="E744" s="20" t="s">
        <v>122</v>
      </c>
      <c r="F744" s="32" t="s">
        <v>3409</v>
      </c>
      <c r="G744" s="22" t="s">
        <v>42</v>
      </c>
      <c r="H744" s="23" t="s">
        <v>3410</v>
      </c>
      <c r="I744" s="24" t="s">
        <v>55</v>
      </c>
      <c r="J744" s="1" t="str">
        <f t="shared" si="0"/>
        <v/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6.25" customHeight="1">
      <c r="A745" s="17">
        <f t="shared" si="1"/>
        <v>742</v>
      </c>
      <c r="B745" s="18" t="s">
        <v>37</v>
      </c>
      <c r="C745" s="19" t="s">
        <v>3411</v>
      </c>
      <c r="D745" s="19" t="s">
        <v>499</v>
      </c>
      <c r="E745" s="20" t="s">
        <v>3412</v>
      </c>
      <c r="F745" s="21" t="s">
        <v>3266</v>
      </c>
      <c r="G745" s="22" t="s">
        <v>42</v>
      </c>
      <c r="H745" s="23" t="s">
        <v>3413</v>
      </c>
      <c r="I745" s="24" t="s">
        <v>20</v>
      </c>
      <c r="J745" s="1" t="str">
        <f t="shared" si="0"/>
        <v>FRIC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6.25" hidden="1" customHeight="1">
      <c r="A746" s="17">
        <f t="shared" si="1"/>
        <v>743</v>
      </c>
      <c r="B746" s="18" t="s">
        <v>105</v>
      </c>
      <c r="C746" s="31" t="s">
        <v>3414</v>
      </c>
      <c r="D746" s="19" t="s">
        <v>3415</v>
      </c>
      <c r="E746" s="20" t="s">
        <v>3416</v>
      </c>
      <c r="F746" s="32" t="s">
        <v>738</v>
      </c>
      <c r="G746" s="33" t="s">
        <v>42</v>
      </c>
      <c r="H746" s="23" t="s">
        <v>3417</v>
      </c>
      <c r="I746" s="24" t="s">
        <v>55</v>
      </c>
      <c r="J746" s="1" t="str">
        <f t="shared" si="0"/>
        <v/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6.25" hidden="1" customHeight="1">
      <c r="A747" s="17">
        <f t="shared" si="1"/>
        <v>744</v>
      </c>
      <c r="B747" s="18" t="s">
        <v>1375</v>
      </c>
      <c r="C747" s="31" t="s">
        <v>3418</v>
      </c>
      <c r="D747" s="19" t="s">
        <v>1162</v>
      </c>
      <c r="E747" s="20" t="s">
        <v>1163</v>
      </c>
      <c r="F747" s="32" t="s">
        <v>3419</v>
      </c>
      <c r="G747" s="22" t="s">
        <v>53</v>
      </c>
      <c r="H747" s="23" t="s">
        <v>3420</v>
      </c>
      <c r="I747" s="24" t="s">
        <v>55</v>
      </c>
      <c r="J747" s="1" t="str">
        <f t="shared" si="0"/>
        <v/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6.25" hidden="1" customHeight="1">
      <c r="A748" s="17">
        <f t="shared" si="1"/>
        <v>745</v>
      </c>
      <c r="B748" s="18" t="s">
        <v>146</v>
      </c>
      <c r="C748" s="31" t="s">
        <v>3421</v>
      </c>
      <c r="D748" s="19" t="s">
        <v>1181</v>
      </c>
      <c r="E748" s="20" t="s">
        <v>1182</v>
      </c>
      <c r="F748" s="32" t="s">
        <v>170</v>
      </c>
      <c r="G748" s="33" t="s">
        <v>31</v>
      </c>
      <c r="H748" s="23" t="s">
        <v>3422</v>
      </c>
      <c r="I748" s="24" t="s">
        <v>55</v>
      </c>
      <c r="J748" s="1" t="str">
        <f t="shared" si="0"/>
        <v/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6.25" hidden="1" customHeight="1">
      <c r="A749" s="17">
        <f t="shared" si="1"/>
        <v>746</v>
      </c>
      <c r="B749" s="18" t="s">
        <v>175</v>
      </c>
      <c r="C749" s="31" t="s">
        <v>3423</v>
      </c>
      <c r="D749" s="19" t="s">
        <v>2858</v>
      </c>
      <c r="E749" s="20" t="s">
        <v>3424</v>
      </c>
      <c r="F749" s="32" t="s">
        <v>3425</v>
      </c>
      <c r="G749" s="33" t="s">
        <v>42</v>
      </c>
      <c r="H749" s="23" t="s">
        <v>3426</v>
      </c>
      <c r="I749" s="24" t="s">
        <v>55</v>
      </c>
      <c r="J749" s="1" t="str">
        <f t="shared" si="0"/>
        <v/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6.25" hidden="1" customHeight="1">
      <c r="A750" s="17">
        <f t="shared" si="1"/>
        <v>747</v>
      </c>
      <c r="B750" s="18" t="s">
        <v>132</v>
      </c>
      <c r="C750" s="31" t="s">
        <v>3427</v>
      </c>
      <c r="D750" s="19" t="s">
        <v>374</v>
      </c>
      <c r="E750" s="20" t="s">
        <v>3428</v>
      </c>
      <c r="F750" s="32" t="s">
        <v>416</v>
      </c>
      <c r="G750" s="33" t="s">
        <v>42</v>
      </c>
      <c r="H750" s="23" t="s">
        <v>3429</v>
      </c>
      <c r="I750" s="24" t="s">
        <v>55</v>
      </c>
      <c r="J750" s="1" t="str">
        <f t="shared" si="0"/>
        <v/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6.25" hidden="1" customHeight="1">
      <c r="A751" s="17">
        <f t="shared" si="1"/>
        <v>748</v>
      </c>
      <c r="B751" s="18" t="s">
        <v>13</v>
      </c>
      <c r="C751" s="31" t="s">
        <v>3430</v>
      </c>
      <c r="D751" s="19" t="s">
        <v>3431</v>
      </c>
      <c r="E751" s="20" t="s">
        <v>3432</v>
      </c>
      <c r="F751" s="32" t="s">
        <v>3433</v>
      </c>
      <c r="G751" s="33" t="s">
        <v>63</v>
      </c>
      <c r="H751" s="23" t="s">
        <v>3434</v>
      </c>
      <c r="I751" s="24" t="s">
        <v>55</v>
      </c>
      <c r="J751" s="1" t="str">
        <f t="shared" si="0"/>
        <v/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6.25" hidden="1" customHeight="1">
      <c r="A752" s="17">
        <f t="shared" si="1"/>
        <v>749</v>
      </c>
      <c r="B752" s="18" t="s">
        <v>175</v>
      </c>
      <c r="C752" s="31" t="s">
        <v>3435</v>
      </c>
      <c r="D752" s="19" t="s">
        <v>2072</v>
      </c>
      <c r="E752" s="20" t="s">
        <v>3436</v>
      </c>
      <c r="F752" s="32" t="s">
        <v>3437</v>
      </c>
      <c r="G752" s="33" t="s">
        <v>42</v>
      </c>
      <c r="H752" s="23" t="s">
        <v>3438</v>
      </c>
      <c r="I752" s="24" t="s">
        <v>55</v>
      </c>
      <c r="J752" s="1" t="str">
        <f t="shared" si="0"/>
        <v/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6.25" hidden="1" customHeight="1">
      <c r="A753" s="17">
        <f t="shared" si="1"/>
        <v>750</v>
      </c>
      <c r="B753" s="18" t="s">
        <v>105</v>
      </c>
      <c r="C753" s="31" t="s">
        <v>3439</v>
      </c>
      <c r="D753" s="19" t="s">
        <v>1546</v>
      </c>
      <c r="E753" s="20" t="s">
        <v>1547</v>
      </c>
      <c r="F753" s="32" t="s">
        <v>2902</v>
      </c>
      <c r="G753" s="33" t="s">
        <v>53</v>
      </c>
      <c r="H753" s="23" t="s">
        <v>3440</v>
      </c>
      <c r="I753" s="34" t="s">
        <v>55</v>
      </c>
      <c r="J753" s="1" t="str">
        <f t="shared" si="0"/>
        <v/>
      </c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</row>
    <row r="754" spans="1:24" ht="26.25" hidden="1" customHeight="1">
      <c r="A754" s="17">
        <f t="shared" si="1"/>
        <v>751</v>
      </c>
      <c r="B754" s="18" t="s">
        <v>13</v>
      </c>
      <c r="C754" s="31" t="s">
        <v>3441</v>
      </c>
      <c r="D754" s="19" t="s">
        <v>3442</v>
      </c>
      <c r="E754" s="20" t="s">
        <v>3443</v>
      </c>
      <c r="F754" s="32" t="s">
        <v>3444</v>
      </c>
      <c r="G754" s="22" t="s">
        <v>1086</v>
      </c>
      <c r="H754" s="23" t="s">
        <v>3445</v>
      </c>
      <c r="I754" s="24" t="s">
        <v>55</v>
      </c>
      <c r="J754" s="1" t="str">
        <f t="shared" si="0"/>
        <v/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6.25" hidden="1" customHeight="1">
      <c r="A755" s="17">
        <f t="shared" si="1"/>
        <v>752</v>
      </c>
      <c r="B755" s="18" t="s">
        <v>1375</v>
      </c>
      <c r="C755" s="31" t="s">
        <v>3446</v>
      </c>
      <c r="D755" s="19" t="s">
        <v>3447</v>
      </c>
      <c r="E755" s="20" t="s">
        <v>3448</v>
      </c>
      <c r="F755" s="32" t="s">
        <v>3449</v>
      </c>
      <c r="G755" s="22" t="s">
        <v>53</v>
      </c>
      <c r="H755" s="23" t="s">
        <v>3450</v>
      </c>
      <c r="I755" s="24" t="s">
        <v>55</v>
      </c>
      <c r="J755" s="1" t="str">
        <f t="shared" si="0"/>
        <v/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6.25" hidden="1" customHeight="1">
      <c r="A756" s="17">
        <f t="shared" si="1"/>
        <v>753</v>
      </c>
      <c r="B756" s="18" t="s">
        <v>1375</v>
      </c>
      <c r="C756" s="31" t="s">
        <v>3451</v>
      </c>
      <c r="D756" s="19" t="s">
        <v>3452</v>
      </c>
      <c r="E756" s="20" t="s">
        <v>3453</v>
      </c>
      <c r="F756" s="32" t="s">
        <v>3454</v>
      </c>
      <c r="G756" s="22" t="s">
        <v>53</v>
      </c>
      <c r="H756" s="23" t="s">
        <v>3455</v>
      </c>
      <c r="I756" s="24" t="s">
        <v>55</v>
      </c>
      <c r="J756" s="1" t="str">
        <f t="shared" si="0"/>
        <v/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6.25" hidden="1" customHeight="1">
      <c r="A757" s="17">
        <f t="shared" si="1"/>
        <v>754</v>
      </c>
      <c r="B757" s="18" t="s">
        <v>37</v>
      </c>
      <c r="C757" s="31" t="s">
        <v>3456</v>
      </c>
      <c r="D757" s="19" t="s">
        <v>1804</v>
      </c>
      <c r="E757" s="20"/>
      <c r="F757" s="32" t="s">
        <v>170</v>
      </c>
      <c r="G757" s="33" t="s">
        <v>53</v>
      </c>
      <c r="H757" s="23" t="s">
        <v>3457</v>
      </c>
      <c r="I757" s="24" t="s">
        <v>55</v>
      </c>
      <c r="J757" s="1" t="str">
        <f t="shared" si="0"/>
        <v/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6.25" hidden="1" customHeight="1">
      <c r="A758" s="17">
        <f t="shared" si="1"/>
        <v>755</v>
      </c>
      <c r="B758" s="18" t="s">
        <v>867</v>
      </c>
      <c r="C758" s="31" t="s">
        <v>3458</v>
      </c>
      <c r="D758" s="19" t="s">
        <v>3459</v>
      </c>
      <c r="E758" s="20" t="s">
        <v>3460</v>
      </c>
      <c r="F758" s="21" t="s">
        <v>2284</v>
      </c>
      <c r="G758" s="33" t="s">
        <v>42</v>
      </c>
      <c r="H758" s="23" t="s">
        <v>3461</v>
      </c>
      <c r="I758" s="24" t="s">
        <v>20</v>
      </c>
      <c r="J758" s="1" t="str">
        <f t="shared" si="0"/>
        <v>과기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6.25" hidden="1" customHeight="1">
      <c r="A759" s="17">
        <f t="shared" si="1"/>
        <v>756</v>
      </c>
      <c r="B759" s="18" t="s">
        <v>867</v>
      </c>
      <c r="C759" s="31" t="s">
        <v>3462</v>
      </c>
      <c r="D759" s="19" t="s">
        <v>3463</v>
      </c>
      <c r="E759" s="20" t="s">
        <v>3464</v>
      </c>
      <c r="F759" s="32" t="s">
        <v>3465</v>
      </c>
      <c r="G759" s="33" t="s">
        <v>53</v>
      </c>
      <c r="H759" s="23" t="s">
        <v>3466</v>
      </c>
      <c r="I759" s="24" t="s">
        <v>55</v>
      </c>
      <c r="J759" s="1" t="str">
        <f t="shared" si="0"/>
        <v/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6.25" hidden="1" customHeight="1">
      <c r="A760" s="17">
        <f t="shared" si="1"/>
        <v>757</v>
      </c>
      <c r="B760" s="18" t="s">
        <v>132</v>
      </c>
      <c r="C760" s="31" t="s">
        <v>3467</v>
      </c>
      <c r="D760" s="19" t="s">
        <v>3468</v>
      </c>
      <c r="E760" s="20" t="s">
        <v>1235</v>
      </c>
      <c r="F760" s="32" t="s">
        <v>170</v>
      </c>
      <c r="G760" s="22" t="s">
        <v>42</v>
      </c>
      <c r="H760" s="23" t="s">
        <v>3469</v>
      </c>
      <c r="I760" s="24" t="s">
        <v>55</v>
      </c>
      <c r="J760" s="1" t="str">
        <f t="shared" si="0"/>
        <v/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6.25" customHeight="1">
      <c r="A761" s="17">
        <f t="shared" si="1"/>
        <v>758</v>
      </c>
      <c r="B761" s="18" t="s">
        <v>37</v>
      </c>
      <c r="C761" s="19" t="s">
        <v>3470</v>
      </c>
      <c r="D761" s="19" t="s">
        <v>173</v>
      </c>
      <c r="E761" s="20" t="s">
        <v>3471</v>
      </c>
      <c r="F761" s="21" t="s">
        <v>905</v>
      </c>
      <c r="G761" s="22" t="s">
        <v>31</v>
      </c>
      <c r="H761" s="23" t="s">
        <v>3472</v>
      </c>
      <c r="I761" s="24" t="s">
        <v>20</v>
      </c>
      <c r="J761" s="1" t="str">
        <f t="shared" si="0"/>
        <v>FRIC</v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6.25" hidden="1" customHeight="1">
      <c r="A762" s="17">
        <f t="shared" si="1"/>
        <v>759</v>
      </c>
      <c r="B762" s="18" t="s">
        <v>233</v>
      </c>
      <c r="C762" s="31" t="s">
        <v>3473</v>
      </c>
      <c r="D762" s="19" t="s">
        <v>3474</v>
      </c>
      <c r="E762" s="20" t="s">
        <v>3475</v>
      </c>
      <c r="F762" s="32" t="s">
        <v>3476</v>
      </c>
      <c r="G762" s="22" t="s">
        <v>42</v>
      </c>
      <c r="H762" s="23" t="s">
        <v>3477</v>
      </c>
      <c r="I762" s="24" t="s">
        <v>55</v>
      </c>
      <c r="J762" s="1" t="str">
        <f t="shared" si="0"/>
        <v/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6.25" customHeight="1">
      <c r="A763" s="17">
        <f t="shared" si="1"/>
        <v>760</v>
      </c>
      <c r="B763" s="18" t="s">
        <v>1375</v>
      </c>
      <c r="C763" s="19" t="s">
        <v>3478</v>
      </c>
      <c r="D763" s="19" t="s">
        <v>1162</v>
      </c>
      <c r="E763" s="20" t="s">
        <v>3479</v>
      </c>
      <c r="F763" s="21" t="s">
        <v>293</v>
      </c>
      <c r="G763" s="22" t="s">
        <v>31</v>
      </c>
      <c r="H763" s="23" t="s">
        <v>3480</v>
      </c>
      <c r="I763" s="24" t="s">
        <v>20</v>
      </c>
      <c r="J763" s="1" t="str">
        <f t="shared" si="0"/>
        <v>FRIC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6.25" hidden="1" customHeight="1">
      <c r="A764" s="17">
        <f t="shared" si="1"/>
        <v>761</v>
      </c>
      <c r="B764" s="18" t="s">
        <v>132</v>
      </c>
      <c r="C764" s="31" t="s">
        <v>1551</v>
      </c>
      <c r="D764" s="19" t="s">
        <v>3481</v>
      </c>
      <c r="E764" s="20" t="s">
        <v>1553</v>
      </c>
      <c r="F764" s="32" t="s">
        <v>52</v>
      </c>
      <c r="G764" s="22" t="s">
        <v>53</v>
      </c>
      <c r="H764" s="23" t="s">
        <v>3482</v>
      </c>
      <c r="I764" s="34" t="s">
        <v>55</v>
      </c>
      <c r="J764" s="1" t="str">
        <f t="shared" si="0"/>
        <v/>
      </c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</row>
    <row r="765" spans="1:24" ht="26.25" hidden="1" customHeight="1">
      <c r="A765" s="17">
        <f t="shared" si="1"/>
        <v>762</v>
      </c>
      <c r="B765" s="18" t="s">
        <v>132</v>
      </c>
      <c r="C765" s="31" t="s">
        <v>352</v>
      </c>
      <c r="D765" s="19" t="s">
        <v>141</v>
      </c>
      <c r="E765" s="20" t="s">
        <v>354</v>
      </c>
      <c r="F765" s="32" t="s">
        <v>3483</v>
      </c>
      <c r="G765" s="22" t="s">
        <v>42</v>
      </c>
      <c r="H765" s="23" t="s">
        <v>3484</v>
      </c>
      <c r="I765" s="24" t="s">
        <v>55</v>
      </c>
      <c r="J765" s="1" t="str">
        <f t="shared" si="0"/>
        <v/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6.25" hidden="1" customHeight="1">
      <c r="A766" s="17">
        <f t="shared" si="1"/>
        <v>763</v>
      </c>
      <c r="B766" s="18" t="s">
        <v>132</v>
      </c>
      <c r="C766" s="31" t="s">
        <v>3485</v>
      </c>
      <c r="D766" s="19" t="s">
        <v>3486</v>
      </c>
      <c r="E766" s="20" t="s">
        <v>3487</v>
      </c>
      <c r="F766" s="32" t="s">
        <v>3080</v>
      </c>
      <c r="G766" s="22" t="s">
        <v>63</v>
      </c>
      <c r="H766" s="23" t="s">
        <v>3488</v>
      </c>
      <c r="I766" s="24" t="s">
        <v>55</v>
      </c>
      <c r="J766" s="1" t="str">
        <f t="shared" si="0"/>
        <v/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6.25" customHeight="1">
      <c r="A767" s="17">
        <f t="shared" si="1"/>
        <v>764</v>
      </c>
      <c r="B767" s="18" t="s">
        <v>132</v>
      </c>
      <c r="C767" s="19" t="s">
        <v>3489</v>
      </c>
      <c r="D767" s="19" t="s">
        <v>124</v>
      </c>
      <c r="E767" s="20" t="s">
        <v>3490</v>
      </c>
      <c r="F767" s="21" t="s">
        <v>135</v>
      </c>
      <c r="G767" s="22" t="s">
        <v>42</v>
      </c>
      <c r="H767" s="23" t="s">
        <v>3491</v>
      </c>
      <c r="I767" s="24" t="s">
        <v>20</v>
      </c>
      <c r="J767" s="1" t="str">
        <f t="shared" si="0"/>
        <v>FRIC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6.25" customHeight="1">
      <c r="A768" s="17">
        <f t="shared" si="1"/>
        <v>765</v>
      </c>
      <c r="B768" s="18" t="s">
        <v>233</v>
      </c>
      <c r="C768" s="19" t="s">
        <v>3492</v>
      </c>
      <c r="D768" s="19" t="s">
        <v>3493</v>
      </c>
      <c r="E768" s="20" t="s">
        <v>3494</v>
      </c>
      <c r="F768" s="21" t="s">
        <v>135</v>
      </c>
      <c r="G768" s="22" t="s">
        <v>63</v>
      </c>
      <c r="H768" s="23" t="s">
        <v>3495</v>
      </c>
      <c r="I768" s="24" t="s">
        <v>20</v>
      </c>
      <c r="J768" s="1" t="str">
        <f t="shared" si="0"/>
        <v>FRIC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6.25" hidden="1" customHeight="1">
      <c r="A769" s="17">
        <f t="shared" si="1"/>
        <v>766</v>
      </c>
      <c r="B769" s="18" t="s">
        <v>2181</v>
      </c>
      <c r="C769" s="31" t="s">
        <v>3496</v>
      </c>
      <c r="D769" s="19" t="s">
        <v>370</v>
      </c>
      <c r="E769" s="20" t="s">
        <v>3497</v>
      </c>
      <c r="F769" s="32" t="s">
        <v>222</v>
      </c>
      <c r="G769" s="33" t="s">
        <v>53</v>
      </c>
      <c r="H769" s="23" t="s">
        <v>3498</v>
      </c>
      <c r="I769" s="24" t="s">
        <v>55</v>
      </c>
      <c r="J769" s="1" t="str">
        <f t="shared" si="0"/>
        <v/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6.25" customHeight="1">
      <c r="A770" s="17">
        <f t="shared" si="1"/>
        <v>767</v>
      </c>
      <c r="B770" s="18" t="s">
        <v>132</v>
      </c>
      <c r="C770" s="19" t="s">
        <v>3499</v>
      </c>
      <c r="D770" s="19" t="s">
        <v>124</v>
      </c>
      <c r="E770" s="20" t="s">
        <v>3500</v>
      </c>
      <c r="F770" s="21" t="s">
        <v>135</v>
      </c>
      <c r="G770" s="22" t="s">
        <v>42</v>
      </c>
      <c r="H770" s="23" t="s">
        <v>3501</v>
      </c>
      <c r="I770" s="24" t="s">
        <v>20</v>
      </c>
      <c r="J770" s="1" t="str">
        <f t="shared" si="0"/>
        <v>FRIC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6.25" hidden="1" customHeight="1">
      <c r="A771" s="17">
        <f t="shared" si="1"/>
        <v>768</v>
      </c>
      <c r="B771" s="18" t="s">
        <v>642</v>
      </c>
      <c r="C771" s="31" t="s">
        <v>3502</v>
      </c>
      <c r="D771" s="19" t="s">
        <v>488</v>
      </c>
      <c r="E771" s="20" t="s">
        <v>3503</v>
      </c>
      <c r="F771" s="32" t="s">
        <v>3504</v>
      </c>
      <c r="G771" s="33" t="s">
        <v>53</v>
      </c>
      <c r="H771" s="23" t="s">
        <v>3505</v>
      </c>
      <c r="I771" s="24" t="s">
        <v>55</v>
      </c>
      <c r="J771" s="1" t="str">
        <f t="shared" si="0"/>
        <v/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6.25" hidden="1" customHeight="1">
      <c r="A772" s="17">
        <f t="shared" si="1"/>
        <v>769</v>
      </c>
      <c r="B772" s="18" t="s">
        <v>13</v>
      </c>
      <c r="C772" s="31" t="s">
        <v>1475</v>
      </c>
      <c r="D772" s="19" t="s">
        <v>3506</v>
      </c>
      <c r="E772" s="20" t="s">
        <v>1477</v>
      </c>
      <c r="F772" s="32" t="s">
        <v>3507</v>
      </c>
      <c r="G772" s="22" t="s">
        <v>53</v>
      </c>
      <c r="H772" s="23" t="s">
        <v>3508</v>
      </c>
      <c r="I772" s="34" t="s">
        <v>55</v>
      </c>
      <c r="J772" s="1" t="str">
        <f t="shared" si="0"/>
        <v/>
      </c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</row>
    <row r="773" spans="1:24" ht="26.25" hidden="1" customHeight="1">
      <c r="A773" s="17">
        <f t="shared" si="1"/>
        <v>770</v>
      </c>
      <c r="B773" s="18" t="s">
        <v>1375</v>
      </c>
      <c r="C773" s="31" t="s">
        <v>3509</v>
      </c>
      <c r="D773" s="19" t="s">
        <v>1162</v>
      </c>
      <c r="E773" s="20" t="s">
        <v>3510</v>
      </c>
      <c r="F773" s="32" t="s">
        <v>2718</v>
      </c>
      <c r="G773" s="22" t="s">
        <v>53</v>
      </c>
      <c r="H773" s="23" t="s">
        <v>3511</v>
      </c>
      <c r="I773" s="24" t="s">
        <v>55</v>
      </c>
      <c r="J773" s="1" t="str">
        <f t="shared" si="0"/>
        <v/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6.25" hidden="1" customHeight="1">
      <c r="A774" s="17">
        <f t="shared" si="1"/>
        <v>771</v>
      </c>
      <c r="B774" s="18" t="s">
        <v>1197</v>
      </c>
      <c r="C774" s="31" t="s">
        <v>507</v>
      </c>
      <c r="D774" s="19" t="s">
        <v>3512</v>
      </c>
      <c r="E774" s="20" t="s">
        <v>509</v>
      </c>
      <c r="F774" s="32" t="s">
        <v>3513</v>
      </c>
      <c r="G774" s="33" t="s">
        <v>53</v>
      </c>
      <c r="H774" s="59" t="s">
        <v>3514</v>
      </c>
      <c r="I774" s="24" t="s">
        <v>55</v>
      </c>
      <c r="J774" s="1" t="str">
        <f t="shared" si="0"/>
        <v/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6.25" hidden="1" customHeight="1">
      <c r="A775" s="17">
        <f t="shared" si="1"/>
        <v>772</v>
      </c>
      <c r="B775" s="18" t="s">
        <v>1197</v>
      </c>
      <c r="C775" s="31" t="s">
        <v>3515</v>
      </c>
      <c r="D775" s="19" t="s">
        <v>3516</v>
      </c>
      <c r="E775" s="20" t="s">
        <v>3517</v>
      </c>
      <c r="F775" s="32" t="s">
        <v>3518</v>
      </c>
      <c r="G775" s="33" t="s">
        <v>53</v>
      </c>
      <c r="H775" s="23" t="s">
        <v>3519</v>
      </c>
      <c r="I775" s="24" t="s">
        <v>55</v>
      </c>
      <c r="J775" s="1" t="str">
        <f t="shared" si="0"/>
        <v/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6.25" hidden="1" customHeight="1">
      <c r="A776" s="17">
        <f t="shared" si="1"/>
        <v>773</v>
      </c>
      <c r="B776" s="18" t="s">
        <v>1197</v>
      </c>
      <c r="C776" s="31" t="s">
        <v>3520</v>
      </c>
      <c r="D776" s="19" t="s">
        <v>3516</v>
      </c>
      <c r="E776" s="20" t="s">
        <v>3521</v>
      </c>
      <c r="F776" s="32" t="s">
        <v>3522</v>
      </c>
      <c r="G776" s="33" t="s">
        <v>42</v>
      </c>
      <c r="H776" s="23" t="s">
        <v>3523</v>
      </c>
      <c r="I776" s="24" t="s">
        <v>55</v>
      </c>
      <c r="J776" s="1" t="str">
        <f t="shared" si="0"/>
        <v/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6.25" customHeight="1">
      <c r="A777" s="17">
        <f t="shared" si="1"/>
        <v>774</v>
      </c>
      <c r="B777" s="18" t="s">
        <v>1197</v>
      </c>
      <c r="C777" s="19" t="s">
        <v>3524</v>
      </c>
      <c r="D777" s="19" t="s">
        <v>3525</v>
      </c>
      <c r="E777" s="20" t="s">
        <v>3526</v>
      </c>
      <c r="F777" s="21" t="s">
        <v>135</v>
      </c>
      <c r="G777" s="33" t="s">
        <v>42</v>
      </c>
      <c r="H777" s="23" t="s">
        <v>3527</v>
      </c>
      <c r="I777" s="24" t="s">
        <v>20</v>
      </c>
      <c r="J777" s="1" t="str">
        <f t="shared" si="0"/>
        <v>FRIC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6.25" hidden="1" customHeight="1">
      <c r="A778" s="17">
        <f t="shared" si="1"/>
        <v>775</v>
      </c>
      <c r="B778" s="18" t="s">
        <v>1197</v>
      </c>
      <c r="C778" s="31" t="s">
        <v>3528</v>
      </c>
      <c r="D778" s="19" t="s">
        <v>698</v>
      </c>
      <c r="E778" s="20" t="s">
        <v>3529</v>
      </c>
      <c r="F778" s="32" t="s">
        <v>3530</v>
      </c>
      <c r="G778" s="33" t="s">
        <v>42</v>
      </c>
      <c r="H778" s="23" t="s">
        <v>3531</v>
      </c>
      <c r="I778" s="24" t="s">
        <v>55</v>
      </c>
      <c r="J778" s="1" t="str">
        <f t="shared" si="0"/>
        <v/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6.25" hidden="1" customHeight="1">
      <c r="A779" s="17">
        <f t="shared" si="1"/>
        <v>776</v>
      </c>
      <c r="B779" s="18" t="s">
        <v>132</v>
      </c>
      <c r="C779" s="31" t="s">
        <v>3532</v>
      </c>
      <c r="D779" s="19" t="s">
        <v>196</v>
      </c>
      <c r="E779" s="20" t="s">
        <v>3533</v>
      </c>
      <c r="F779" s="32" t="s">
        <v>222</v>
      </c>
      <c r="G779" s="22" t="s">
        <v>42</v>
      </c>
      <c r="H779" s="23" t="s">
        <v>3534</v>
      </c>
      <c r="I779" s="24" t="s">
        <v>55</v>
      </c>
      <c r="J779" s="1" t="str">
        <f t="shared" si="0"/>
        <v/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6.25" hidden="1" customHeight="1">
      <c r="A780" s="17">
        <f t="shared" si="1"/>
        <v>777</v>
      </c>
      <c r="B780" s="18" t="s">
        <v>132</v>
      </c>
      <c r="C780" s="31" t="s">
        <v>884</v>
      </c>
      <c r="D780" s="19" t="s">
        <v>124</v>
      </c>
      <c r="E780" s="20" t="s">
        <v>885</v>
      </c>
      <c r="F780" s="32" t="s">
        <v>170</v>
      </c>
      <c r="G780" s="22" t="s">
        <v>53</v>
      </c>
      <c r="H780" s="23" t="s">
        <v>3535</v>
      </c>
      <c r="I780" s="24" t="s">
        <v>55</v>
      </c>
      <c r="J780" s="1" t="str">
        <f t="shared" si="0"/>
        <v/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6.25" customHeight="1">
      <c r="A781" s="17">
        <f t="shared" si="1"/>
        <v>778</v>
      </c>
      <c r="B781" s="18" t="s">
        <v>132</v>
      </c>
      <c r="C781" s="19" t="s">
        <v>3536</v>
      </c>
      <c r="D781" s="19" t="s">
        <v>3537</v>
      </c>
      <c r="E781" s="20" t="s">
        <v>3538</v>
      </c>
      <c r="F781" s="21" t="s">
        <v>3539</v>
      </c>
      <c r="G781" s="22" t="s">
        <v>42</v>
      </c>
      <c r="H781" s="23" t="s">
        <v>3540</v>
      </c>
      <c r="I781" s="24" t="s">
        <v>20</v>
      </c>
      <c r="J781" s="1" t="str">
        <f t="shared" si="0"/>
        <v>FRIC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6.25" hidden="1" customHeight="1">
      <c r="A782" s="17">
        <f t="shared" si="1"/>
        <v>779</v>
      </c>
      <c r="B782" s="18" t="s">
        <v>132</v>
      </c>
      <c r="C782" s="31" t="s">
        <v>3541</v>
      </c>
      <c r="D782" s="19" t="s">
        <v>607</v>
      </c>
      <c r="E782" s="20" t="s">
        <v>1484</v>
      </c>
      <c r="F782" s="32" t="s">
        <v>52</v>
      </c>
      <c r="G782" s="22" t="s">
        <v>53</v>
      </c>
      <c r="H782" s="23" t="s">
        <v>3542</v>
      </c>
      <c r="I782" s="34" t="s">
        <v>55</v>
      </c>
      <c r="J782" s="1" t="str">
        <f t="shared" si="0"/>
        <v/>
      </c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</row>
    <row r="783" spans="1:24" ht="26.25" customHeight="1">
      <c r="A783" s="17">
        <f t="shared" si="1"/>
        <v>780</v>
      </c>
      <c r="B783" s="18" t="s">
        <v>13</v>
      </c>
      <c r="C783" s="19" t="s">
        <v>3543</v>
      </c>
      <c r="D783" s="19" t="s">
        <v>1058</v>
      </c>
      <c r="E783" s="20" t="s">
        <v>3544</v>
      </c>
      <c r="F783" s="21" t="s">
        <v>135</v>
      </c>
      <c r="G783" s="22" t="s">
        <v>42</v>
      </c>
      <c r="H783" s="23" t="s">
        <v>3545</v>
      </c>
      <c r="I783" s="24" t="s">
        <v>20</v>
      </c>
      <c r="J783" s="1" t="str">
        <f t="shared" si="0"/>
        <v>FRIC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6.25" hidden="1" customHeight="1">
      <c r="A784" s="17">
        <f t="shared" si="1"/>
        <v>781</v>
      </c>
      <c r="B784" s="18" t="s">
        <v>105</v>
      </c>
      <c r="C784" s="31" t="s">
        <v>3546</v>
      </c>
      <c r="D784" s="19" t="s">
        <v>3547</v>
      </c>
      <c r="E784" s="20" t="s">
        <v>523</v>
      </c>
      <c r="F784" s="32" t="s">
        <v>1033</v>
      </c>
      <c r="G784" s="33" t="s">
        <v>42</v>
      </c>
      <c r="H784" s="23" t="s">
        <v>3548</v>
      </c>
      <c r="I784" s="24" t="s">
        <v>55</v>
      </c>
      <c r="J784" s="1" t="str">
        <f t="shared" si="0"/>
        <v/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6.25" hidden="1" customHeight="1">
      <c r="A785" s="17">
        <f t="shared" si="1"/>
        <v>782</v>
      </c>
      <c r="B785" s="18" t="s">
        <v>175</v>
      </c>
      <c r="C785" s="31" t="s">
        <v>3549</v>
      </c>
      <c r="D785" s="19" t="s">
        <v>722</v>
      </c>
      <c r="E785" s="20" t="s">
        <v>197</v>
      </c>
      <c r="F785" s="32">
        <v>2015</v>
      </c>
      <c r="G785" s="33" t="s">
        <v>42</v>
      </c>
      <c r="H785" s="23" t="s">
        <v>3550</v>
      </c>
      <c r="I785" s="24" t="s">
        <v>55</v>
      </c>
      <c r="J785" s="1" t="str">
        <f t="shared" si="0"/>
        <v/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6.25" hidden="1" customHeight="1">
      <c r="A786" s="17">
        <f t="shared" si="1"/>
        <v>783</v>
      </c>
      <c r="B786" s="18" t="s">
        <v>37</v>
      </c>
      <c r="C786" s="31" t="s">
        <v>3551</v>
      </c>
      <c r="D786" s="19" t="s">
        <v>3552</v>
      </c>
      <c r="E786" s="20" t="s">
        <v>3553</v>
      </c>
      <c r="F786" s="32" t="s">
        <v>3554</v>
      </c>
      <c r="G786" s="22" t="s">
        <v>53</v>
      </c>
      <c r="H786" s="23" t="s">
        <v>3555</v>
      </c>
      <c r="I786" s="24" t="s">
        <v>55</v>
      </c>
      <c r="J786" s="1" t="str">
        <f t="shared" si="0"/>
        <v/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6.25" hidden="1" customHeight="1">
      <c r="A787" s="17">
        <f t="shared" si="1"/>
        <v>784</v>
      </c>
      <c r="B787" s="18" t="s">
        <v>13</v>
      </c>
      <c r="C787" s="31" t="s">
        <v>3556</v>
      </c>
      <c r="D787" s="19" t="s">
        <v>650</v>
      </c>
      <c r="E787" s="20" t="s">
        <v>1242</v>
      </c>
      <c r="F787" s="32" t="s">
        <v>170</v>
      </c>
      <c r="G787" s="22" t="s">
        <v>53</v>
      </c>
      <c r="H787" s="23" t="s">
        <v>3557</v>
      </c>
      <c r="I787" s="24" t="s">
        <v>55</v>
      </c>
      <c r="J787" s="1" t="str">
        <f t="shared" si="0"/>
        <v/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6.25" hidden="1" customHeight="1">
      <c r="A788" s="17">
        <f t="shared" si="1"/>
        <v>785</v>
      </c>
      <c r="B788" s="18" t="s">
        <v>867</v>
      </c>
      <c r="C788" s="31" t="s">
        <v>3558</v>
      </c>
      <c r="D788" s="19" t="s">
        <v>3559</v>
      </c>
      <c r="E788" s="20" t="s">
        <v>3560</v>
      </c>
      <c r="F788" s="21" t="s">
        <v>933</v>
      </c>
      <c r="G788" s="33" t="s">
        <v>42</v>
      </c>
      <c r="H788" s="23" t="s">
        <v>3561</v>
      </c>
      <c r="I788" s="34" t="s">
        <v>20</v>
      </c>
      <c r="J788" s="1" t="str">
        <f t="shared" si="0"/>
        <v>과기</v>
      </c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</row>
    <row r="789" spans="1:24" ht="26.25" customHeight="1">
      <c r="A789" s="17">
        <f t="shared" si="1"/>
        <v>786</v>
      </c>
      <c r="B789" s="18" t="s">
        <v>27</v>
      </c>
      <c r="C789" s="19" t="s">
        <v>3562</v>
      </c>
      <c r="D789" s="19" t="s">
        <v>3563</v>
      </c>
      <c r="E789" s="20" t="s">
        <v>3564</v>
      </c>
      <c r="F789" s="21" t="s">
        <v>41</v>
      </c>
      <c r="G789" s="22" t="s">
        <v>53</v>
      </c>
      <c r="H789" s="23" t="s">
        <v>3565</v>
      </c>
      <c r="I789" s="24" t="s">
        <v>20</v>
      </c>
      <c r="J789" s="1" t="str">
        <f t="shared" si="0"/>
        <v>FRIC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6.25" hidden="1" customHeight="1">
      <c r="A790" s="17">
        <f t="shared" si="1"/>
        <v>787</v>
      </c>
      <c r="B790" s="18" t="s">
        <v>13</v>
      </c>
      <c r="C790" s="31" t="s">
        <v>3566</v>
      </c>
      <c r="D790" s="19" t="s">
        <v>3567</v>
      </c>
      <c r="E790" s="20" t="s">
        <v>3568</v>
      </c>
      <c r="F790" s="32" t="s">
        <v>3569</v>
      </c>
      <c r="G790" s="22" t="s">
        <v>53</v>
      </c>
      <c r="H790" s="23" t="s">
        <v>3570</v>
      </c>
      <c r="I790" s="24" t="s">
        <v>55</v>
      </c>
      <c r="J790" s="1" t="str">
        <f t="shared" si="0"/>
        <v/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6.25" customHeight="1">
      <c r="A791" s="17">
        <f t="shared" si="1"/>
        <v>788</v>
      </c>
      <c r="B791" s="18" t="s">
        <v>13</v>
      </c>
      <c r="C791" s="19" t="s">
        <v>3571</v>
      </c>
      <c r="D791" s="19" t="s">
        <v>3567</v>
      </c>
      <c r="E791" s="20" t="s">
        <v>3572</v>
      </c>
      <c r="F791" s="21" t="s">
        <v>3573</v>
      </c>
      <c r="G791" s="22" t="s">
        <v>53</v>
      </c>
      <c r="H791" s="23" t="s">
        <v>3574</v>
      </c>
      <c r="I791" s="24" t="s">
        <v>20</v>
      </c>
      <c r="J791" s="1" t="str">
        <f t="shared" si="0"/>
        <v>FRIC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6.25" hidden="1" customHeight="1">
      <c r="A792" s="17">
        <f t="shared" si="1"/>
        <v>789</v>
      </c>
      <c r="B792" s="18" t="s">
        <v>81</v>
      </c>
      <c r="C792" s="31" t="s">
        <v>3575</v>
      </c>
      <c r="D792" s="19" t="s">
        <v>3576</v>
      </c>
      <c r="E792" s="20" t="s">
        <v>3577</v>
      </c>
      <c r="F792" s="21" t="s">
        <v>2052</v>
      </c>
      <c r="G792" s="33" t="s">
        <v>53</v>
      </c>
      <c r="H792" s="23" t="s">
        <v>3578</v>
      </c>
      <c r="I792" s="34" t="s">
        <v>20</v>
      </c>
      <c r="J792" s="1" t="str">
        <f t="shared" si="0"/>
        <v>과기</v>
      </c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</row>
    <row r="793" spans="1:24" ht="26.25" hidden="1" customHeight="1">
      <c r="A793" s="17">
        <f t="shared" si="1"/>
        <v>790</v>
      </c>
      <c r="B793" s="18" t="s">
        <v>13</v>
      </c>
      <c r="C793" s="19" t="s">
        <v>3579</v>
      </c>
      <c r="D793" s="19" t="s">
        <v>3580</v>
      </c>
      <c r="E793" s="20" t="s">
        <v>1850</v>
      </c>
      <c r="F793" s="32" t="s">
        <v>3581</v>
      </c>
      <c r="G793" s="22" t="s">
        <v>53</v>
      </c>
      <c r="H793" s="23" t="s">
        <v>3582</v>
      </c>
      <c r="I793" s="34" t="s">
        <v>55</v>
      </c>
      <c r="J793" s="1" t="str">
        <f t="shared" si="0"/>
        <v/>
      </c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</row>
    <row r="794" spans="1:24" ht="26.25" customHeight="1">
      <c r="A794" s="17">
        <f t="shared" si="1"/>
        <v>791</v>
      </c>
      <c r="B794" s="18" t="s">
        <v>132</v>
      </c>
      <c r="C794" s="19" t="s">
        <v>3583</v>
      </c>
      <c r="D794" s="19" t="s">
        <v>3584</v>
      </c>
      <c r="E794" s="20" t="s">
        <v>3585</v>
      </c>
      <c r="F794" s="21" t="s">
        <v>905</v>
      </c>
      <c r="G794" s="22" t="s">
        <v>53</v>
      </c>
      <c r="H794" s="23" t="s">
        <v>3586</v>
      </c>
      <c r="I794" s="24" t="s">
        <v>20</v>
      </c>
      <c r="J794" s="1" t="str">
        <f t="shared" si="0"/>
        <v>FRIC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6.25" hidden="1" customHeight="1">
      <c r="A795" s="17">
        <f t="shared" si="1"/>
        <v>792</v>
      </c>
      <c r="B795" s="18" t="s">
        <v>13</v>
      </c>
      <c r="C795" s="31" t="s">
        <v>786</v>
      </c>
      <c r="D795" s="19" t="s">
        <v>3587</v>
      </c>
      <c r="E795" s="20" t="s">
        <v>788</v>
      </c>
      <c r="F795" s="32" t="s">
        <v>1033</v>
      </c>
      <c r="G795" s="22" t="s">
        <v>53</v>
      </c>
      <c r="H795" s="23" t="s">
        <v>3588</v>
      </c>
      <c r="I795" s="24" t="s">
        <v>55</v>
      </c>
      <c r="J795" s="1" t="str">
        <f t="shared" si="0"/>
        <v/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6.25" hidden="1" customHeight="1">
      <c r="A796" s="17">
        <f t="shared" si="1"/>
        <v>793</v>
      </c>
      <c r="B796" s="18" t="s">
        <v>27</v>
      </c>
      <c r="C796" s="31" t="s">
        <v>3589</v>
      </c>
      <c r="D796" s="19" t="s">
        <v>3590</v>
      </c>
      <c r="E796" s="20" t="s">
        <v>795</v>
      </c>
      <c r="F796" s="32" t="s">
        <v>2100</v>
      </c>
      <c r="G796" s="22" t="s">
        <v>53</v>
      </c>
      <c r="H796" s="23" t="s">
        <v>3591</v>
      </c>
      <c r="I796" s="24" t="s">
        <v>55</v>
      </c>
      <c r="J796" s="1" t="str">
        <f t="shared" si="0"/>
        <v/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6.25" hidden="1" customHeight="1">
      <c r="A797" s="17">
        <f t="shared" si="1"/>
        <v>794</v>
      </c>
      <c r="B797" s="18" t="s">
        <v>132</v>
      </c>
      <c r="C797" s="19" t="s">
        <v>3592</v>
      </c>
      <c r="D797" s="19" t="s">
        <v>3593</v>
      </c>
      <c r="E797" s="20" t="s">
        <v>1875</v>
      </c>
      <c r="F797" s="32" t="s">
        <v>2902</v>
      </c>
      <c r="G797" s="22" t="s">
        <v>53</v>
      </c>
      <c r="H797" s="23" t="s">
        <v>3594</v>
      </c>
      <c r="I797" s="34" t="s">
        <v>55</v>
      </c>
      <c r="J797" s="1" t="str">
        <f t="shared" si="0"/>
        <v/>
      </c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</row>
    <row r="798" spans="1:24" ht="26.25" customHeight="1">
      <c r="A798" s="17">
        <f t="shared" si="1"/>
        <v>795</v>
      </c>
      <c r="B798" s="18" t="s">
        <v>13</v>
      </c>
      <c r="C798" s="19" t="s">
        <v>3595</v>
      </c>
      <c r="D798" s="19" t="s">
        <v>3596</v>
      </c>
      <c r="E798" s="20" t="s">
        <v>3597</v>
      </c>
      <c r="F798" s="21" t="s">
        <v>135</v>
      </c>
      <c r="G798" s="22" t="s">
        <v>53</v>
      </c>
      <c r="H798" s="23" t="s">
        <v>3598</v>
      </c>
      <c r="I798" s="24" t="s">
        <v>20</v>
      </c>
      <c r="J798" s="1" t="str">
        <f t="shared" si="0"/>
        <v>FRIC</v>
      </c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6.25" hidden="1" customHeight="1">
      <c r="A799" s="17">
        <f t="shared" si="1"/>
        <v>796</v>
      </c>
      <c r="B799" s="18" t="s">
        <v>13</v>
      </c>
      <c r="C799" s="31" t="s">
        <v>3599</v>
      </c>
      <c r="D799" s="19" t="s">
        <v>3600</v>
      </c>
      <c r="E799" s="20" t="s">
        <v>3601</v>
      </c>
      <c r="F799" s="32" t="s">
        <v>2718</v>
      </c>
      <c r="G799" s="22" t="s">
        <v>53</v>
      </c>
      <c r="H799" s="23" t="s">
        <v>3602</v>
      </c>
      <c r="I799" s="24" t="s">
        <v>55</v>
      </c>
      <c r="J799" s="1" t="str">
        <f t="shared" si="0"/>
        <v/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6.25" hidden="1" customHeight="1">
      <c r="A800" s="17">
        <f t="shared" si="1"/>
        <v>797</v>
      </c>
      <c r="B800" s="18" t="s">
        <v>1375</v>
      </c>
      <c r="C800" s="19" t="s">
        <v>3603</v>
      </c>
      <c r="D800" s="19" t="s">
        <v>3604</v>
      </c>
      <c r="E800" s="20" t="s">
        <v>1881</v>
      </c>
      <c r="F800" s="32" t="s">
        <v>178</v>
      </c>
      <c r="G800" s="22" t="s">
        <v>53</v>
      </c>
      <c r="H800" s="23" t="s">
        <v>3605</v>
      </c>
      <c r="I800" s="34" t="s">
        <v>55</v>
      </c>
      <c r="J800" s="1" t="str">
        <f t="shared" si="0"/>
        <v/>
      </c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</row>
    <row r="801" spans="1:24" ht="26.25" hidden="1" customHeight="1">
      <c r="A801" s="17">
        <f t="shared" si="1"/>
        <v>798</v>
      </c>
      <c r="B801" s="18" t="s">
        <v>1375</v>
      </c>
      <c r="C801" s="31" t="s">
        <v>3606</v>
      </c>
      <c r="D801" s="19" t="s">
        <v>3607</v>
      </c>
      <c r="E801" s="20" t="s">
        <v>3608</v>
      </c>
      <c r="F801" s="32" t="s">
        <v>3609</v>
      </c>
      <c r="G801" s="22" t="s">
        <v>53</v>
      </c>
      <c r="H801" s="23" t="s">
        <v>3610</v>
      </c>
      <c r="I801" s="24" t="s">
        <v>55</v>
      </c>
      <c r="J801" s="1" t="str">
        <f t="shared" si="0"/>
        <v/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6.25" hidden="1" customHeight="1">
      <c r="A802" s="17">
        <f t="shared" si="1"/>
        <v>799</v>
      </c>
      <c r="B802" s="18" t="s">
        <v>37</v>
      </c>
      <c r="C802" s="39" t="s">
        <v>1885</v>
      </c>
      <c r="D802" s="19" t="s">
        <v>3611</v>
      </c>
      <c r="E802" s="20"/>
      <c r="F802" s="32" t="s">
        <v>3612</v>
      </c>
      <c r="G802" s="33" t="s">
        <v>53</v>
      </c>
      <c r="H802" s="23" t="s">
        <v>3613</v>
      </c>
      <c r="I802" s="34" t="s">
        <v>55</v>
      </c>
      <c r="J802" s="1" t="str">
        <f t="shared" si="0"/>
        <v/>
      </c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</row>
    <row r="803" spans="1:24" ht="26.25" customHeight="1">
      <c r="A803" s="17">
        <f t="shared" si="1"/>
        <v>800</v>
      </c>
      <c r="B803" s="18" t="s">
        <v>132</v>
      </c>
      <c r="C803" s="19" t="s">
        <v>3614</v>
      </c>
      <c r="D803" s="19" t="s">
        <v>3615</v>
      </c>
      <c r="E803" s="20" t="s">
        <v>3616</v>
      </c>
      <c r="F803" s="21" t="s">
        <v>1011</v>
      </c>
      <c r="G803" s="22" t="s">
        <v>53</v>
      </c>
      <c r="H803" s="23" t="s">
        <v>3617</v>
      </c>
      <c r="I803" s="24" t="s">
        <v>20</v>
      </c>
      <c r="J803" s="1" t="str">
        <f t="shared" si="0"/>
        <v>FRIC</v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6.25" customHeight="1">
      <c r="A804" s="17">
        <f t="shared" si="1"/>
        <v>801</v>
      </c>
      <c r="B804" s="18" t="s">
        <v>132</v>
      </c>
      <c r="C804" s="19" t="s">
        <v>3618</v>
      </c>
      <c r="D804" s="19" t="s">
        <v>3584</v>
      </c>
      <c r="E804" s="20" t="s">
        <v>3619</v>
      </c>
      <c r="F804" s="21" t="s">
        <v>3266</v>
      </c>
      <c r="G804" s="22" t="s">
        <v>53</v>
      </c>
      <c r="H804" s="23" t="s">
        <v>3620</v>
      </c>
      <c r="I804" s="24" t="s">
        <v>20</v>
      </c>
      <c r="J804" s="1" t="str">
        <f t="shared" si="0"/>
        <v>FRIC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6.25" hidden="1" customHeight="1">
      <c r="A805" s="17">
        <f t="shared" si="1"/>
        <v>802</v>
      </c>
      <c r="B805" s="18" t="s">
        <v>13</v>
      </c>
      <c r="C805" s="19" t="s">
        <v>1768</v>
      </c>
      <c r="D805" s="19" t="s">
        <v>1769</v>
      </c>
      <c r="E805" s="20" t="s">
        <v>1770</v>
      </c>
      <c r="F805" s="32" t="s">
        <v>178</v>
      </c>
      <c r="G805" s="22" t="s">
        <v>53</v>
      </c>
      <c r="H805" s="23" t="s">
        <v>3621</v>
      </c>
      <c r="I805" s="34" t="s">
        <v>55</v>
      </c>
      <c r="J805" s="1" t="str">
        <f t="shared" si="0"/>
        <v/>
      </c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</row>
    <row r="806" spans="1:24" ht="26.25" hidden="1" customHeight="1">
      <c r="A806" s="17">
        <f t="shared" si="1"/>
        <v>803</v>
      </c>
      <c r="B806" s="18" t="s">
        <v>13</v>
      </c>
      <c r="C806" s="19" t="s">
        <v>1772</v>
      </c>
      <c r="D806" s="19" t="s">
        <v>3622</v>
      </c>
      <c r="E806" s="20" t="s">
        <v>1774</v>
      </c>
      <c r="F806" s="32" t="s">
        <v>52</v>
      </c>
      <c r="G806" s="22" t="s">
        <v>53</v>
      </c>
      <c r="H806" s="23" t="s">
        <v>3623</v>
      </c>
      <c r="I806" s="34" t="s">
        <v>55</v>
      </c>
      <c r="J806" s="1" t="str">
        <f t="shared" si="0"/>
        <v/>
      </c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</row>
    <row r="807" spans="1:24" ht="26.25" customHeight="1">
      <c r="A807" s="17">
        <f t="shared" si="1"/>
        <v>804</v>
      </c>
      <c r="B807" s="18" t="s">
        <v>13</v>
      </c>
      <c r="C807" s="19" t="s">
        <v>3624</v>
      </c>
      <c r="D807" s="19" t="s">
        <v>3625</v>
      </c>
      <c r="E807" s="20" t="s">
        <v>3626</v>
      </c>
      <c r="F807" s="21" t="s">
        <v>3627</v>
      </c>
      <c r="G807" s="22" t="s">
        <v>53</v>
      </c>
      <c r="H807" s="23" t="s">
        <v>3628</v>
      </c>
      <c r="I807" s="24" t="s">
        <v>20</v>
      </c>
      <c r="J807" s="1" t="str">
        <f t="shared" si="0"/>
        <v>FRIC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6.25" hidden="1" customHeight="1">
      <c r="A808" s="17">
        <f t="shared" si="1"/>
        <v>805</v>
      </c>
      <c r="B808" s="18" t="s">
        <v>13</v>
      </c>
      <c r="C808" s="31" t="s">
        <v>3629</v>
      </c>
      <c r="D808" s="19" t="s">
        <v>3630</v>
      </c>
      <c r="E808" s="20" t="s">
        <v>3631</v>
      </c>
      <c r="F808" s="32" t="s">
        <v>3632</v>
      </c>
      <c r="G808" s="22" t="s">
        <v>53</v>
      </c>
      <c r="H808" s="23" t="s">
        <v>3633</v>
      </c>
      <c r="I808" s="24" t="s">
        <v>55</v>
      </c>
      <c r="J808" s="1" t="str">
        <f t="shared" si="0"/>
        <v/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6.25" customHeight="1">
      <c r="A809" s="17">
        <f t="shared" si="1"/>
        <v>806</v>
      </c>
      <c r="B809" s="18" t="s">
        <v>13</v>
      </c>
      <c r="C809" s="19" t="s">
        <v>3634</v>
      </c>
      <c r="D809" s="19" t="s">
        <v>3635</v>
      </c>
      <c r="E809" s="79" t="s">
        <v>3636</v>
      </c>
      <c r="F809" s="21" t="s">
        <v>3637</v>
      </c>
      <c r="G809" s="22" t="s">
        <v>53</v>
      </c>
      <c r="H809" s="23" t="s">
        <v>3638</v>
      </c>
      <c r="I809" s="24" t="s">
        <v>20</v>
      </c>
      <c r="J809" s="1" t="str">
        <f t="shared" si="0"/>
        <v>FRIC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6.25" hidden="1" customHeight="1">
      <c r="A810" s="17">
        <f t="shared" si="1"/>
        <v>807</v>
      </c>
      <c r="B810" s="18" t="s">
        <v>13</v>
      </c>
      <c r="C810" s="19" t="s">
        <v>1779</v>
      </c>
      <c r="D810" s="19" t="s">
        <v>3584</v>
      </c>
      <c r="E810" s="20" t="s">
        <v>1781</v>
      </c>
      <c r="F810" s="32" t="s">
        <v>52</v>
      </c>
      <c r="G810" s="22" t="s">
        <v>53</v>
      </c>
      <c r="H810" s="23" t="s">
        <v>3639</v>
      </c>
      <c r="I810" s="34" t="s">
        <v>55</v>
      </c>
      <c r="J810" s="1" t="str">
        <f t="shared" si="0"/>
        <v/>
      </c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</row>
    <row r="811" spans="1:24" ht="26.25" customHeight="1">
      <c r="A811" s="17">
        <f t="shared" si="1"/>
        <v>808</v>
      </c>
      <c r="B811" s="18" t="s">
        <v>13</v>
      </c>
      <c r="C811" s="19" t="s">
        <v>3640</v>
      </c>
      <c r="D811" s="19" t="s">
        <v>2015</v>
      </c>
      <c r="E811" s="20" t="s">
        <v>3641</v>
      </c>
      <c r="F811" s="21" t="s">
        <v>3642</v>
      </c>
      <c r="G811" s="22" t="s">
        <v>53</v>
      </c>
      <c r="H811" s="23" t="s">
        <v>3643</v>
      </c>
      <c r="I811" s="24" t="s">
        <v>20</v>
      </c>
      <c r="J811" s="1" t="str">
        <f t="shared" si="0"/>
        <v>FRIC</v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6.25" customHeight="1">
      <c r="A812" s="17">
        <f t="shared" si="1"/>
        <v>809</v>
      </c>
      <c r="B812" s="18" t="s">
        <v>37</v>
      </c>
      <c r="C812" s="19" t="s">
        <v>3644</v>
      </c>
      <c r="D812" s="19" t="s">
        <v>3645</v>
      </c>
      <c r="E812" s="20" t="s">
        <v>3646</v>
      </c>
      <c r="F812" s="21" t="s">
        <v>3647</v>
      </c>
      <c r="G812" s="22" t="s">
        <v>53</v>
      </c>
      <c r="H812" s="23" t="s">
        <v>3648</v>
      </c>
      <c r="I812" s="24" t="s">
        <v>20</v>
      </c>
      <c r="J812" s="1" t="str">
        <f t="shared" si="0"/>
        <v>FRIC</v>
      </c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6.25" hidden="1" customHeight="1">
      <c r="A813" s="17">
        <f t="shared" si="1"/>
        <v>810</v>
      </c>
      <c r="B813" s="18" t="s">
        <v>105</v>
      </c>
      <c r="C813" s="31" t="s">
        <v>3649</v>
      </c>
      <c r="D813" s="19" t="s">
        <v>3650</v>
      </c>
      <c r="E813" s="20" t="s">
        <v>3651</v>
      </c>
      <c r="F813" s="32" t="s">
        <v>3652</v>
      </c>
      <c r="G813" s="33" t="s">
        <v>53</v>
      </c>
      <c r="H813" s="23" t="s">
        <v>3653</v>
      </c>
      <c r="I813" s="24" t="s">
        <v>55</v>
      </c>
      <c r="J813" s="1" t="str">
        <f t="shared" si="0"/>
        <v/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6.25" customHeight="1">
      <c r="A814" s="17">
        <f t="shared" si="1"/>
        <v>811</v>
      </c>
      <c r="B814" s="18" t="s">
        <v>132</v>
      </c>
      <c r="C814" s="19" t="s">
        <v>3654</v>
      </c>
      <c r="D814" s="19" t="s">
        <v>3655</v>
      </c>
      <c r="E814" s="20" t="s">
        <v>3656</v>
      </c>
      <c r="F814" s="21" t="s">
        <v>3657</v>
      </c>
      <c r="G814" s="22" t="s">
        <v>53</v>
      </c>
      <c r="H814" s="23" t="s">
        <v>3658</v>
      </c>
      <c r="I814" s="24" t="s">
        <v>20</v>
      </c>
      <c r="J814" s="1" t="str">
        <f t="shared" si="0"/>
        <v>FRIC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6.25" hidden="1" customHeight="1">
      <c r="A815" s="17">
        <f t="shared" si="1"/>
        <v>812</v>
      </c>
      <c r="B815" s="18" t="s">
        <v>132</v>
      </c>
      <c r="C815" s="31" t="s">
        <v>3659</v>
      </c>
      <c r="D815" s="19" t="s">
        <v>3660</v>
      </c>
      <c r="E815" s="20" t="s">
        <v>3661</v>
      </c>
      <c r="F815" s="32" t="s">
        <v>3662</v>
      </c>
      <c r="G815" s="22" t="s">
        <v>53</v>
      </c>
      <c r="H815" s="23" t="s">
        <v>3663</v>
      </c>
      <c r="I815" s="24" t="s">
        <v>55</v>
      </c>
      <c r="J815" s="1" t="str">
        <f t="shared" si="0"/>
        <v/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6.25" customHeight="1">
      <c r="A816" s="17">
        <f t="shared" si="1"/>
        <v>813</v>
      </c>
      <c r="B816" s="18" t="s">
        <v>27</v>
      </c>
      <c r="C816" s="19" t="s">
        <v>3664</v>
      </c>
      <c r="D816" s="19" t="s">
        <v>3665</v>
      </c>
      <c r="E816" s="20" t="s">
        <v>3666</v>
      </c>
      <c r="F816" s="21" t="s">
        <v>3667</v>
      </c>
      <c r="G816" s="22" t="s">
        <v>53</v>
      </c>
      <c r="H816" s="23" t="s">
        <v>3668</v>
      </c>
      <c r="I816" s="24" t="s">
        <v>20</v>
      </c>
      <c r="J816" s="1" t="str">
        <f t="shared" si="0"/>
        <v>FRIC</v>
      </c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6.25" customHeight="1">
      <c r="A817" s="17">
        <f t="shared" si="1"/>
        <v>814</v>
      </c>
      <c r="B817" s="18" t="s">
        <v>132</v>
      </c>
      <c r="C817" s="19" t="s">
        <v>3669</v>
      </c>
      <c r="D817" s="19" t="s">
        <v>3670</v>
      </c>
      <c r="E817" s="20" t="s">
        <v>3671</v>
      </c>
      <c r="F817" s="21" t="s">
        <v>135</v>
      </c>
      <c r="G817" s="22" t="s">
        <v>53</v>
      </c>
      <c r="H817" s="23" t="s">
        <v>3672</v>
      </c>
      <c r="I817" s="24" t="s">
        <v>20</v>
      </c>
      <c r="J817" s="1" t="str">
        <f t="shared" si="0"/>
        <v>FRIC</v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6.25" hidden="1" customHeight="1">
      <c r="A818" s="17">
        <f t="shared" si="1"/>
        <v>815</v>
      </c>
      <c r="B818" s="18" t="s">
        <v>132</v>
      </c>
      <c r="C818" s="31" t="s">
        <v>3673</v>
      </c>
      <c r="D818" s="19" t="s">
        <v>3670</v>
      </c>
      <c r="E818" s="20" t="s">
        <v>758</v>
      </c>
      <c r="F818" s="32" t="s">
        <v>170</v>
      </c>
      <c r="G818" s="22" t="s">
        <v>53</v>
      </c>
      <c r="H818" s="23" t="s">
        <v>3674</v>
      </c>
      <c r="I818" s="24" t="s">
        <v>55</v>
      </c>
      <c r="J818" s="1" t="str">
        <f t="shared" si="0"/>
        <v/>
      </c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6.25" customHeight="1">
      <c r="A819" s="17">
        <f t="shared" si="1"/>
        <v>816</v>
      </c>
      <c r="B819" s="18" t="s">
        <v>37</v>
      </c>
      <c r="C819" s="19" t="s">
        <v>3675</v>
      </c>
      <c r="D819" s="19" t="s">
        <v>3676</v>
      </c>
      <c r="E819" s="20" t="s">
        <v>3677</v>
      </c>
      <c r="F819" s="21" t="s">
        <v>3678</v>
      </c>
      <c r="G819" s="22" t="s">
        <v>53</v>
      </c>
      <c r="H819" s="23" t="s">
        <v>3679</v>
      </c>
      <c r="I819" s="24" t="s">
        <v>20</v>
      </c>
      <c r="J819" s="1" t="str">
        <f t="shared" si="0"/>
        <v>FRIC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6.25" hidden="1" customHeight="1">
      <c r="A820" s="17">
        <f t="shared" si="1"/>
        <v>817</v>
      </c>
      <c r="B820" s="18" t="s">
        <v>13</v>
      </c>
      <c r="C820" s="31" t="s">
        <v>3680</v>
      </c>
      <c r="D820" s="19" t="s">
        <v>3681</v>
      </c>
      <c r="E820" s="20" t="s">
        <v>3682</v>
      </c>
      <c r="F820" s="32" t="s">
        <v>3683</v>
      </c>
      <c r="G820" s="22" t="s">
        <v>53</v>
      </c>
      <c r="H820" s="23" t="s">
        <v>3684</v>
      </c>
      <c r="I820" s="24" t="s">
        <v>55</v>
      </c>
      <c r="J820" s="1" t="str">
        <f t="shared" si="0"/>
        <v/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6.25" hidden="1" customHeight="1">
      <c r="A821" s="17">
        <f t="shared" si="1"/>
        <v>818</v>
      </c>
      <c r="B821" s="18" t="s">
        <v>1375</v>
      </c>
      <c r="C821" s="31" t="s">
        <v>3685</v>
      </c>
      <c r="D821" s="19" t="s">
        <v>3686</v>
      </c>
      <c r="E821" s="20" t="s">
        <v>3687</v>
      </c>
      <c r="F821" s="32" t="s">
        <v>3688</v>
      </c>
      <c r="G821" s="22" t="s">
        <v>53</v>
      </c>
      <c r="H821" s="23" t="s">
        <v>3689</v>
      </c>
      <c r="I821" s="24" t="s">
        <v>55</v>
      </c>
      <c r="J821" s="1" t="str">
        <f t="shared" si="0"/>
        <v/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6.25" hidden="1" customHeight="1">
      <c r="A822" s="17">
        <f t="shared" si="1"/>
        <v>819</v>
      </c>
      <c r="B822" s="18" t="s">
        <v>13</v>
      </c>
      <c r="C822" s="31" t="s">
        <v>3690</v>
      </c>
      <c r="D822" s="19" t="s">
        <v>3691</v>
      </c>
      <c r="E822" s="20" t="s">
        <v>3692</v>
      </c>
      <c r="F822" s="32" t="s">
        <v>3693</v>
      </c>
      <c r="G822" s="22" t="s">
        <v>53</v>
      </c>
      <c r="H822" s="23" t="s">
        <v>3694</v>
      </c>
      <c r="I822" s="24" t="s">
        <v>55</v>
      </c>
      <c r="J822" s="1" t="str">
        <f t="shared" si="0"/>
        <v/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6.25" hidden="1" customHeight="1">
      <c r="A823" s="17">
        <f t="shared" si="1"/>
        <v>820</v>
      </c>
      <c r="B823" s="18" t="s">
        <v>13</v>
      </c>
      <c r="C823" s="31" t="s">
        <v>3695</v>
      </c>
      <c r="D823" s="19" t="s">
        <v>3696</v>
      </c>
      <c r="E823" s="20" t="s">
        <v>3697</v>
      </c>
      <c r="F823" s="32" t="s">
        <v>3698</v>
      </c>
      <c r="G823" s="22" t="s">
        <v>53</v>
      </c>
      <c r="H823" s="23" t="s">
        <v>3699</v>
      </c>
      <c r="I823" s="24" t="s">
        <v>55</v>
      </c>
      <c r="J823" s="1" t="str">
        <f t="shared" si="0"/>
        <v/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6.25" customHeight="1">
      <c r="A824" s="17">
        <f t="shared" si="1"/>
        <v>821</v>
      </c>
      <c r="B824" s="18" t="s">
        <v>13</v>
      </c>
      <c r="C824" s="19" t="s">
        <v>3700</v>
      </c>
      <c r="D824" s="19" t="s">
        <v>3701</v>
      </c>
      <c r="E824" s="20" t="s">
        <v>3702</v>
      </c>
      <c r="F824" s="21" t="s">
        <v>17</v>
      </c>
      <c r="G824" s="22" t="s">
        <v>53</v>
      </c>
      <c r="H824" s="23" t="s">
        <v>3703</v>
      </c>
      <c r="I824" s="24" t="s">
        <v>20</v>
      </c>
      <c r="J824" s="1" t="str">
        <f t="shared" si="0"/>
        <v>FRIC</v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6.25" customHeight="1">
      <c r="A825" s="17">
        <f t="shared" si="1"/>
        <v>822</v>
      </c>
      <c r="B825" s="18" t="s">
        <v>13</v>
      </c>
      <c r="C825" s="19" t="s">
        <v>3704</v>
      </c>
      <c r="D825" s="19" t="s">
        <v>3705</v>
      </c>
      <c r="E825" s="20" t="s">
        <v>3706</v>
      </c>
      <c r="F825" s="21" t="s">
        <v>905</v>
      </c>
      <c r="G825" s="22" t="s">
        <v>53</v>
      </c>
      <c r="H825" s="23" t="s">
        <v>3707</v>
      </c>
      <c r="I825" s="24" t="s">
        <v>20</v>
      </c>
      <c r="J825" s="1" t="str">
        <f t="shared" si="0"/>
        <v>FRIC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6.25" customHeight="1">
      <c r="A826" s="17">
        <f t="shared" si="1"/>
        <v>823</v>
      </c>
      <c r="B826" s="18" t="s">
        <v>37</v>
      </c>
      <c r="C826" s="19" t="s">
        <v>3708</v>
      </c>
      <c r="D826" s="19" t="s">
        <v>3709</v>
      </c>
      <c r="E826" s="20" t="s">
        <v>3710</v>
      </c>
      <c r="F826" s="21" t="s">
        <v>3711</v>
      </c>
      <c r="G826" s="22" t="s">
        <v>53</v>
      </c>
      <c r="H826" s="23" t="s">
        <v>3712</v>
      </c>
      <c r="I826" s="24" t="s">
        <v>20</v>
      </c>
      <c r="J826" s="1" t="str">
        <f t="shared" si="0"/>
        <v>FRIC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6.25" hidden="1" customHeight="1">
      <c r="A827" s="17">
        <f t="shared" si="1"/>
        <v>824</v>
      </c>
      <c r="B827" s="18" t="s">
        <v>132</v>
      </c>
      <c r="C827" s="19" t="s">
        <v>3713</v>
      </c>
      <c r="D827" s="19" t="s">
        <v>3714</v>
      </c>
      <c r="E827" s="20" t="s">
        <v>1787</v>
      </c>
      <c r="F827" s="32" t="s">
        <v>3715</v>
      </c>
      <c r="G827" s="22" t="s">
        <v>53</v>
      </c>
      <c r="H827" s="23" t="s">
        <v>3716</v>
      </c>
      <c r="I827" s="34" t="s">
        <v>55</v>
      </c>
      <c r="J827" s="1" t="str">
        <f t="shared" si="0"/>
        <v/>
      </c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</row>
    <row r="828" spans="1:24" ht="26.25" hidden="1" customHeight="1">
      <c r="A828" s="17">
        <f t="shared" si="1"/>
        <v>825</v>
      </c>
      <c r="B828" s="18" t="s">
        <v>132</v>
      </c>
      <c r="C828" s="19" t="s">
        <v>3717</v>
      </c>
      <c r="D828" s="19" t="s">
        <v>3718</v>
      </c>
      <c r="E828" s="20" t="s">
        <v>1794</v>
      </c>
      <c r="F828" s="32" t="s">
        <v>3719</v>
      </c>
      <c r="G828" s="22" t="s">
        <v>53</v>
      </c>
      <c r="H828" s="23" t="s">
        <v>3720</v>
      </c>
      <c r="I828" s="34" t="s">
        <v>55</v>
      </c>
      <c r="J828" s="1" t="str">
        <f t="shared" si="0"/>
        <v/>
      </c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</row>
    <row r="829" spans="1:24" ht="26.25" hidden="1" customHeight="1">
      <c r="A829" s="17">
        <f t="shared" si="1"/>
        <v>826</v>
      </c>
      <c r="B829" s="18" t="s">
        <v>132</v>
      </c>
      <c r="C829" s="19" t="s">
        <v>1796</v>
      </c>
      <c r="D829" s="19" t="s">
        <v>3676</v>
      </c>
      <c r="E829" s="20" t="s">
        <v>1798</v>
      </c>
      <c r="F829" s="32" t="s">
        <v>3721</v>
      </c>
      <c r="G829" s="22" t="s">
        <v>53</v>
      </c>
      <c r="H829" s="23" t="s">
        <v>3722</v>
      </c>
      <c r="I829" s="34" t="s">
        <v>55</v>
      </c>
      <c r="J829" s="1" t="str">
        <f t="shared" si="0"/>
        <v/>
      </c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</row>
    <row r="830" spans="1:24" ht="26.25" customHeight="1">
      <c r="A830" s="17">
        <f t="shared" si="1"/>
        <v>827</v>
      </c>
      <c r="B830" s="18" t="s">
        <v>132</v>
      </c>
      <c r="C830" s="19" t="s">
        <v>3723</v>
      </c>
      <c r="D830" s="19" t="s">
        <v>3676</v>
      </c>
      <c r="E830" s="20" t="s">
        <v>3724</v>
      </c>
      <c r="F830" s="21" t="s">
        <v>2382</v>
      </c>
      <c r="G830" s="22" t="s">
        <v>53</v>
      </c>
      <c r="H830" s="23" t="s">
        <v>3725</v>
      </c>
      <c r="I830" s="24" t="s">
        <v>20</v>
      </c>
      <c r="J830" s="1" t="str">
        <f t="shared" si="0"/>
        <v>FRIC</v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6.25" customHeight="1">
      <c r="A831" s="17">
        <f t="shared" si="1"/>
        <v>828</v>
      </c>
      <c r="B831" s="18" t="s">
        <v>132</v>
      </c>
      <c r="C831" s="19" t="s">
        <v>3726</v>
      </c>
      <c r="D831" s="19" t="s">
        <v>3727</v>
      </c>
      <c r="E831" s="20" t="s">
        <v>3728</v>
      </c>
      <c r="F831" s="21" t="s">
        <v>3729</v>
      </c>
      <c r="G831" s="22" t="s">
        <v>53</v>
      </c>
      <c r="H831" s="23" t="s">
        <v>3730</v>
      </c>
      <c r="I831" s="24" t="s">
        <v>20</v>
      </c>
      <c r="J831" s="1" t="str">
        <f t="shared" si="0"/>
        <v>FRIC</v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6.25" hidden="1" customHeight="1">
      <c r="A832" s="17">
        <f t="shared" si="1"/>
        <v>829</v>
      </c>
      <c r="B832" s="18" t="s">
        <v>105</v>
      </c>
      <c r="C832" s="31" t="s">
        <v>3731</v>
      </c>
      <c r="D832" s="19" t="s">
        <v>2460</v>
      </c>
      <c r="E832" s="20" t="s">
        <v>283</v>
      </c>
      <c r="F832" s="32" t="s">
        <v>3732</v>
      </c>
      <c r="G832" s="33" t="s">
        <v>53</v>
      </c>
      <c r="H832" s="23" t="s">
        <v>3733</v>
      </c>
      <c r="I832" s="24" t="s">
        <v>55</v>
      </c>
      <c r="J832" s="1" t="str">
        <f t="shared" si="0"/>
        <v/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6.25" hidden="1" customHeight="1">
      <c r="A833" s="17">
        <f t="shared" si="1"/>
        <v>830</v>
      </c>
      <c r="B833" s="18" t="s">
        <v>13</v>
      </c>
      <c r="C833" s="19" t="s">
        <v>3734</v>
      </c>
      <c r="D833" s="19" t="s">
        <v>3735</v>
      </c>
      <c r="E833" s="20" t="s">
        <v>1802</v>
      </c>
      <c r="F833" s="32" t="s">
        <v>3736</v>
      </c>
      <c r="G833" s="33" t="s">
        <v>53</v>
      </c>
      <c r="H833" s="23" t="s">
        <v>3737</v>
      </c>
      <c r="I833" s="34" t="s">
        <v>55</v>
      </c>
      <c r="J833" s="1" t="str">
        <f t="shared" si="0"/>
        <v/>
      </c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</row>
    <row r="834" spans="1:24" ht="26.25" hidden="1" customHeight="1">
      <c r="A834" s="17">
        <f t="shared" si="1"/>
        <v>831</v>
      </c>
      <c r="B834" s="18" t="s">
        <v>132</v>
      </c>
      <c r="C834" s="31" t="s">
        <v>3738</v>
      </c>
      <c r="D834" s="19" t="s">
        <v>3739</v>
      </c>
      <c r="E834" s="20" t="s">
        <v>3740</v>
      </c>
      <c r="F834" s="32" t="s">
        <v>3741</v>
      </c>
      <c r="G834" s="33" t="s">
        <v>53</v>
      </c>
      <c r="H834" s="23" t="s">
        <v>3742</v>
      </c>
      <c r="I834" s="24" t="s">
        <v>55</v>
      </c>
      <c r="J834" s="1" t="str">
        <f t="shared" si="0"/>
        <v/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6.25" customHeight="1">
      <c r="A835" s="17">
        <f t="shared" si="1"/>
        <v>832</v>
      </c>
      <c r="B835" s="18" t="s">
        <v>27</v>
      </c>
      <c r="C835" s="19" t="s">
        <v>3743</v>
      </c>
      <c r="D835" s="19" t="s">
        <v>3744</v>
      </c>
      <c r="E835" s="20" t="s">
        <v>3745</v>
      </c>
      <c r="F835" s="21" t="s">
        <v>135</v>
      </c>
      <c r="G835" s="33" t="s">
        <v>53</v>
      </c>
      <c r="H835" s="23" t="s">
        <v>3746</v>
      </c>
      <c r="I835" s="24" t="s">
        <v>20</v>
      </c>
      <c r="J835" s="1" t="str">
        <f t="shared" si="0"/>
        <v>FRIC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6.25" hidden="1" customHeight="1">
      <c r="A836" s="17">
        <f t="shared" si="1"/>
        <v>833</v>
      </c>
      <c r="B836" s="18" t="s">
        <v>867</v>
      </c>
      <c r="C836" s="31" t="s">
        <v>3747</v>
      </c>
      <c r="D836" s="19" t="s">
        <v>3718</v>
      </c>
      <c r="E836" s="20" t="s">
        <v>3748</v>
      </c>
      <c r="F836" s="32" t="s">
        <v>3749</v>
      </c>
      <c r="G836" s="33" t="s">
        <v>53</v>
      </c>
      <c r="H836" s="23" t="s">
        <v>3750</v>
      </c>
      <c r="I836" s="24" t="s">
        <v>55</v>
      </c>
      <c r="J836" s="1" t="str">
        <f t="shared" si="0"/>
        <v/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6.25" hidden="1" customHeight="1">
      <c r="A837" s="17">
        <f t="shared" si="1"/>
        <v>834</v>
      </c>
      <c r="B837" s="18" t="s">
        <v>867</v>
      </c>
      <c r="C837" s="31" t="s">
        <v>3751</v>
      </c>
      <c r="D837" s="19" t="s">
        <v>3752</v>
      </c>
      <c r="E837" s="20" t="s">
        <v>3753</v>
      </c>
      <c r="F837" s="32" t="s">
        <v>3754</v>
      </c>
      <c r="G837" s="33" t="s">
        <v>53</v>
      </c>
      <c r="H837" s="23" t="s">
        <v>3755</v>
      </c>
      <c r="I837" s="24" t="s">
        <v>55</v>
      </c>
      <c r="J837" s="1" t="str">
        <f t="shared" si="0"/>
        <v/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6.25" customHeight="1">
      <c r="A838" s="17">
        <f t="shared" si="1"/>
        <v>835</v>
      </c>
      <c r="B838" s="18" t="s">
        <v>13</v>
      </c>
      <c r="C838" s="19" t="s">
        <v>3756</v>
      </c>
      <c r="D838" s="19" t="s">
        <v>3757</v>
      </c>
      <c r="E838" s="20" t="s">
        <v>3758</v>
      </c>
      <c r="F838" s="21" t="s">
        <v>2052</v>
      </c>
      <c r="G838" s="33" t="s">
        <v>53</v>
      </c>
      <c r="H838" s="23" t="s">
        <v>3759</v>
      </c>
      <c r="I838" s="24" t="s">
        <v>20</v>
      </c>
      <c r="J838" s="1" t="str">
        <f t="shared" si="0"/>
        <v>FRIC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6.25" hidden="1" customHeight="1">
      <c r="A839" s="17">
        <f t="shared" si="1"/>
        <v>836</v>
      </c>
      <c r="B839" s="18" t="s">
        <v>175</v>
      </c>
      <c r="C839" s="31" t="s">
        <v>3760</v>
      </c>
      <c r="D839" s="19" t="s">
        <v>3761</v>
      </c>
      <c r="E839" s="20" t="s">
        <v>3762</v>
      </c>
      <c r="F839" s="21" t="s">
        <v>2052</v>
      </c>
      <c r="G839" s="33" t="s">
        <v>53</v>
      </c>
      <c r="H839" s="23" t="s">
        <v>3763</v>
      </c>
      <c r="I839" s="34" t="s">
        <v>20</v>
      </c>
      <c r="J839" s="1" t="str">
        <f t="shared" si="0"/>
        <v>과기</v>
      </c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</row>
    <row r="840" spans="1:24" ht="26.25" hidden="1" customHeight="1">
      <c r="A840" s="17">
        <f t="shared" si="1"/>
        <v>837</v>
      </c>
      <c r="B840" s="18" t="s">
        <v>3194</v>
      </c>
      <c r="C840" s="31" t="s">
        <v>3764</v>
      </c>
      <c r="D840" s="19" t="s">
        <v>3765</v>
      </c>
      <c r="E840" s="20" t="s">
        <v>3766</v>
      </c>
      <c r="F840" s="32" t="s">
        <v>3767</v>
      </c>
      <c r="G840" s="33" t="s">
        <v>53</v>
      </c>
      <c r="H840" s="23" t="s">
        <v>3768</v>
      </c>
      <c r="I840" s="24" t="s">
        <v>55</v>
      </c>
      <c r="J840" s="1" t="str">
        <f t="shared" si="0"/>
        <v/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6.25" hidden="1" customHeight="1">
      <c r="A841" s="17">
        <f t="shared" si="1"/>
        <v>838</v>
      </c>
      <c r="B841" s="18" t="s">
        <v>175</v>
      </c>
      <c r="C841" s="31" t="s">
        <v>3769</v>
      </c>
      <c r="D841" s="19" t="s">
        <v>3770</v>
      </c>
      <c r="E841" s="20" t="s">
        <v>432</v>
      </c>
      <c r="F841" s="32" t="s">
        <v>3771</v>
      </c>
      <c r="G841" s="33" t="s">
        <v>53</v>
      </c>
      <c r="H841" s="23" t="s">
        <v>3772</v>
      </c>
      <c r="I841" s="24" t="s">
        <v>55</v>
      </c>
      <c r="J841" s="1" t="str">
        <f t="shared" si="0"/>
        <v/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6.25" hidden="1" customHeight="1">
      <c r="A842" s="17">
        <f t="shared" si="1"/>
        <v>839</v>
      </c>
      <c r="B842" s="18" t="s">
        <v>175</v>
      </c>
      <c r="C842" s="31" t="s">
        <v>3773</v>
      </c>
      <c r="D842" s="19" t="s">
        <v>3774</v>
      </c>
      <c r="E842" s="20" t="s">
        <v>1583</v>
      </c>
      <c r="F842" s="21" t="s">
        <v>3775</v>
      </c>
      <c r="G842" s="33" t="s">
        <v>53</v>
      </c>
      <c r="H842" s="23" t="s">
        <v>3776</v>
      </c>
      <c r="I842" s="34" t="s">
        <v>55</v>
      </c>
      <c r="J842" s="1" t="str">
        <f t="shared" si="0"/>
        <v/>
      </c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</row>
    <row r="843" spans="1:24" ht="26.25" hidden="1" customHeight="1">
      <c r="A843" s="17">
        <f t="shared" si="1"/>
        <v>840</v>
      </c>
      <c r="B843" s="18" t="s">
        <v>27</v>
      </c>
      <c r="C843" s="31" t="s">
        <v>3777</v>
      </c>
      <c r="D843" s="19" t="s">
        <v>3778</v>
      </c>
      <c r="E843" s="1"/>
      <c r="F843" s="32" t="s">
        <v>3779</v>
      </c>
      <c r="G843" s="33" t="s">
        <v>53</v>
      </c>
      <c r="H843" s="23" t="s">
        <v>3780</v>
      </c>
      <c r="I843" s="24" t="s">
        <v>55</v>
      </c>
      <c r="J843" s="1" t="str">
        <f t="shared" si="0"/>
        <v/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6.25" customHeight="1">
      <c r="A844" s="17">
        <f t="shared" si="1"/>
        <v>841</v>
      </c>
      <c r="B844" s="18" t="s">
        <v>132</v>
      </c>
      <c r="C844" s="19" t="s">
        <v>3781</v>
      </c>
      <c r="D844" s="19" t="s">
        <v>3782</v>
      </c>
      <c r="E844" s="20" t="s">
        <v>3783</v>
      </c>
      <c r="F844" s="21" t="s">
        <v>2052</v>
      </c>
      <c r="G844" s="22" t="s">
        <v>53</v>
      </c>
      <c r="H844" s="23" t="s">
        <v>3784</v>
      </c>
      <c r="I844" s="24" t="s">
        <v>20</v>
      </c>
      <c r="J844" s="1" t="str">
        <f t="shared" si="0"/>
        <v>FRIC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6.25" hidden="1" customHeight="1">
      <c r="A845" s="17">
        <f t="shared" si="1"/>
        <v>842</v>
      </c>
      <c r="B845" s="18" t="s">
        <v>105</v>
      </c>
      <c r="C845" s="31" t="s">
        <v>3785</v>
      </c>
      <c r="D845" s="19" t="s">
        <v>3786</v>
      </c>
      <c r="E845" s="20" t="s">
        <v>3787</v>
      </c>
      <c r="F845" s="21" t="s">
        <v>2236</v>
      </c>
      <c r="G845" s="33" t="s">
        <v>53</v>
      </c>
      <c r="H845" s="23" t="s">
        <v>3788</v>
      </c>
      <c r="I845" s="34" t="s">
        <v>20</v>
      </c>
      <c r="J845" s="1" t="str">
        <f t="shared" si="0"/>
        <v>과기</v>
      </c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</row>
    <row r="846" spans="1:24" ht="26.25" customHeight="1">
      <c r="A846" s="17">
        <f t="shared" si="1"/>
        <v>843</v>
      </c>
      <c r="B846" s="18" t="s">
        <v>13</v>
      </c>
      <c r="C846" s="19" t="s">
        <v>3789</v>
      </c>
      <c r="D846" s="19" t="s">
        <v>3790</v>
      </c>
      <c r="E846" s="79" t="s">
        <v>3791</v>
      </c>
      <c r="F846" s="21" t="s">
        <v>3792</v>
      </c>
      <c r="G846" s="33" t="s">
        <v>53</v>
      </c>
      <c r="H846" s="23" t="s">
        <v>3793</v>
      </c>
      <c r="I846" s="24" t="s">
        <v>20</v>
      </c>
      <c r="J846" s="1" t="str">
        <f t="shared" si="0"/>
        <v>FRIC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6.25" hidden="1" customHeight="1">
      <c r="A847" s="17">
        <f t="shared" si="1"/>
        <v>844</v>
      </c>
      <c r="B847" s="18" t="s">
        <v>37</v>
      </c>
      <c r="C847" s="31" t="s">
        <v>202</v>
      </c>
      <c r="D847" s="19" t="s">
        <v>3794</v>
      </c>
      <c r="E847" s="20" t="s">
        <v>204</v>
      </c>
      <c r="F847" s="32" t="s">
        <v>3795</v>
      </c>
      <c r="G847" s="33" t="s">
        <v>53</v>
      </c>
      <c r="H847" s="23" t="s">
        <v>3796</v>
      </c>
      <c r="I847" s="24" t="s">
        <v>55</v>
      </c>
      <c r="J847" s="1" t="str">
        <f t="shared" si="0"/>
        <v/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6.25" customHeight="1">
      <c r="A848" s="17">
        <f t="shared" si="1"/>
        <v>845</v>
      </c>
      <c r="B848" s="18" t="s">
        <v>37</v>
      </c>
      <c r="C848" s="19" t="s">
        <v>3797</v>
      </c>
      <c r="D848" s="19" t="s">
        <v>3798</v>
      </c>
      <c r="E848" s="20" t="s">
        <v>3799</v>
      </c>
      <c r="F848" s="21" t="s">
        <v>3800</v>
      </c>
      <c r="G848" s="33" t="s">
        <v>53</v>
      </c>
      <c r="H848" s="23" t="s">
        <v>3801</v>
      </c>
      <c r="I848" s="24" t="s">
        <v>20</v>
      </c>
      <c r="J848" s="1" t="str">
        <f t="shared" si="0"/>
        <v>FRIC</v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6.25" customHeight="1">
      <c r="A849" s="17">
        <f t="shared" si="1"/>
        <v>846</v>
      </c>
      <c r="B849" s="18" t="s">
        <v>37</v>
      </c>
      <c r="C849" s="19" t="s">
        <v>3802</v>
      </c>
      <c r="D849" s="19" t="s">
        <v>3803</v>
      </c>
      <c r="E849" s="20" t="s">
        <v>3804</v>
      </c>
      <c r="F849" s="21" t="s">
        <v>3805</v>
      </c>
      <c r="G849" s="33" t="s">
        <v>53</v>
      </c>
      <c r="H849" s="23" t="s">
        <v>3806</v>
      </c>
      <c r="I849" s="24" t="s">
        <v>20</v>
      </c>
      <c r="J849" s="1" t="str">
        <f t="shared" si="0"/>
        <v>FRIC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6.25" customHeight="1">
      <c r="A850" s="17">
        <f t="shared" si="1"/>
        <v>847</v>
      </c>
      <c r="B850" s="18" t="s">
        <v>37</v>
      </c>
      <c r="C850" s="19" t="s">
        <v>3807</v>
      </c>
      <c r="D850" s="19" t="s">
        <v>3808</v>
      </c>
      <c r="E850" s="20" t="s">
        <v>3809</v>
      </c>
      <c r="F850" s="21" t="s">
        <v>3810</v>
      </c>
      <c r="G850" s="22" t="s">
        <v>31</v>
      </c>
      <c r="H850" s="23" t="s">
        <v>3811</v>
      </c>
      <c r="I850" s="24" t="s">
        <v>20</v>
      </c>
      <c r="J850" s="1" t="str">
        <f t="shared" si="0"/>
        <v>FRIC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6.25" hidden="1" customHeight="1">
      <c r="A851" s="17">
        <f t="shared" si="1"/>
        <v>848</v>
      </c>
      <c r="B851" s="18" t="s">
        <v>175</v>
      </c>
      <c r="C851" s="31" t="s">
        <v>3812</v>
      </c>
      <c r="D851" s="19" t="s">
        <v>3813</v>
      </c>
      <c r="E851" s="20" t="s">
        <v>3814</v>
      </c>
      <c r="F851" s="32" t="s">
        <v>3815</v>
      </c>
      <c r="G851" s="33" t="s">
        <v>53</v>
      </c>
      <c r="H851" s="23" t="s">
        <v>3816</v>
      </c>
      <c r="I851" s="24" t="s">
        <v>55</v>
      </c>
      <c r="J851" s="1" t="str">
        <f t="shared" si="0"/>
        <v/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6.25" customHeight="1">
      <c r="A852" s="17">
        <f t="shared" si="1"/>
        <v>849</v>
      </c>
      <c r="B852" s="18" t="s">
        <v>132</v>
      </c>
      <c r="C852" s="19" t="s">
        <v>3817</v>
      </c>
      <c r="D852" s="19" t="s">
        <v>3818</v>
      </c>
      <c r="E852" s="20" t="s">
        <v>3819</v>
      </c>
      <c r="F852" s="21" t="s">
        <v>3820</v>
      </c>
      <c r="G852" s="33" t="s">
        <v>53</v>
      </c>
      <c r="H852" s="23" t="s">
        <v>3821</v>
      </c>
      <c r="I852" s="24" t="s">
        <v>20</v>
      </c>
      <c r="J852" s="1" t="str">
        <f t="shared" si="0"/>
        <v>FRIC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6.25" hidden="1" customHeight="1">
      <c r="A853" s="17">
        <f t="shared" si="1"/>
        <v>850</v>
      </c>
      <c r="B853" s="18" t="s">
        <v>1197</v>
      </c>
      <c r="C853" s="19" t="s">
        <v>1807</v>
      </c>
      <c r="D853" s="19" t="s">
        <v>3822</v>
      </c>
      <c r="E853" s="20" t="s">
        <v>1809</v>
      </c>
      <c r="F853" s="32" t="s">
        <v>3823</v>
      </c>
      <c r="G853" s="33" t="s">
        <v>53</v>
      </c>
      <c r="H853" s="23" t="s">
        <v>3824</v>
      </c>
      <c r="I853" s="34" t="s">
        <v>55</v>
      </c>
      <c r="J853" s="1" t="str">
        <f t="shared" si="0"/>
        <v/>
      </c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</row>
    <row r="854" spans="1:24" ht="26.25" hidden="1" customHeight="1">
      <c r="A854" s="17">
        <f t="shared" si="1"/>
        <v>851</v>
      </c>
      <c r="B854" s="18" t="s">
        <v>105</v>
      </c>
      <c r="C854" s="31" t="s">
        <v>3825</v>
      </c>
      <c r="D854" s="19" t="s">
        <v>478</v>
      </c>
      <c r="E854" s="20" t="s">
        <v>479</v>
      </c>
      <c r="F854" s="32" t="s">
        <v>3826</v>
      </c>
      <c r="G854" s="33" t="s">
        <v>53</v>
      </c>
      <c r="H854" s="23" t="s">
        <v>3827</v>
      </c>
      <c r="I854" s="24" t="s">
        <v>55</v>
      </c>
      <c r="J854" s="1" t="str">
        <f t="shared" si="0"/>
        <v/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6.25" hidden="1" customHeight="1">
      <c r="A855" s="17">
        <f t="shared" si="1"/>
        <v>852</v>
      </c>
      <c r="B855" s="18" t="s">
        <v>13</v>
      </c>
      <c r="C855" s="31" t="s">
        <v>3828</v>
      </c>
      <c r="D855" s="19" t="s">
        <v>3829</v>
      </c>
      <c r="E855" s="20" t="s">
        <v>3830</v>
      </c>
      <c r="F855" s="32" t="s">
        <v>170</v>
      </c>
      <c r="G855" s="33" t="s">
        <v>53</v>
      </c>
      <c r="H855" s="23" t="s">
        <v>3831</v>
      </c>
      <c r="I855" s="24" t="s">
        <v>55</v>
      </c>
      <c r="J855" s="1" t="str">
        <f t="shared" si="0"/>
        <v/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6.25" hidden="1" customHeight="1">
      <c r="A856" s="17">
        <f t="shared" si="1"/>
        <v>853</v>
      </c>
      <c r="B856" s="18" t="s">
        <v>867</v>
      </c>
      <c r="C856" s="31" t="s">
        <v>3832</v>
      </c>
      <c r="D856" s="19" t="s">
        <v>3833</v>
      </c>
      <c r="E856" s="20" t="s">
        <v>1561</v>
      </c>
      <c r="F856" s="21" t="s">
        <v>3834</v>
      </c>
      <c r="G856" s="33" t="s">
        <v>53</v>
      </c>
      <c r="H856" s="23" t="s">
        <v>3835</v>
      </c>
      <c r="I856" s="34" t="s">
        <v>55</v>
      </c>
      <c r="J856" s="1" t="str">
        <f t="shared" si="0"/>
        <v/>
      </c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</row>
    <row r="857" spans="1:24" ht="26.25" hidden="1" customHeight="1">
      <c r="A857" s="17">
        <f t="shared" si="1"/>
        <v>854</v>
      </c>
      <c r="B857" s="18" t="s">
        <v>867</v>
      </c>
      <c r="C857" s="31" t="s">
        <v>3836</v>
      </c>
      <c r="D857" s="19" t="s">
        <v>3837</v>
      </c>
      <c r="E857" s="20" t="s">
        <v>3838</v>
      </c>
      <c r="F857" s="21" t="s">
        <v>3839</v>
      </c>
      <c r="G857" s="33" t="s">
        <v>53</v>
      </c>
      <c r="H857" s="23" t="s">
        <v>3840</v>
      </c>
      <c r="I857" s="34" t="s">
        <v>20</v>
      </c>
      <c r="J857" s="1" t="str">
        <f t="shared" si="0"/>
        <v>과기</v>
      </c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</row>
    <row r="858" spans="1:24" ht="26.25" customHeight="1">
      <c r="A858" s="17">
        <f t="shared" si="1"/>
        <v>855</v>
      </c>
      <c r="B858" s="18" t="s">
        <v>13</v>
      </c>
      <c r="C858" s="19" t="s">
        <v>3841</v>
      </c>
      <c r="D858" s="77" t="s">
        <v>3842</v>
      </c>
      <c r="E858" s="103" t="s">
        <v>3843</v>
      </c>
      <c r="F858" s="21" t="s">
        <v>1609</v>
      </c>
      <c r="G858" s="33" t="s">
        <v>53</v>
      </c>
      <c r="H858" s="23" t="s">
        <v>3844</v>
      </c>
      <c r="I858" s="24" t="s">
        <v>20</v>
      </c>
      <c r="J858" s="1" t="str">
        <f t="shared" si="0"/>
        <v>FRIC</v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6.25" customHeight="1">
      <c r="A859" s="17">
        <f t="shared" si="1"/>
        <v>856</v>
      </c>
      <c r="B859" s="18" t="s">
        <v>13</v>
      </c>
      <c r="C859" s="19" t="s">
        <v>3845</v>
      </c>
      <c r="D859" s="19" t="s">
        <v>3846</v>
      </c>
      <c r="E859" s="20" t="s">
        <v>3847</v>
      </c>
      <c r="F859" s="21" t="s">
        <v>3848</v>
      </c>
      <c r="G859" s="33" t="s">
        <v>53</v>
      </c>
      <c r="H859" s="23" t="s">
        <v>3849</v>
      </c>
      <c r="I859" s="24" t="s">
        <v>20</v>
      </c>
      <c r="J859" s="1" t="str">
        <f t="shared" si="0"/>
        <v>FRIC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6.25" customHeight="1">
      <c r="A860" s="17">
        <f t="shared" si="1"/>
        <v>857</v>
      </c>
      <c r="B860" s="18" t="s">
        <v>105</v>
      </c>
      <c r="C860" s="19" t="s">
        <v>3850</v>
      </c>
      <c r="D860" s="19" t="s">
        <v>3851</v>
      </c>
      <c r="E860" s="20" t="s">
        <v>3852</v>
      </c>
      <c r="F860" s="21" t="s">
        <v>3853</v>
      </c>
      <c r="G860" s="33" t="s">
        <v>63</v>
      </c>
      <c r="H860" s="23" t="s">
        <v>3854</v>
      </c>
      <c r="I860" s="24" t="s">
        <v>20</v>
      </c>
      <c r="J860" s="1" t="str">
        <f t="shared" si="0"/>
        <v>FRIC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6.25" hidden="1" customHeight="1">
      <c r="A861" s="17">
        <f t="shared" si="1"/>
        <v>858</v>
      </c>
      <c r="B861" s="18" t="s">
        <v>175</v>
      </c>
      <c r="C861" s="31" t="s">
        <v>3855</v>
      </c>
      <c r="D861" s="19" t="s">
        <v>3856</v>
      </c>
      <c r="E861" s="20" t="s">
        <v>3857</v>
      </c>
      <c r="F861" s="21" t="s">
        <v>3858</v>
      </c>
      <c r="G861" s="33" t="s">
        <v>53</v>
      </c>
      <c r="H861" s="23" t="s">
        <v>3859</v>
      </c>
      <c r="I861" s="34" t="s">
        <v>20</v>
      </c>
      <c r="J861" s="1" t="str">
        <f t="shared" si="0"/>
        <v>과기</v>
      </c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</row>
    <row r="862" spans="1:24" ht="26.25" hidden="1" customHeight="1">
      <c r="A862" s="17">
        <f t="shared" si="1"/>
        <v>859</v>
      </c>
      <c r="B862" s="18" t="s">
        <v>175</v>
      </c>
      <c r="C862" s="31" t="s">
        <v>3860</v>
      </c>
      <c r="D862" s="19" t="s">
        <v>3861</v>
      </c>
      <c r="E862" s="20" t="s">
        <v>3862</v>
      </c>
      <c r="F862" s="21" t="s">
        <v>3863</v>
      </c>
      <c r="G862" s="33" t="s">
        <v>53</v>
      </c>
      <c r="H862" s="23" t="s">
        <v>3864</v>
      </c>
      <c r="I862" s="34" t="s">
        <v>20</v>
      </c>
      <c r="J862" s="1" t="str">
        <f t="shared" si="0"/>
        <v>과기</v>
      </c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</row>
    <row r="863" spans="1:24" ht="26.25" hidden="1" customHeight="1">
      <c r="A863" s="17">
        <f t="shared" si="1"/>
        <v>860</v>
      </c>
      <c r="B863" s="18" t="s">
        <v>175</v>
      </c>
      <c r="C863" s="31" t="s">
        <v>3865</v>
      </c>
      <c r="D863" s="19" t="s">
        <v>3866</v>
      </c>
      <c r="E863" s="20" t="s">
        <v>400</v>
      </c>
      <c r="F863" s="32" t="s">
        <v>3867</v>
      </c>
      <c r="G863" s="33" t="s">
        <v>53</v>
      </c>
      <c r="H863" s="23" t="s">
        <v>3868</v>
      </c>
      <c r="I863" s="24" t="s">
        <v>55</v>
      </c>
      <c r="J863" s="1" t="str">
        <f t="shared" si="0"/>
        <v/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6.25" hidden="1" customHeight="1">
      <c r="A864" s="17">
        <f t="shared" si="1"/>
        <v>861</v>
      </c>
      <c r="B864" s="18" t="s">
        <v>175</v>
      </c>
      <c r="C864" s="31" t="s">
        <v>3869</v>
      </c>
      <c r="D864" s="19" t="s">
        <v>673</v>
      </c>
      <c r="E864" s="20" t="s">
        <v>3870</v>
      </c>
      <c r="F864" s="21" t="s">
        <v>3871</v>
      </c>
      <c r="G864" s="33" t="s">
        <v>42</v>
      </c>
      <c r="H864" s="23" t="s">
        <v>3872</v>
      </c>
      <c r="I864" s="34" t="s">
        <v>20</v>
      </c>
      <c r="J864" s="1" t="str">
        <f t="shared" si="0"/>
        <v>과기</v>
      </c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</row>
    <row r="865" spans="1:24" ht="26.25" hidden="1" customHeight="1">
      <c r="A865" s="17">
        <f t="shared" si="1"/>
        <v>862</v>
      </c>
      <c r="B865" s="18" t="s">
        <v>37</v>
      </c>
      <c r="C865" s="39" t="s">
        <v>1811</v>
      </c>
      <c r="D865" s="39" t="s">
        <v>3873</v>
      </c>
      <c r="E865" s="20" t="s">
        <v>1813</v>
      </c>
      <c r="F865" s="44" t="s">
        <v>4946</v>
      </c>
      <c r="G865" s="22" t="s">
        <v>53</v>
      </c>
      <c r="H865" s="41" t="s">
        <v>3875</v>
      </c>
      <c r="I865" s="34" t="s">
        <v>55</v>
      </c>
      <c r="J865" s="1" t="str">
        <f t="shared" si="0"/>
        <v/>
      </c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</row>
    <row r="866" spans="1:24" ht="26.25" hidden="1" customHeight="1">
      <c r="A866" s="17">
        <f t="shared" si="1"/>
        <v>863</v>
      </c>
      <c r="B866" s="18" t="s">
        <v>867</v>
      </c>
      <c r="C866" s="31" t="s">
        <v>3876</v>
      </c>
      <c r="D866" s="19" t="s">
        <v>3877</v>
      </c>
      <c r="E866" s="20"/>
      <c r="F866" s="32" t="s">
        <v>3878</v>
      </c>
      <c r="G866" s="33" t="s">
        <v>53</v>
      </c>
      <c r="H866" s="23" t="s">
        <v>3879</v>
      </c>
      <c r="I866" s="24" t="s">
        <v>55</v>
      </c>
      <c r="J866" s="1" t="str">
        <f t="shared" si="0"/>
        <v/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6.25" hidden="1" customHeight="1">
      <c r="A867" s="17">
        <f t="shared" si="1"/>
        <v>864</v>
      </c>
      <c r="B867" s="18" t="s">
        <v>867</v>
      </c>
      <c r="C867" s="31" t="s">
        <v>3880</v>
      </c>
      <c r="D867" s="19" t="s">
        <v>3881</v>
      </c>
      <c r="E867" s="20" t="s">
        <v>3882</v>
      </c>
      <c r="F867" s="21" t="s">
        <v>3883</v>
      </c>
      <c r="G867" s="33" t="s">
        <v>53</v>
      </c>
      <c r="H867" s="23" t="s">
        <v>3884</v>
      </c>
      <c r="I867" s="34" t="s">
        <v>20</v>
      </c>
      <c r="J867" s="1" t="str">
        <f t="shared" si="0"/>
        <v>과기</v>
      </c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</row>
    <row r="868" spans="1:24" ht="26.25" hidden="1" customHeight="1">
      <c r="A868" s="17">
        <f t="shared" si="1"/>
        <v>865</v>
      </c>
      <c r="B868" s="18" t="s">
        <v>1197</v>
      </c>
      <c r="C868" s="31" t="s">
        <v>3885</v>
      </c>
      <c r="D868" s="19" t="s">
        <v>3886</v>
      </c>
      <c r="E868" s="20" t="s">
        <v>3887</v>
      </c>
      <c r="F868" s="32" t="s">
        <v>3888</v>
      </c>
      <c r="G868" s="33" t="s">
        <v>53</v>
      </c>
      <c r="H868" s="23" t="s">
        <v>3889</v>
      </c>
      <c r="I868" s="24" t="s">
        <v>55</v>
      </c>
      <c r="J868" s="1" t="str">
        <f t="shared" si="0"/>
        <v/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6.25" hidden="1" customHeight="1">
      <c r="A869" s="17">
        <f t="shared" si="1"/>
        <v>866</v>
      </c>
      <c r="B869" s="18" t="s">
        <v>132</v>
      </c>
      <c r="C869" s="31" t="s">
        <v>3890</v>
      </c>
      <c r="D869" s="19" t="s">
        <v>3891</v>
      </c>
      <c r="E869" s="20" t="s">
        <v>3892</v>
      </c>
      <c r="F869" s="32" t="s">
        <v>3893</v>
      </c>
      <c r="G869" s="33" t="s">
        <v>53</v>
      </c>
      <c r="H869" s="23" t="s">
        <v>3894</v>
      </c>
      <c r="I869" s="24" t="s">
        <v>55</v>
      </c>
      <c r="J869" s="1" t="str">
        <f t="shared" si="0"/>
        <v/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6.25" customHeight="1">
      <c r="A870" s="17">
        <f t="shared" si="1"/>
        <v>867</v>
      </c>
      <c r="B870" s="18" t="s">
        <v>132</v>
      </c>
      <c r="C870" s="19" t="s">
        <v>3895</v>
      </c>
      <c r="D870" s="19" t="s">
        <v>3896</v>
      </c>
      <c r="E870" s="20" t="s">
        <v>3897</v>
      </c>
      <c r="F870" s="21" t="s">
        <v>863</v>
      </c>
      <c r="G870" s="22" t="s">
        <v>63</v>
      </c>
      <c r="H870" s="23" t="s">
        <v>3898</v>
      </c>
      <c r="I870" s="24" t="s">
        <v>20</v>
      </c>
      <c r="J870" s="1" t="str">
        <f t="shared" si="0"/>
        <v>FRIC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6.25" hidden="1" customHeight="1">
      <c r="A871" s="17">
        <f t="shared" si="1"/>
        <v>868</v>
      </c>
      <c r="B871" s="18" t="s">
        <v>27</v>
      </c>
      <c r="C871" s="31" t="s">
        <v>3899</v>
      </c>
      <c r="D871" s="19" t="s">
        <v>3676</v>
      </c>
      <c r="E871" s="20" t="s">
        <v>3900</v>
      </c>
      <c r="F871" s="32" t="s">
        <v>3901</v>
      </c>
      <c r="G871" s="33" t="s">
        <v>53</v>
      </c>
      <c r="H871" s="23" t="s">
        <v>3902</v>
      </c>
      <c r="I871" s="24" t="s">
        <v>55</v>
      </c>
      <c r="J871" s="1" t="str">
        <f t="shared" si="0"/>
        <v/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6.25" hidden="1" customHeight="1">
      <c r="A872" s="17">
        <f t="shared" si="1"/>
        <v>869</v>
      </c>
      <c r="B872" s="18" t="s">
        <v>175</v>
      </c>
      <c r="C872" s="31" t="s">
        <v>3903</v>
      </c>
      <c r="D872" s="19" t="s">
        <v>3904</v>
      </c>
      <c r="E872" s="20" t="s">
        <v>3905</v>
      </c>
      <c r="F872" s="21" t="s">
        <v>326</v>
      </c>
      <c r="G872" s="33" t="s">
        <v>53</v>
      </c>
      <c r="H872" s="23" t="s">
        <v>3906</v>
      </c>
      <c r="I872" s="34" t="s">
        <v>20</v>
      </c>
      <c r="J872" s="1" t="str">
        <f t="shared" si="0"/>
        <v>과기</v>
      </c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</row>
    <row r="873" spans="1:24" ht="26.25" hidden="1" customHeight="1">
      <c r="A873" s="17">
        <f t="shared" si="1"/>
        <v>870</v>
      </c>
      <c r="B873" s="18" t="s">
        <v>867</v>
      </c>
      <c r="C873" s="31" t="s">
        <v>3907</v>
      </c>
      <c r="D873" s="42" t="s">
        <v>3908</v>
      </c>
      <c r="E873" s="43" t="s">
        <v>3909</v>
      </c>
      <c r="F873" s="32" t="s">
        <v>3910</v>
      </c>
      <c r="G873" s="70" t="s">
        <v>53</v>
      </c>
      <c r="H873" s="41" t="s">
        <v>3911</v>
      </c>
      <c r="I873" s="24" t="s">
        <v>55</v>
      </c>
      <c r="J873" s="1" t="str">
        <f t="shared" si="0"/>
        <v/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6.25" hidden="1" customHeight="1">
      <c r="A874" s="17">
        <f t="shared" si="1"/>
        <v>871</v>
      </c>
      <c r="B874" s="18" t="s">
        <v>175</v>
      </c>
      <c r="C874" s="31" t="s">
        <v>3912</v>
      </c>
      <c r="D874" s="19" t="s">
        <v>3913</v>
      </c>
      <c r="E874" s="20" t="s">
        <v>3914</v>
      </c>
      <c r="F874" s="21" t="s">
        <v>3915</v>
      </c>
      <c r="G874" s="33" t="s">
        <v>53</v>
      </c>
      <c r="H874" s="23" t="s">
        <v>3916</v>
      </c>
      <c r="I874" s="34" t="s">
        <v>20</v>
      </c>
      <c r="J874" s="1" t="str">
        <f t="shared" si="0"/>
        <v>과기</v>
      </c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</row>
    <row r="875" spans="1:24" ht="26.25" hidden="1" customHeight="1">
      <c r="A875" s="17">
        <f t="shared" si="1"/>
        <v>872</v>
      </c>
      <c r="B875" s="18" t="s">
        <v>2181</v>
      </c>
      <c r="C875" s="31" t="s">
        <v>3917</v>
      </c>
      <c r="D875" s="19" t="s">
        <v>3918</v>
      </c>
      <c r="E875" s="20" t="s">
        <v>3919</v>
      </c>
      <c r="F875" s="21" t="s">
        <v>490</v>
      </c>
      <c r="G875" s="33" t="s">
        <v>53</v>
      </c>
      <c r="H875" s="23" t="s">
        <v>3920</v>
      </c>
      <c r="I875" s="34" t="s">
        <v>20</v>
      </c>
      <c r="J875" s="1" t="str">
        <f t="shared" si="0"/>
        <v>과기</v>
      </c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</row>
    <row r="876" spans="1:24" ht="26.25" customHeight="1">
      <c r="A876" s="17">
        <f t="shared" si="1"/>
        <v>873</v>
      </c>
      <c r="B876" s="18" t="s">
        <v>233</v>
      </c>
      <c r="C876" s="19" t="s">
        <v>3921</v>
      </c>
      <c r="D876" s="19" t="s">
        <v>3922</v>
      </c>
      <c r="E876" s="20" t="s">
        <v>3923</v>
      </c>
      <c r="F876" s="21" t="s">
        <v>3924</v>
      </c>
      <c r="G876" s="33" t="s">
        <v>53</v>
      </c>
      <c r="H876" s="23" t="s">
        <v>3925</v>
      </c>
      <c r="I876" s="24" t="s">
        <v>20</v>
      </c>
      <c r="J876" s="1" t="str">
        <f t="shared" si="0"/>
        <v>FRIC</v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6.25" customHeight="1">
      <c r="A877" s="17">
        <f t="shared" si="1"/>
        <v>874</v>
      </c>
      <c r="B877" s="18" t="s">
        <v>132</v>
      </c>
      <c r="C877" s="19" t="s">
        <v>3926</v>
      </c>
      <c r="D877" s="19" t="s">
        <v>3927</v>
      </c>
      <c r="E877" s="20" t="s">
        <v>3928</v>
      </c>
      <c r="F877" s="21" t="s">
        <v>2236</v>
      </c>
      <c r="G877" s="33" t="s">
        <v>53</v>
      </c>
      <c r="H877" s="23" t="s">
        <v>3929</v>
      </c>
      <c r="I877" s="24" t="s">
        <v>20</v>
      </c>
      <c r="J877" s="1" t="str">
        <f t="shared" si="0"/>
        <v>FRIC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6.25" hidden="1" customHeight="1">
      <c r="A878" s="17">
        <f t="shared" si="1"/>
        <v>875</v>
      </c>
      <c r="B878" s="18" t="s">
        <v>867</v>
      </c>
      <c r="C878" s="31" t="s">
        <v>3930</v>
      </c>
      <c r="D878" s="19" t="s">
        <v>3931</v>
      </c>
      <c r="E878" s="20" t="s">
        <v>3932</v>
      </c>
      <c r="F878" s="32" t="s">
        <v>2546</v>
      </c>
      <c r="G878" s="33" t="s">
        <v>42</v>
      </c>
      <c r="H878" s="23" t="s">
        <v>3933</v>
      </c>
      <c r="I878" s="24" t="s">
        <v>55</v>
      </c>
      <c r="J878" s="1" t="str">
        <f t="shared" si="0"/>
        <v/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6.25" hidden="1" customHeight="1">
      <c r="A879" s="17">
        <f t="shared" si="1"/>
        <v>876</v>
      </c>
      <c r="B879" s="18" t="s">
        <v>2181</v>
      </c>
      <c r="C879" s="31" t="s">
        <v>3934</v>
      </c>
      <c r="D879" s="19" t="s">
        <v>3935</v>
      </c>
      <c r="E879" s="20" t="s">
        <v>3936</v>
      </c>
      <c r="F879" s="21" t="s">
        <v>3266</v>
      </c>
      <c r="G879" s="33" t="s">
        <v>53</v>
      </c>
      <c r="H879" s="23" t="s">
        <v>3937</v>
      </c>
      <c r="I879" s="34" t="s">
        <v>20</v>
      </c>
      <c r="J879" s="1" t="str">
        <f t="shared" si="0"/>
        <v>과기</v>
      </c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</row>
    <row r="880" spans="1:24" ht="26.25" hidden="1" customHeight="1">
      <c r="A880" s="17">
        <f t="shared" si="1"/>
        <v>877</v>
      </c>
      <c r="B880" s="18" t="s">
        <v>13</v>
      </c>
      <c r="C880" s="19" t="s">
        <v>3938</v>
      </c>
      <c r="D880" s="19" t="s">
        <v>2015</v>
      </c>
      <c r="E880" s="20" t="s">
        <v>1741</v>
      </c>
      <c r="F880" s="32" t="s">
        <v>3939</v>
      </c>
      <c r="G880" s="33" t="s">
        <v>53</v>
      </c>
      <c r="H880" s="23" t="s">
        <v>3940</v>
      </c>
      <c r="I880" s="34" t="s">
        <v>55</v>
      </c>
      <c r="J880" s="1" t="str">
        <f t="shared" si="0"/>
        <v/>
      </c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</row>
    <row r="881" spans="1:24" ht="26.25" hidden="1" customHeight="1">
      <c r="A881" s="17">
        <f t="shared" si="1"/>
        <v>878</v>
      </c>
      <c r="B881" s="18" t="s">
        <v>13</v>
      </c>
      <c r="C881" s="19" t="s">
        <v>3941</v>
      </c>
      <c r="D881" s="19" t="s">
        <v>2015</v>
      </c>
      <c r="E881" s="20" t="s">
        <v>1747</v>
      </c>
      <c r="F881" s="32" t="s">
        <v>3942</v>
      </c>
      <c r="G881" s="22" t="s">
        <v>63</v>
      </c>
      <c r="H881" s="23" t="s">
        <v>3943</v>
      </c>
      <c r="I881" s="34" t="s">
        <v>55</v>
      </c>
      <c r="J881" s="1" t="str">
        <f t="shared" si="0"/>
        <v/>
      </c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</row>
    <row r="882" spans="1:24" ht="26.25" hidden="1" customHeight="1">
      <c r="A882" s="17">
        <f t="shared" si="1"/>
        <v>879</v>
      </c>
      <c r="B882" s="18" t="s">
        <v>13</v>
      </c>
      <c r="C882" s="19" t="s">
        <v>3944</v>
      </c>
      <c r="D882" s="19" t="s">
        <v>2015</v>
      </c>
      <c r="E882" s="20" t="s">
        <v>1752</v>
      </c>
      <c r="F882" s="32" t="s">
        <v>52</v>
      </c>
      <c r="G882" s="22" t="s">
        <v>63</v>
      </c>
      <c r="H882" s="23" t="s">
        <v>3945</v>
      </c>
      <c r="I882" s="34" t="s">
        <v>55</v>
      </c>
      <c r="J882" s="1" t="str">
        <f t="shared" si="0"/>
        <v/>
      </c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</row>
    <row r="883" spans="1:24" ht="26.25" hidden="1" customHeight="1">
      <c r="A883" s="17">
        <f t="shared" si="1"/>
        <v>880</v>
      </c>
      <c r="B883" s="18" t="s">
        <v>2181</v>
      </c>
      <c r="C883" s="31" t="s">
        <v>3946</v>
      </c>
      <c r="D883" s="19" t="s">
        <v>3947</v>
      </c>
      <c r="E883" s="20" t="s">
        <v>3948</v>
      </c>
      <c r="F883" s="21" t="s">
        <v>863</v>
      </c>
      <c r="G883" s="33" t="s">
        <v>53</v>
      </c>
      <c r="H883" s="23" t="s">
        <v>3949</v>
      </c>
      <c r="I883" s="34" t="s">
        <v>20</v>
      </c>
      <c r="J883" s="1" t="str">
        <f t="shared" si="0"/>
        <v>과기</v>
      </c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</row>
    <row r="884" spans="1:24" ht="26.25" hidden="1" customHeight="1">
      <c r="A884" s="17">
        <f t="shared" si="1"/>
        <v>881</v>
      </c>
      <c r="B884" s="18" t="s">
        <v>3950</v>
      </c>
      <c r="C884" s="31" t="s">
        <v>3951</v>
      </c>
      <c r="D884" s="19" t="s">
        <v>3952</v>
      </c>
      <c r="E884" s="20" t="s">
        <v>3953</v>
      </c>
      <c r="F884" s="32" t="s">
        <v>3954</v>
      </c>
      <c r="G884" s="33" t="s">
        <v>53</v>
      </c>
      <c r="H884" s="23" t="s">
        <v>3955</v>
      </c>
      <c r="I884" s="24" t="s">
        <v>55</v>
      </c>
      <c r="J884" s="1" t="str">
        <f t="shared" si="0"/>
        <v/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6.25" hidden="1" customHeight="1">
      <c r="A885" s="17">
        <f t="shared" si="1"/>
        <v>882</v>
      </c>
      <c r="B885" s="18" t="s">
        <v>175</v>
      </c>
      <c r="C885" s="31" t="s">
        <v>3956</v>
      </c>
      <c r="D885" s="19" t="s">
        <v>3957</v>
      </c>
      <c r="E885" s="20" t="s">
        <v>1590</v>
      </c>
      <c r="F885" s="21" t="s">
        <v>3958</v>
      </c>
      <c r="G885" s="33" t="s">
        <v>53</v>
      </c>
      <c r="H885" s="23" t="s">
        <v>3959</v>
      </c>
      <c r="I885" s="34" t="s">
        <v>55</v>
      </c>
      <c r="J885" s="1" t="str">
        <f t="shared" si="0"/>
        <v/>
      </c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</row>
    <row r="886" spans="1:24" ht="26.25" customHeight="1">
      <c r="A886" s="17">
        <f t="shared" si="1"/>
        <v>883</v>
      </c>
      <c r="B886" s="18" t="s">
        <v>37</v>
      </c>
      <c r="C886" s="19" t="s">
        <v>3960</v>
      </c>
      <c r="D886" s="19" t="s">
        <v>2631</v>
      </c>
      <c r="E886" s="20" t="s">
        <v>3961</v>
      </c>
      <c r="F886" s="21" t="s">
        <v>3266</v>
      </c>
      <c r="G886" s="33" t="s">
        <v>53</v>
      </c>
      <c r="H886" s="23" t="s">
        <v>3962</v>
      </c>
      <c r="I886" s="24" t="s">
        <v>20</v>
      </c>
      <c r="J886" s="1" t="str">
        <f t="shared" si="0"/>
        <v>FRIC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6.25" hidden="1" customHeight="1">
      <c r="A887" s="17">
        <f t="shared" si="1"/>
        <v>884</v>
      </c>
      <c r="B887" s="18" t="s">
        <v>132</v>
      </c>
      <c r="C887" s="31" t="s">
        <v>3963</v>
      </c>
      <c r="D887" s="19" t="s">
        <v>3964</v>
      </c>
      <c r="E887" s="20" t="s">
        <v>3965</v>
      </c>
      <c r="F887" s="32" t="s">
        <v>1461</v>
      </c>
      <c r="G887" s="33" t="s">
        <v>53</v>
      </c>
      <c r="H887" s="23" t="s">
        <v>3966</v>
      </c>
      <c r="I887" s="24" t="s">
        <v>55</v>
      </c>
      <c r="J887" s="1" t="str">
        <f t="shared" si="0"/>
        <v/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6.25" hidden="1" customHeight="1">
      <c r="A888" s="17">
        <f t="shared" si="1"/>
        <v>885</v>
      </c>
      <c r="B888" s="18" t="s">
        <v>132</v>
      </c>
      <c r="C888" s="31" t="s">
        <v>3967</v>
      </c>
      <c r="D888" s="19" t="s">
        <v>3964</v>
      </c>
      <c r="E888" s="20" t="s">
        <v>3968</v>
      </c>
      <c r="F888" s="32" t="s">
        <v>1461</v>
      </c>
      <c r="G888" s="33" t="s">
        <v>53</v>
      </c>
      <c r="H888" s="23" t="s">
        <v>3969</v>
      </c>
      <c r="I888" s="24" t="s">
        <v>55</v>
      </c>
      <c r="J888" s="1" t="str">
        <f t="shared" si="0"/>
        <v/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6.25" hidden="1" customHeight="1">
      <c r="A889" s="17">
        <f t="shared" si="1"/>
        <v>886</v>
      </c>
      <c r="B889" s="18" t="s">
        <v>132</v>
      </c>
      <c r="C889" s="31" t="s">
        <v>3970</v>
      </c>
      <c r="D889" s="19" t="s">
        <v>3964</v>
      </c>
      <c r="E889" s="20" t="s">
        <v>3971</v>
      </c>
      <c r="F889" s="32" t="s">
        <v>1461</v>
      </c>
      <c r="G889" s="33" t="s">
        <v>53</v>
      </c>
      <c r="H889" s="23" t="s">
        <v>3972</v>
      </c>
      <c r="I889" s="24" t="s">
        <v>55</v>
      </c>
      <c r="J889" s="1" t="str">
        <f t="shared" si="0"/>
        <v/>
      </c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6.25" customHeight="1">
      <c r="A890" s="17">
        <f t="shared" si="1"/>
        <v>887</v>
      </c>
      <c r="B890" s="18" t="s">
        <v>132</v>
      </c>
      <c r="C890" s="19" t="s">
        <v>3973</v>
      </c>
      <c r="D890" s="19" t="s">
        <v>3964</v>
      </c>
      <c r="E890" s="20" t="s">
        <v>3974</v>
      </c>
      <c r="F890" s="21" t="s">
        <v>3975</v>
      </c>
      <c r="G890" s="33" t="s">
        <v>53</v>
      </c>
      <c r="H890" s="23" t="s">
        <v>3976</v>
      </c>
      <c r="I890" s="24" t="s">
        <v>20</v>
      </c>
      <c r="J890" s="1" t="str">
        <f t="shared" si="0"/>
        <v>FRIC</v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6.25" customHeight="1">
      <c r="A891" s="17">
        <f t="shared" si="1"/>
        <v>888</v>
      </c>
      <c r="B891" s="18" t="s">
        <v>37</v>
      </c>
      <c r="C891" s="19" t="s">
        <v>3977</v>
      </c>
      <c r="D891" s="19" t="s">
        <v>3978</v>
      </c>
      <c r="E891" s="20" t="s">
        <v>3979</v>
      </c>
      <c r="F891" s="21" t="s">
        <v>3980</v>
      </c>
      <c r="G891" s="33" t="s">
        <v>53</v>
      </c>
      <c r="H891" s="23" t="s">
        <v>3981</v>
      </c>
      <c r="I891" s="24" t="s">
        <v>20</v>
      </c>
      <c r="J891" s="1" t="str">
        <f t="shared" si="0"/>
        <v>FRIC</v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6.25" hidden="1" customHeight="1">
      <c r="A892" s="17">
        <f t="shared" si="1"/>
        <v>889</v>
      </c>
      <c r="B892" s="18" t="s">
        <v>175</v>
      </c>
      <c r="C892" s="31" t="s">
        <v>3982</v>
      </c>
      <c r="D892" s="19" t="s">
        <v>3983</v>
      </c>
      <c r="E892" s="20" t="s">
        <v>3984</v>
      </c>
      <c r="F892" s="21" t="s">
        <v>3985</v>
      </c>
      <c r="G892" s="33" t="s">
        <v>63</v>
      </c>
      <c r="H892" s="23" t="s">
        <v>3986</v>
      </c>
      <c r="I892" s="34" t="s">
        <v>20</v>
      </c>
      <c r="J892" s="1" t="str">
        <f t="shared" si="0"/>
        <v>과기</v>
      </c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</row>
    <row r="893" spans="1:24" ht="26.25" customHeight="1">
      <c r="A893" s="17">
        <f t="shared" si="1"/>
        <v>890</v>
      </c>
      <c r="B893" s="18" t="s">
        <v>1375</v>
      </c>
      <c r="C893" s="19" t="s">
        <v>3987</v>
      </c>
      <c r="D893" s="19" t="s">
        <v>2538</v>
      </c>
      <c r="E893" s="20" t="s">
        <v>3988</v>
      </c>
      <c r="F893" s="21" t="s">
        <v>126</v>
      </c>
      <c r="G893" s="33" t="s">
        <v>53</v>
      </c>
      <c r="H893" s="23" t="s">
        <v>3989</v>
      </c>
      <c r="I893" s="24" t="s">
        <v>20</v>
      </c>
      <c r="J893" s="1" t="str">
        <f t="shared" si="0"/>
        <v>FRIC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6.25" customHeight="1">
      <c r="A894" s="17">
        <f t="shared" si="1"/>
        <v>891</v>
      </c>
      <c r="B894" s="18" t="s">
        <v>867</v>
      </c>
      <c r="C894" s="19" t="s">
        <v>3990</v>
      </c>
      <c r="D894" s="19" t="s">
        <v>3991</v>
      </c>
      <c r="E894" s="20" t="s">
        <v>3992</v>
      </c>
      <c r="F894" s="21" t="s">
        <v>905</v>
      </c>
      <c r="G894" s="33" t="s">
        <v>42</v>
      </c>
      <c r="H894" s="23" t="s">
        <v>3993</v>
      </c>
      <c r="I894" s="24" t="s">
        <v>20</v>
      </c>
      <c r="J894" s="1" t="str">
        <f t="shared" si="0"/>
        <v>FRIC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6.25" hidden="1" customHeight="1">
      <c r="A895" s="17">
        <f t="shared" si="1"/>
        <v>892</v>
      </c>
      <c r="B895" s="18" t="s">
        <v>105</v>
      </c>
      <c r="C895" s="31" t="s">
        <v>3994</v>
      </c>
      <c r="D895" s="19" t="s">
        <v>3995</v>
      </c>
      <c r="E895" s="20" t="s">
        <v>3996</v>
      </c>
      <c r="F895" s="21" t="s">
        <v>2382</v>
      </c>
      <c r="G895" s="33" t="s">
        <v>53</v>
      </c>
      <c r="H895" s="23" t="s">
        <v>3997</v>
      </c>
      <c r="I895" s="34" t="s">
        <v>20</v>
      </c>
      <c r="J895" s="1" t="str">
        <f t="shared" si="0"/>
        <v>과기</v>
      </c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</row>
    <row r="896" spans="1:24" ht="26.25" hidden="1" customHeight="1">
      <c r="A896" s="17">
        <f t="shared" si="1"/>
        <v>893</v>
      </c>
      <c r="B896" s="18" t="s">
        <v>867</v>
      </c>
      <c r="C896" s="31" t="s">
        <v>3998</v>
      </c>
      <c r="D896" s="19" t="s">
        <v>3999</v>
      </c>
      <c r="E896" s="20" t="s">
        <v>4000</v>
      </c>
      <c r="F896" s="32" t="s">
        <v>3258</v>
      </c>
      <c r="G896" s="33" t="s">
        <v>31</v>
      </c>
      <c r="H896" s="23" t="s">
        <v>4001</v>
      </c>
      <c r="I896" s="24" t="s">
        <v>55</v>
      </c>
      <c r="J896" s="1" t="str">
        <f t="shared" si="0"/>
        <v/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6.25" hidden="1" customHeight="1">
      <c r="A897" s="17">
        <f t="shared" si="1"/>
        <v>894</v>
      </c>
      <c r="B897" s="18" t="s">
        <v>867</v>
      </c>
      <c r="C897" s="31" t="s">
        <v>4002</v>
      </c>
      <c r="D897" s="19" t="s">
        <v>4003</v>
      </c>
      <c r="E897" s="20" t="s">
        <v>4004</v>
      </c>
      <c r="F897" s="21" t="s">
        <v>2052</v>
      </c>
      <c r="G897" s="33" t="s">
        <v>53</v>
      </c>
      <c r="H897" s="23" t="s">
        <v>4005</v>
      </c>
      <c r="I897" s="34" t="s">
        <v>20</v>
      </c>
      <c r="J897" s="1" t="str">
        <f t="shared" si="0"/>
        <v>과기</v>
      </c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</row>
    <row r="898" spans="1:24" ht="26.25" hidden="1" customHeight="1">
      <c r="A898" s="17">
        <f t="shared" si="1"/>
        <v>895</v>
      </c>
      <c r="B898" s="18" t="s">
        <v>27</v>
      </c>
      <c r="C898" s="31" t="s">
        <v>4006</v>
      </c>
      <c r="D898" s="19" t="s">
        <v>4007</v>
      </c>
      <c r="E898" s="20" t="s">
        <v>486</v>
      </c>
      <c r="F898" s="32" t="s">
        <v>603</v>
      </c>
      <c r="G898" s="33" t="s">
        <v>53</v>
      </c>
      <c r="H898" s="23" t="s">
        <v>4008</v>
      </c>
      <c r="I898" s="24" t="s">
        <v>55</v>
      </c>
      <c r="J898" s="1" t="str">
        <f t="shared" si="0"/>
        <v/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6.25" hidden="1" customHeight="1">
      <c r="A899" s="17">
        <f t="shared" si="1"/>
        <v>896</v>
      </c>
      <c r="B899" s="18" t="s">
        <v>867</v>
      </c>
      <c r="C899" s="31" t="s">
        <v>4009</v>
      </c>
      <c r="D899" s="19" t="s">
        <v>4010</v>
      </c>
      <c r="E899" s="20" t="s">
        <v>4011</v>
      </c>
      <c r="F899" s="32" t="s">
        <v>2546</v>
      </c>
      <c r="G899" s="33" t="s">
        <v>53</v>
      </c>
      <c r="H899" s="23" t="s">
        <v>4012</v>
      </c>
      <c r="I899" s="24" t="s">
        <v>55</v>
      </c>
      <c r="J899" s="1" t="str">
        <f t="shared" si="0"/>
        <v/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6.25" hidden="1" customHeight="1">
      <c r="A900" s="17">
        <f t="shared" si="1"/>
        <v>897</v>
      </c>
      <c r="B900" s="18" t="s">
        <v>37</v>
      </c>
      <c r="C900" s="19" t="s">
        <v>4013</v>
      </c>
      <c r="D900" s="19" t="s">
        <v>4014</v>
      </c>
      <c r="E900" s="20" t="s">
        <v>1819</v>
      </c>
      <c r="F900" s="32" t="s">
        <v>4015</v>
      </c>
      <c r="G900" s="33" t="s">
        <v>53</v>
      </c>
      <c r="H900" s="23" t="s">
        <v>4016</v>
      </c>
      <c r="I900" s="34" t="s">
        <v>55</v>
      </c>
      <c r="J900" s="1" t="str">
        <f t="shared" si="0"/>
        <v/>
      </c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</row>
    <row r="901" spans="1:24" ht="26.25" hidden="1" customHeight="1">
      <c r="A901" s="17">
        <f t="shared" si="1"/>
        <v>898</v>
      </c>
      <c r="B901" s="18" t="s">
        <v>867</v>
      </c>
      <c r="C901" s="31" t="s">
        <v>4017</v>
      </c>
      <c r="D901" s="19" t="s">
        <v>4018</v>
      </c>
      <c r="E901" s="20" t="s">
        <v>4019</v>
      </c>
      <c r="F901" s="32" t="s">
        <v>1393</v>
      </c>
      <c r="G901" s="70" t="s">
        <v>53</v>
      </c>
      <c r="H901" s="23" t="s">
        <v>4020</v>
      </c>
      <c r="I901" s="24" t="s">
        <v>55</v>
      </c>
      <c r="J901" s="1" t="str">
        <f t="shared" si="0"/>
        <v/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6.25" customHeight="1">
      <c r="A902" s="17">
        <f t="shared" si="1"/>
        <v>899</v>
      </c>
      <c r="B902" s="18" t="s">
        <v>233</v>
      </c>
      <c r="C902" s="19" t="s">
        <v>4021</v>
      </c>
      <c r="D902" s="19" t="s">
        <v>4022</v>
      </c>
      <c r="E902" s="20" t="s">
        <v>4023</v>
      </c>
      <c r="F902" s="21" t="s">
        <v>4024</v>
      </c>
      <c r="G902" s="33" t="s">
        <v>53</v>
      </c>
      <c r="H902" s="23" t="s">
        <v>4025</v>
      </c>
      <c r="I902" s="24" t="s">
        <v>20</v>
      </c>
      <c r="J902" s="1" t="str">
        <f t="shared" si="0"/>
        <v>FRIC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6.25" hidden="1" customHeight="1">
      <c r="A903" s="17">
        <f t="shared" si="1"/>
        <v>900</v>
      </c>
      <c r="B903" s="18" t="s">
        <v>1375</v>
      </c>
      <c r="C903" s="31" t="s">
        <v>4026</v>
      </c>
      <c r="D903" s="19" t="s">
        <v>2757</v>
      </c>
      <c r="E903" s="20" t="s">
        <v>4027</v>
      </c>
      <c r="F903" s="32" t="s">
        <v>222</v>
      </c>
      <c r="G903" s="33" t="s">
        <v>53</v>
      </c>
      <c r="H903" s="23" t="s">
        <v>4028</v>
      </c>
      <c r="I903" s="24" t="s">
        <v>55</v>
      </c>
      <c r="J903" s="1" t="str">
        <f t="shared" si="0"/>
        <v/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6.25" hidden="1" customHeight="1">
      <c r="A904" s="17">
        <f t="shared" si="1"/>
        <v>901</v>
      </c>
      <c r="B904" s="18" t="s">
        <v>1375</v>
      </c>
      <c r="C904" s="31" t="s">
        <v>4029</v>
      </c>
      <c r="D904" s="19" t="s">
        <v>4030</v>
      </c>
      <c r="E904" s="20" t="s">
        <v>1597</v>
      </c>
      <c r="F904" s="21" t="s">
        <v>2705</v>
      </c>
      <c r="G904" s="33" t="s">
        <v>53</v>
      </c>
      <c r="H904" s="23" t="s">
        <v>4031</v>
      </c>
      <c r="I904" s="34" t="s">
        <v>55</v>
      </c>
      <c r="J904" s="1" t="str">
        <f t="shared" si="0"/>
        <v/>
      </c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</row>
    <row r="905" spans="1:24" ht="26.25" hidden="1" customHeight="1">
      <c r="A905" s="17">
        <f t="shared" si="1"/>
        <v>902</v>
      </c>
      <c r="B905" s="18" t="s">
        <v>105</v>
      </c>
      <c r="C905" s="31" t="s">
        <v>4032</v>
      </c>
      <c r="D905" s="19" t="s">
        <v>4033</v>
      </c>
      <c r="E905" s="20" t="s">
        <v>4034</v>
      </c>
      <c r="F905" s="32" t="s">
        <v>4035</v>
      </c>
      <c r="G905" s="33" t="s">
        <v>53</v>
      </c>
      <c r="H905" s="23" t="s">
        <v>4036</v>
      </c>
      <c r="I905" s="24" t="s">
        <v>55</v>
      </c>
      <c r="J905" s="1" t="str">
        <f t="shared" si="0"/>
        <v/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6.25" hidden="1" customHeight="1">
      <c r="A906" s="17">
        <f t="shared" si="1"/>
        <v>903</v>
      </c>
      <c r="B906" s="18" t="s">
        <v>2181</v>
      </c>
      <c r="C906" s="31" t="s">
        <v>4037</v>
      </c>
      <c r="D906" s="19" t="s">
        <v>3774</v>
      </c>
      <c r="E906" s="20" t="s">
        <v>4038</v>
      </c>
      <c r="F906" s="32" t="s">
        <v>4039</v>
      </c>
      <c r="G906" s="33" t="s">
        <v>53</v>
      </c>
      <c r="H906" s="23" t="s">
        <v>4040</v>
      </c>
      <c r="I906" s="24" t="s">
        <v>55</v>
      </c>
      <c r="J906" s="1" t="str">
        <f t="shared" si="0"/>
        <v/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6.25" hidden="1" customHeight="1">
      <c r="A907" s="17">
        <f t="shared" si="1"/>
        <v>904</v>
      </c>
      <c r="B907" s="18" t="s">
        <v>132</v>
      </c>
      <c r="C907" s="31" t="s">
        <v>4041</v>
      </c>
      <c r="D907" s="19" t="s">
        <v>4042</v>
      </c>
      <c r="E907" s="20"/>
      <c r="F907" s="32" t="s">
        <v>1280</v>
      </c>
      <c r="G907" s="33" t="s">
        <v>53</v>
      </c>
      <c r="H907" s="23" t="s">
        <v>4043</v>
      </c>
      <c r="I907" s="24" t="s">
        <v>55</v>
      </c>
      <c r="J907" s="1" t="str">
        <f t="shared" si="0"/>
        <v/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6.25" hidden="1" customHeight="1">
      <c r="A908" s="17">
        <f t="shared" si="1"/>
        <v>905</v>
      </c>
      <c r="B908" s="18" t="s">
        <v>132</v>
      </c>
      <c r="C908" s="31" t="s">
        <v>4044</v>
      </c>
      <c r="D908" s="19" t="s">
        <v>4045</v>
      </c>
      <c r="E908" s="20" t="s">
        <v>305</v>
      </c>
      <c r="F908" s="32" t="s">
        <v>62</v>
      </c>
      <c r="G908" s="22" t="s">
        <v>53</v>
      </c>
      <c r="H908" s="23" t="s">
        <v>4046</v>
      </c>
      <c r="I908" s="24" t="s">
        <v>55</v>
      </c>
      <c r="J908" s="1" t="str">
        <f t="shared" si="0"/>
        <v/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6.25" customHeight="1">
      <c r="A909" s="17">
        <f t="shared" si="1"/>
        <v>906</v>
      </c>
      <c r="B909" s="18" t="s">
        <v>132</v>
      </c>
      <c r="C909" s="19" t="s">
        <v>4047</v>
      </c>
      <c r="D909" s="19" t="s">
        <v>3042</v>
      </c>
      <c r="E909" s="20" t="s">
        <v>4048</v>
      </c>
      <c r="F909" s="21" t="s">
        <v>135</v>
      </c>
      <c r="G909" s="22" t="s">
        <v>53</v>
      </c>
      <c r="H909" s="23" t="s">
        <v>4049</v>
      </c>
      <c r="I909" s="24" t="s">
        <v>20</v>
      </c>
      <c r="J909" s="1" t="str">
        <f t="shared" si="0"/>
        <v>FRIC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6.25" hidden="1" customHeight="1">
      <c r="A910" s="17">
        <f t="shared" si="1"/>
        <v>907</v>
      </c>
      <c r="B910" s="18" t="s">
        <v>132</v>
      </c>
      <c r="C910" s="31" t="s">
        <v>4050</v>
      </c>
      <c r="D910" s="19" t="s">
        <v>3042</v>
      </c>
      <c r="E910" s="20" t="s">
        <v>538</v>
      </c>
      <c r="F910" s="32" t="s">
        <v>496</v>
      </c>
      <c r="G910" s="22" t="s">
        <v>53</v>
      </c>
      <c r="H910" s="23" t="s">
        <v>4051</v>
      </c>
      <c r="I910" s="24" t="s">
        <v>55</v>
      </c>
      <c r="J910" s="1" t="str">
        <f t="shared" si="0"/>
        <v/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6.25" hidden="1" customHeight="1">
      <c r="A911" s="17">
        <f t="shared" si="1"/>
        <v>908</v>
      </c>
      <c r="B911" s="18" t="s">
        <v>37</v>
      </c>
      <c r="C911" s="31" t="s">
        <v>771</v>
      </c>
      <c r="D911" s="19" t="s">
        <v>4052</v>
      </c>
      <c r="E911" s="20" t="s">
        <v>773</v>
      </c>
      <c r="F911" s="32" t="s">
        <v>4053</v>
      </c>
      <c r="G911" s="22" t="s">
        <v>53</v>
      </c>
      <c r="H911" s="23" t="s">
        <v>4054</v>
      </c>
      <c r="I911" s="24" t="s">
        <v>55</v>
      </c>
      <c r="J911" s="1" t="str">
        <f t="shared" si="0"/>
        <v/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6.25" hidden="1" customHeight="1">
      <c r="A912" s="17">
        <f t="shared" si="1"/>
        <v>909</v>
      </c>
      <c r="B912" s="18" t="s">
        <v>37</v>
      </c>
      <c r="C912" s="31" t="s">
        <v>4055</v>
      </c>
      <c r="D912" s="19" t="s">
        <v>4056</v>
      </c>
      <c r="E912" s="20" t="s">
        <v>4057</v>
      </c>
      <c r="F912" s="32" t="s">
        <v>4058</v>
      </c>
      <c r="G912" s="22" t="s">
        <v>53</v>
      </c>
      <c r="H912" s="23" t="s">
        <v>4059</v>
      </c>
      <c r="I912" s="24" t="s">
        <v>55</v>
      </c>
      <c r="J912" s="1" t="str">
        <f t="shared" si="0"/>
        <v/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6.25" hidden="1" customHeight="1">
      <c r="A913" s="17">
        <f t="shared" si="1"/>
        <v>910</v>
      </c>
      <c r="B913" s="18" t="s">
        <v>48</v>
      </c>
      <c r="C913" s="31" t="s">
        <v>4060</v>
      </c>
      <c r="D913" s="19" t="s">
        <v>4061</v>
      </c>
      <c r="E913" s="20" t="s">
        <v>438</v>
      </c>
      <c r="F913" s="32" t="s">
        <v>4062</v>
      </c>
      <c r="G913" s="33" t="s">
        <v>63</v>
      </c>
      <c r="H913" s="23" t="s">
        <v>4063</v>
      </c>
      <c r="I913" s="24" t="s">
        <v>55</v>
      </c>
      <c r="J913" s="1" t="str">
        <f t="shared" si="0"/>
        <v/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6.25" hidden="1" customHeight="1">
      <c r="A914" s="17">
        <f t="shared" si="1"/>
        <v>911</v>
      </c>
      <c r="B914" s="18" t="s">
        <v>48</v>
      </c>
      <c r="C914" s="31" t="s">
        <v>4064</v>
      </c>
      <c r="D914" s="19" t="s">
        <v>4061</v>
      </c>
      <c r="E914" s="20" t="s">
        <v>445</v>
      </c>
      <c r="F914" s="32" t="s">
        <v>4062</v>
      </c>
      <c r="G914" s="33" t="s">
        <v>63</v>
      </c>
      <c r="H914" s="23" t="s">
        <v>4065</v>
      </c>
      <c r="I914" s="24" t="s">
        <v>55</v>
      </c>
      <c r="J914" s="1" t="str">
        <f t="shared" si="0"/>
        <v/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6.25" hidden="1" customHeight="1">
      <c r="A915" s="17">
        <f t="shared" si="1"/>
        <v>912</v>
      </c>
      <c r="B915" s="18" t="s">
        <v>48</v>
      </c>
      <c r="C915" s="31" t="s">
        <v>4066</v>
      </c>
      <c r="D915" s="19" t="s">
        <v>4061</v>
      </c>
      <c r="E915" s="20" t="s">
        <v>452</v>
      </c>
      <c r="F915" s="32" t="s">
        <v>4067</v>
      </c>
      <c r="G915" s="33" t="s">
        <v>63</v>
      </c>
      <c r="H915" s="23" t="s">
        <v>4068</v>
      </c>
      <c r="I915" s="24" t="s">
        <v>55</v>
      </c>
      <c r="J915" s="1" t="str">
        <f t="shared" si="0"/>
        <v/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6.25" hidden="1" customHeight="1">
      <c r="A916" s="17">
        <f t="shared" si="1"/>
        <v>913</v>
      </c>
      <c r="B916" s="18" t="s">
        <v>48</v>
      </c>
      <c r="C916" s="31" t="s">
        <v>4069</v>
      </c>
      <c r="D916" s="19" t="s">
        <v>4061</v>
      </c>
      <c r="E916" s="20" t="s">
        <v>458</v>
      </c>
      <c r="F916" s="32" t="s">
        <v>4070</v>
      </c>
      <c r="G916" s="33" t="s">
        <v>63</v>
      </c>
      <c r="H916" s="23" t="s">
        <v>4071</v>
      </c>
      <c r="I916" s="24" t="s">
        <v>55</v>
      </c>
      <c r="J916" s="1" t="str">
        <f t="shared" si="0"/>
        <v/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6.25" hidden="1" customHeight="1">
      <c r="A917" s="17">
        <f t="shared" si="1"/>
        <v>914</v>
      </c>
      <c r="B917" s="18" t="s">
        <v>48</v>
      </c>
      <c r="C917" s="31" t="s">
        <v>4072</v>
      </c>
      <c r="D917" s="19" t="s">
        <v>4061</v>
      </c>
      <c r="E917" s="20" t="s">
        <v>1619</v>
      </c>
      <c r="F917" s="21" t="s">
        <v>2434</v>
      </c>
      <c r="G917" s="33" t="s">
        <v>63</v>
      </c>
      <c r="H917" s="23" t="s">
        <v>4073</v>
      </c>
      <c r="I917" s="34" t="s">
        <v>55</v>
      </c>
      <c r="J917" s="1" t="str">
        <f t="shared" si="0"/>
        <v/>
      </c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</row>
    <row r="918" spans="1:24" ht="26.25" hidden="1" customHeight="1">
      <c r="A918" s="17">
        <f t="shared" si="1"/>
        <v>915</v>
      </c>
      <c r="B918" s="18" t="s">
        <v>48</v>
      </c>
      <c r="C918" s="31" t="s">
        <v>4074</v>
      </c>
      <c r="D918" s="19" t="s">
        <v>4075</v>
      </c>
      <c r="E918" s="20" t="s">
        <v>4076</v>
      </c>
      <c r="F918" s="21" t="s">
        <v>3924</v>
      </c>
      <c r="G918" s="33" t="s">
        <v>53</v>
      </c>
      <c r="H918" s="23" t="s">
        <v>4077</v>
      </c>
      <c r="I918" s="34" t="s">
        <v>20</v>
      </c>
      <c r="J918" s="1" t="str">
        <f t="shared" si="0"/>
        <v>과기</v>
      </c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</row>
    <row r="919" spans="1:24" ht="26.25" hidden="1" customHeight="1">
      <c r="A919" s="17">
        <f t="shared" si="1"/>
        <v>916</v>
      </c>
      <c r="B919" s="18" t="s">
        <v>48</v>
      </c>
      <c r="C919" s="31" t="s">
        <v>4078</v>
      </c>
      <c r="D919" s="19" t="s">
        <v>4079</v>
      </c>
      <c r="E919" s="20" t="s">
        <v>4080</v>
      </c>
      <c r="F919" s="32" t="s">
        <v>4081</v>
      </c>
      <c r="G919" s="33" t="s">
        <v>53</v>
      </c>
      <c r="H919" s="23" t="s">
        <v>4082</v>
      </c>
      <c r="I919" s="24" t="s">
        <v>55</v>
      </c>
      <c r="J919" s="1" t="str">
        <f t="shared" si="0"/>
        <v/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6.25" hidden="1" customHeight="1">
      <c r="A920" s="17">
        <f t="shared" si="1"/>
        <v>917</v>
      </c>
      <c r="B920" s="18" t="s">
        <v>48</v>
      </c>
      <c r="C920" s="31" t="s">
        <v>4083</v>
      </c>
      <c r="D920" s="19" t="s">
        <v>4084</v>
      </c>
      <c r="E920" s="20" t="s">
        <v>4085</v>
      </c>
      <c r="F920" s="32" t="s">
        <v>4086</v>
      </c>
      <c r="G920" s="33" t="s">
        <v>53</v>
      </c>
      <c r="H920" s="23" t="s">
        <v>4087</v>
      </c>
      <c r="I920" s="24" t="s">
        <v>55</v>
      </c>
      <c r="J920" s="1" t="str">
        <f t="shared" si="0"/>
        <v/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6.25" hidden="1" customHeight="1">
      <c r="A921" s="17">
        <f t="shared" si="1"/>
        <v>918</v>
      </c>
      <c r="B921" s="18" t="s">
        <v>48</v>
      </c>
      <c r="C921" s="31" t="s">
        <v>4088</v>
      </c>
      <c r="D921" s="19" t="s">
        <v>4079</v>
      </c>
      <c r="E921" s="20" t="s">
        <v>4089</v>
      </c>
      <c r="F921" s="32" t="s">
        <v>4090</v>
      </c>
      <c r="G921" s="33" t="s">
        <v>53</v>
      </c>
      <c r="H921" s="23" t="s">
        <v>4091</v>
      </c>
      <c r="I921" s="24" t="s">
        <v>55</v>
      </c>
      <c r="J921" s="1" t="str">
        <f t="shared" si="0"/>
        <v/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6.25" hidden="1" customHeight="1">
      <c r="A922" s="17">
        <f t="shared" si="1"/>
        <v>919</v>
      </c>
      <c r="B922" s="18" t="s">
        <v>48</v>
      </c>
      <c r="C922" s="31" t="s">
        <v>4092</v>
      </c>
      <c r="D922" s="19" t="s">
        <v>4079</v>
      </c>
      <c r="E922" s="20" t="s">
        <v>4093</v>
      </c>
      <c r="F922" s="32" t="s">
        <v>4081</v>
      </c>
      <c r="G922" s="33" t="s">
        <v>53</v>
      </c>
      <c r="H922" s="23" t="s">
        <v>4094</v>
      </c>
      <c r="I922" s="24" t="s">
        <v>55</v>
      </c>
      <c r="J922" s="1" t="str">
        <f t="shared" si="0"/>
        <v/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6.25" hidden="1" customHeight="1">
      <c r="A923" s="17">
        <f t="shared" si="1"/>
        <v>920</v>
      </c>
      <c r="B923" s="18" t="s">
        <v>48</v>
      </c>
      <c r="C923" s="31" t="s">
        <v>4095</v>
      </c>
      <c r="D923" s="19" t="s">
        <v>4079</v>
      </c>
      <c r="E923" s="20" t="s">
        <v>408</v>
      </c>
      <c r="F923" s="32" t="s">
        <v>4096</v>
      </c>
      <c r="G923" s="33" t="s">
        <v>53</v>
      </c>
      <c r="H923" s="23" t="s">
        <v>4097</v>
      </c>
      <c r="I923" s="24" t="s">
        <v>55</v>
      </c>
      <c r="J923" s="1" t="str">
        <f t="shared" si="0"/>
        <v/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6.25" hidden="1" customHeight="1">
      <c r="A924" s="17">
        <f t="shared" si="1"/>
        <v>921</v>
      </c>
      <c r="B924" s="18" t="s">
        <v>48</v>
      </c>
      <c r="C924" s="31" t="s">
        <v>4098</v>
      </c>
      <c r="D924" s="19" t="s">
        <v>4079</v>
      </c>
      <c r="E924" s="20" t="s">
        <v>413</v>
      </c>
      <c r="F924" s="32" t="s">
        <v>4099</v>
      </c>
      <c r="G924" s="33" t="s">
        <v>53</v>
      </c>
      <c r="H924" s="23" t="s">
        <v>4100</v>
      </c>
      <c r="I924" s="24" t="s">
        <v>55</v>
      </c>
      <c r="J924" s="1" t="str">
        <f t="shared" si="0"/>
        <v/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6.25" hidden="1" customHeight="1">
      <c r="A925" s="17">
        <f t="shared" si="1"/>
        <v>922</v>
      </c>
      <c r="B925" s="18" t="s">
        <v>48</v>
      </c>
      <c r="C925" s="31" t="s">
        <v>4101</v>
      </c>
      <c r="D925" s="19" t="s">
        <v>4079</v>
      </c>
      <c r="E925" s="20" t="s">
        <v>419</v>
      </c>
      <c r="F925" s="32" t="s">
        <v>4102</v>
      </c>
      <c r="G925" s="33" t="s">
        <v>53</v>
      </c>
      <c r="H925" s="23" t="s">
        <v>4103</v>
      </c>
      <c r="I925" s="24" t="s">
        <v>55</v>
      </c>
      <c r="J925" s="1" t="str">
        <f t="shared" si="0"/>
        <v/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6.25" hidden="1" customHeight="1">
      <c r="A926" s="17">
        <f t="shared" si="1"/>
        <v>923</v>
      </c>
      <c r="B926" s="18" t="s">
        <v>48</v>
      </c>
      <c r="C926" s="31" t="s">
        <v>4104</v>
      </c>
      <c r="D926" s="19" t="s">
        <v>4079</v>
      </c>
      <c r="E926" s="20" t="s">
        <v>425</v>
      </c>
      <c r="F926" s="32" t="s">
        <v>4105</v>
      </c>
      <c r="G926" s="33" t="s">
        <v>53</v>
      </c>
      <c r="H926" s="23" t="s">
        <v>4106</v>
      </c>
      <c r="I926" s="24" t="s">
        <v>55</v>
      </c>
      <c r="J926" s="1" t="str">
        <f t="shared" si="0"/>
        <v/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6.25" hidden="1" customHeight="1">
      <c r="A927" s="17">
        <f t="shared" si="1"/>
        <v>924</v>
      </c>
      <c r="B927" s="18" t="s">
        <v>48</v>
      </c>
      <c r="C927" s="31" t="s">
        <v>4107</v>
      </c>
      <c r="D927" s="19" t="s">
        <v>4079</v>
      </c>
      <c r="E927" s="20" t="s">
        <v>4108</v>
      </c>
      <c r="F927" s="21" t="s">
        <v>1642</v>
      </c>
      <c r="G927" s="33" t="s">
        <v>53</v>
      </c>
      <c r="H927" s="23" t="s">
        <v>4109</v>
      </c>
      <c r="I927" s="34" t="s">
        <v>20</v>
      </c>
      <c r="J927" s="1" t="str">
        <f t="shared" si="0"/>
        <v>과기</v>
      </c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</row>
    <row r="928" spans="1:24" ht="26.25" hidden="1" customHeight="1">
      <c r="A928" s="17">
        <f t="shared" si="1"/>
        <v>925</v>
      </c>
      <c r="B928" s="18" t="s">
        <v>13</v>
      </c>
      <c r="C928" s="22" t="s">
        <v>4110</v>
      </c>
      <c r="D928" s="42" t="s">
        <v>4111</v>
      </c>
      <c r="E928" s="104" t="s">
        <v>4112</v>
      </c>
      <c r="F928" s="32" t="s">
        <v>2718</v>
      </c>
      <c r="G928" s="22" t="s">
        <v>53</v>
      </c>
      <c r="H928" s="23" t="s">
        <v>4113</v>
      </c>
      <c r="I928" s="24" t="s">
        <v>55</v>
      </c>
      <c r="J928" s="1" t="str">
        <f t="shared" si="0"/>
        <v/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6.25" customHeight="1">
      <c r="A929" s="17">
        <f t="shared" si="1"/>
        <v>926</v>
      </c>
      <c r="B929" s="18" t="s">
        <v>132</v>
      </c>
      <c r="C929" s="19" t="s">
        <v>4114</v>
      </c>
      <c r="D929" s="19" t="s">
        <v>4115</v>
      </c>
      <c r="E929" s="20" t="s">
        <v>4116</v>
      </c>
      <c r="F929" s="21" t="s">
        <v>2023</v>
      </c>
      <c r="G929" s="22" t="s">
        <v>63</v>
      </c>
      <c r="H929" s="23" t="s">
        <v>4117</v>
      </c>
      <c r="I929" s="24" t="s">
        <v>20</v>
      </c>
      <c r="J929" s="1" t="str">
        <f t="shared" si="0"/>
        <v>FRIC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6.25" hidden="1" customHeight="1">
      <c r="A930" s="17">
        <f t="shared" si="1"/>
        <v>927</v>
      </c>
      <c r="B930" s="18" t="s">
        <v>105</v>
      </c>
      <c r="C930" s="31" t="s">
        <v>4118</v>
      </c>
      <c r="D930" s="19" t="s">
        <v>4119</v>
      </c>
      <c r="E930" s="20" t="s">
        <v>4120</v>
      </c>
      <c r="F930" s="21" t="s">
        <v>3924</v>
      </c>
      <c r="G930" s="33" t="s">
        <v>53</v>
      </c>
      <c r="H930" s="23" t="s">
        <v>4121</v>
      </c>
      <c r="I930" s="34" t="s">
        <v>20</v>
      </c>
      <c r="J930" s="1" t="str">
        <f t="shared" si="0"/>
        <v>과기</v>
      </c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</row>
    <row r="931" spans="1:24" ht="26.25" customHeight="1">
      <c r="A931" s="17">
        <f t="shared" si="1"/>
        <v>928</v>
      </c>
      <c r="B931" s="18" t="s">
        <v>37</v>
      </c>
      <c r="C931" s="19" t="s">
        <v>4122</v>
      </c>
      <c r="D931" s="19" t="s">
        <v>4123</v>
      </c>
      <c r="E931" s="20" t="s">
        <v>4124</v>
      </c>
      <c r="F931" s="21" t="s">
        <v>2922</v>
      </c>
      <c r="G931" s="33" t="s">
        <v>53</v>
      </c>
      <c r="H931" s="23" t="s">
        <v>4125</v>
      </c>
      <c r="I931" s="24" t="s">
        <v>20</v>
      </c>
      <c r="J931" s="1" t="str">
        <f t="shared" si="0"/>
        <v>FRIC</v>
      </c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6.25" customHeight="1">
      <c r="A932" s="17">
        <f t="shared" si="1"/>
        <v>929</v>
      </c>
      <c r="B932" s="18" t="s">
        <v>13</v>
      </c>
      <c r="C932" s="19" t="s">
        <v>4126</v>
      </c>
      <c r="D932" s="19" t="s">
        <v>4127</v>
      </c>
      <c r="E932" s="20" t="s">
        <v>4128</v>
      </c>
      <c r="F932" s="21" t="s">
        <v>17</v>
      </c>
      <c r="G932" s="33" t="s">
        <v>53</v>
      </c>
      <c r="H932" s="23" t="s">
        <v>4129</v>
      </c>
      <c r="I932" s="24" t="s">
        <v>20</v>
      </c>
      <c r="J932" s="1" t="str">
        <f t="shared" si="0"/>
        <v>FRIC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6.25" hidden="1" customHeight="1">
      <c r="A933" s="17">
        <f t="shared" si="1"/>
        <v>930</v>
      </c>
      <c r="B933" s="18" t="s">
        <v>105</v>
      </c>
      <c r="C933" s="31" t="s">
        <v>464</v>
      </c>
      <c r="D933" s="19" t="s">
        <v>4130</v>
      </c>
      <c r="E933" s="20" t="s">
        <v>466</v>
      </c>
      <c r="F933" s="32" t="s">
        <v>4131</v>
      </c>
      <c r="G933" s="33" t="s">
        <v>53</v>
      </c>
      <c r="H933" s="23" t="s">
        <v>4132</v>
      </c>
      <c r="I933" s="24" t="s">
        <v>55</v>
      </c>
      <c r="J933" s="1" t="str">
        <f t="shared" si="0"/>
        <v/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6.25" hidden="1" customHeight="1">
      <c r="A934" s="17">
        <f t="shared" si="1"/>
        <v>931</v>
      </c>
      <c r="B934" s="18" t="s">
        <v>105</v>
      </c>
      <c r="C934" s="31" t="s">
        <v>4133</v>
      </c>
      <c r="D934" s="19" t="s">
        <v>4134</v>
      </c>
      <c r="E934" s="20" t="s">
        <v>4135</v>
      </c>
      <c r="F934" s="32" t="s">
        <v>4136</v>
      </c>
      <c r="G934" s="33" t="s">
        <v>53</v>
      </c>
      <c r="H934" s="23" t="s">
        <v>4137</v>
      </c>
      <c r="I934" s="24" t="s">
        <v>55</v>
      </c>
      <c r="J934" s="1" t="str">
        <f t="shared" si="0"/>
        <v/>
      </c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6.25" hidden="1" customHeight="1">
      <c r="A935" s="17">
        <f t="shared" si="1"/>
        <v>932</v>
      </c>
      <c r="B935" s="18" t="s">
        <v>13</v>
      </c>
      <c r="C935" s="31" t="s">
        <v>4138</v>
      </c>
      <c r="D935" s="19" t="s">
        <v>4139</v>
      </c>
      <c r="E935" s="20" t="s">
        <v>4140</v>
      </c>
      <c r="F935" s="32" t="s">
        <v>4141</v>
      </c>
      <c r="G935" s="33" t="s">
        <v>53</v>
      </c>
      <c r="H935" s="23" t="s">
        <v>4142</v>
      </c>
      <c r="I935" s="24" t="s">
        <v>55</v>
      </c>
      <c r="J935" s="1" t="str">
        <f t="shared" si="0"/>
        <v/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6.25" hidden="1" customHeight="1">
      <c r="A936" s="17">
        <f t="shared" si="1"/>
        <v>933</v>
      </c>
      <c r="B936" s="18" t="s">
        <v>13</v>
      </c>
      <c r="C936" s="19" t="s">
        <v>4143</v>
      </c>
      <c r="D936" s="19" t="s">
        <v>4139</v>
      </c>
      <c r="E936" s="20" t="s">
        <v>1760</v>
      </c>
      <c r="F936" s="32" t="s">
        <v>4144</v>
      </c>
      <c r="G936" s="33" t="s">
        <v>53</v>
      </c>
      <c r="H936" s="23" t="s">
        <v>4145</v>
      </c>
      <c r="I936" s="34" t="s">
        <v>55</v>
      </c>
      <c r="J936" s="1" t="str">
        <f t="shared" si="0"/>
        <v/>
      </c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</row>
    <row r="937" spans="1:24" ht="26.25" hidden="1" customHeight="1">
      <c r="A937" s="17">
        <f t="shared" si="1"/>
        <v>934</v>
      </c>
      <c r="B937" s="18" t="s">
        <v>105</v>
      </c>
      <c r="C937" s="31" t="s">
        <v>4146</v>
      </c>
      <c r="D937" s="19" t="s">
        <v>4147</v>
      </c>
      <c r="E937" s="20" t="s">
        <v>4148</v>
      </c>
      <c r="F937" s="32" t="s">
        <v>4149</v>
      </c>
      <c r="G937" s="33" t="s">
        <v>53</v>
      </c>
      <c r="H937" s="23" t="s">
        <v>4150</v>
      </c>
      <c r="I937" s="24" t="s">
        <v>55</v>
      </c>
      <c r="J937" s="1" t="str">
        <f t="shared" si="0"/>
        <v/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6.25" hidden="1" customHeight="1">
      <c r="A938" s="17">
        <f t="shared" si="1"/>
        <v>935</v>
      </c>
      <c r="B938" s="18" t="s">
        <v>105</v>
      </c>
      <c r="C938" s="31" t="s">
        <v>4151</v>
      </c>
      <c r="D938" s="19" t="s">
        <v>2460</v>
      </c>
      <c r="E938" s="20" t="s">
        <v>1624</v>
      </c>
      <c r="F938" s="21" t="s">
        <v>1990</v>
      </c>
      <c r="G938" s="33" t="s">
        <v>53</v>
      </c>
      <c r="H938" s="23" t="s">
        <v>4152</v>
      </c>
      <c r="I938" s="34" t="s">
        <v>55</v>
      </c>
      <c r="J938" s="1" t="str">
        <f t="shared" si="0"/>
        <v/>
      </c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</row>
    <row r="939" spans="1:24" ht="26.25" hidden="1" customHeight="1">
      <c r="A939" s="17">
        <f t="shared" si="1"/>
        <v>936</v>
      </c>
      <c r="B939" s="18" t="s">
        <v>37</v>
      </c>
      <c r="C939" s="31" t="s">
        <v>4153</v>
      </c>
      <c r="D939" s="19" t="s">
        <v>1128</v>
      </c>
      <c r="E939" s="20" t="s">
        <v>780</v>
      </c>
      <c r="F939" s="32" t="s">
        <v>4154</v>
      </c>
      <c r="G939" s="22" t="s">
        <v>31</v>
      </c>
      <c r="H939" s="23" t="s">
        <v>4155</v>
      </c>
      <c r="I939" s="24" t="s">
        <v>55</v>
      </c>
      <c r="J939" s="1" t="str">
        <f t="shared" si="0"/>
        <v/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6.25" hidden="1" customHeight="1">
      <c r="A940" s="17">
        <f t="shared" si="1"/>
        <v>937</v>
      </c>
      <c r="B940" s="18" t="s">
        <v>105</v>
      </c>
      <c r="C940" s="31" t="s">
        <v>4156</v>
      </c>
      <c r="D940" s="19" t="s">
        <v>4157</v>
      </c>
      <c r="E940" s="20" t="s">
        <v>4158</v>
      </c>
      <c r="F940" s="32" t="s">
        <v>4159</v>
      </c>
      <c r="G940" s="33" t="s">
        <v>53</v>
      </c>
      <c r="H940" s="23" t="s">
        <v>4160</v>
      </c>
      <c r="I940" s="24" t="s">
        <v>55</v>
      </c>
      <c r="J940" s="1" t="str">
        <f t="shared" si="0"/>
        <v/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6.25" customHeight="1">
      <c r="A941" s="17">
        <f t="shared" si="1"/>
        <v>938</v>
      </c>
      <c r="B941" s="18" t="s">
        <v>146</v>
      </c>
      <c r="C941" s="19" t="s">
        <v>4161</v>
      </c>
      <c r="D941" s="19" t="s">
        <v>4162</v>
      </c>
      <c r="E941" s="20" t="s">
        <v>4163</v>
      </c>
      <c r="F941" s="21" t="s">
        <v>135</v>
      </c>
      <c r="G941" s="33" t="s">
        <v>53</v>
      </c>
      <c r="H941" s="23" t="s">
        <v>4164</v>
      </c>
      <c r="I941" s="24" t="s">
        <v>20</v>
      </c>
      <c r="J941" s="1" t="str">
        <f t="shared" si="0"/>
        <v>FRIC</v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6.25" customHeight="1">
      <c r="A942" s="17">
        <f t="shared" si="1"/>
        <v>939</v>
      </c>
      <c r="B942" s="18" t="s">
        <v>13</v>
      </c>
      <c r="C942" s="19" t="s">
        <v>4165</v>
      </c>
      <c r="D942" s="19" t="s">
        <v>4166</v>
      </c>
      <c r="E942" s="20" t="s">
        <v>4167</v>
      </c>
      <c r="F942" s="21" t="s">
        <v>4168</v>
      </c>
      <c r="G942" s="33" t="s">
        <v>53</v>
      </c>
      <c r="H942" s="23" t="s">
        <v>4169</v>
      </c>
      <c r="I942" s="24" t="s">
        <v>20</v>
      </c>
      <c r="J942" s="1" t="str">
        <f t="shared" si="0"/>
        <v>FRIC</v>
      </c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6.25" customHeight="1">
      <c r="A943" s="17">
        <f t="shared" si="1"/>
        <v>940</v>
      </c>
      <c r="B943" s="18" t="s">
        <v>13</v>
      </c>
      <c r="C943" s="19" t="s">
        <v>4170</v>
      </c>
      <c r="D943" s="19" t="s">
        <v>4171</v>
      </c>
      <c r="E943" s="20" t="s">
        <v>4172</v>
      </c>
      <c r="F943" s="21" t="s">
        <v>135</v>
      </c>
      <c r="G943" s="33" t="s">
        <v>53</v>
      </c>
      <c r="H943" s="23" t="s">
        <v>4173</v>
      </c>
      <c r="I943" s="24" t="s">
        <v>20</v>
      </c>
      <c r="J943" s="1" t="str">
        <f t="shared" si="0"/>
        <v>FRIC</v>
      </c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6.25" hidden="1" customHeight="1">
      <c r="A944" s="17">
        <f t="shared" si="1"/>
        <v>941</v>
      </c>
      <c r="B944" s="18" t="s">
        <v>13</v>
      </c>
      <c r="C944" s="31" t="s">
        <v>4174</v>
      </c>
      <c r="D944" s="19" t="s">
        <v>4175</v>
      </c>
      <c r="E944" s="20" t="s">
        <v>4176</v>
      </c>
      <c r="F944" s="32" t="s">
        <v>4177</v>
      </c>
      <c r="G944" s="33" t="s">
        <v>53</v>
      </c>
      <c r="H944" s="23" t="s">
        <v>4178</v>
      </c>
      <c r="I944" s="24" t="s">
        <v>55</v>
      </c>
      <c r="J944" s="1" t="str">
        <f t="shared" si="0"/>
        <v/>
      </c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6.25" hidden="1" customHeight="1">
      <c r="A945" s="17">
        <f t="shared" si="1"/>
        <v>942</v>
      </c>
      <c r="B945" s="18" t="s">
        <v>13</v>
      </c>
      <c r="C945" s="31" t="s">
        <v>4179</v>
      </c>
      <c r="D945" s="19" t="s">
        <v>4180</v>
      </c>
      <c r="E945" s="20" t="s">
        <v>4181</v>
      </c>
      <c r="F945" s="32" t="s">
        <v>4182</v>
      </c>
      <c r="G945" s="33" t="s">
        <v>53</v>
      </c>
      <c r="H945" s="23" t="s">
        <v>4183</v>
      </c>
      <c r="I945" s="24" t="s">
        <v>55</v>
      </c>
      <c r="J945" s="1" t="str">
        <f t="shared" si="0"/>
        <v/>
      </c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6.25" hidden="1" customHeight="1">
      <c r="A946" s="17">
        <f t="shared" si="1"/>
        <v>943</v>
      </c>
      <c r="B946" s="18" t="s">
        <v>13</v>
      </c>
      <c r="C946" s="31" t="s">
        <v>4184</v>
      </c>
      <c r="D946" s="19" t="s">
        <v>4180</v>
      </c>
      <c r="E946" s="20" t="s">
        <v>4185</v>
      </c>
      <c r="F946" s="32" t="s">
        <v>4186</v>
      </c>
      <c r="G946" s="33" t="s">
        <v>53</v>
      </c>
      <c r="H946" s="23" t="s">
        <v>4187</v>
      </c>
      <c r="I946" s="24" t="s">
        <v>55</v>
      </c>
      <c r="J946" s="1" t="str">
        <f t="shared" si="0"/>
        <v/>
      </c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6.25" customHeight="1">
      <c r="A947" s="17">
        <f t="shared" si="1"/>
        <v>944</v>
      </c>
      <c r="B947" s="18" t="s">
        <v>13</v>
      </c>
      <c r="C947" s="19" t="s">
        <v>4188</v>
      </c>
      <c r="D947" s="19" t="s">
        <v>4180</v>
      </c>
      <c r="E947" s="20" t="s">
        <v>4189</v>
      </c>
      <c r="F947" s="21" t="s">
        <v>4190</v>
      </c>
      <c r="G947" s="33" t="s">
        <v>53</v>
      </c>
      <c r="H947" s="23" t="s">
        <v>4191</v>
      </c>
      <c r="I947" s="24" t="s">
        <v>20</v>
      </c>
      <c r="J947" s="1" t="str">
        <f t="shared" si="0"/>
        <v>FRIC</v>
      </c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6.25" customHeight="1">
      <c r="A948" s="17">
        <f t="shared" si="1"/>
        <v>945</v>
      </c>
      <c r="B948" s="18" t="s">
        <v>37</v>
      </c>
      <c r="C948" s="19" t="s">
        <v>4192</v>
      </c>
      <c r="D948" s="19" t="s">
        <v>4193</v>
      </c>
      <c r="E948" s="20" t="s">
        <v>4194</v>
      </c>
      <c r="F948" s="21" t="s">
        <v>4195</v>
      </c>
      <c r="G948" s="33" t="s">
        <v>53</v>
      </c>
      <c r="H948" s="23" t="s">
        <v>4196</v>
      </c>
      <c r="I948" s="24" t="s">
        <v>20</v>
      </c>
      <c r="J948" s="1" t="str">
        <f t="shared" si="0"/>
        <v>FRIC</v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6.25" hidden="1" customHeight="1">
      <c r="A949" s="17">
        <f t="shared" si="1"/>
        <v>946</v>
      </c>
      <c r="B949" s="18" t="s">
        <v>1197</v>
      </c>
      <c r="C949" s="92" t="s">
        <v>4197</v>
      </c>
      <c r="D949" s="89" t="s">
        <v>4198</v>
      </c>
      <c r="E949" s="90" t="s">
        <v>4199</v>
      </c>
      <c r="F949" s="91" t="s">
        <v>4200</v>
      </c>
      <c r="G949" s="93" t="s">
        <v>53</v>
      </c>
      <c r="H949" s="94" t="s">
        <v>4201</v>
      </c>
      <c r="I949" s="95" t="s">
        <v>55</v>
      </c>
      <c r="J949" s="1" t="str">
        <f t="shared" si="0"/>
        <v/>
      </c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</row>
    <row r="950" spans="1:24" ht="26.25" hidden="1" customHeight="1">
      <c r="A950" s="17">
        <f t="shared" si="1"/>
        <v>947</v>
      </c>
      <c r="B950" s="18" t="s">
        <v>27</v>
      </c>
      <c r="C950" s="31" t="s">
        <v>4202</v>
      </c>
      <c r="D950" s="19" t="s">
        <v>4203</v>
      </c>
      <c r="E950" s="20" t="s">
        <v>4204</v>
      </c>
      <c r="F950" s="32" t="s">
        <v>4205</v>
      </c>
      <c r="G950" s="33" t="s">
        <v>53</v>
      </c>
      <c r="H950" s="23" t="s">
        <v>4206</v>
      </c>
      <c r="I950" s="24" t="s">
        <v>55</v>
      </c>
      <c r="J950" s="1" t="str">
        <f t="shared" si="0"/>
        <v/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6.25" customHeight="1">
      <c r="A951" s="17">
        <f t="shared" si="1"/>
        <v>948</v>
      </c>
      <c r="B951" s="18" t="s">
        <v>27</v>
      </c>
      <c r="C951" s="77" t="s">
        <v>4207</v>
      </c>
      <c r="D951" s="19" t="s">
        <v>4208</v>
      </c>
      <c r="E951" s="20" t="s">
        <v>4209</v>
      </c>
      <c r="F951" s="32" t="s">
        <v>170</v>
      </c>
      <c r="G951" s="33" t="s">
        <v>53</v>
      </c>
      <c r="H951" s="23" t="s">
        <v>4210</v>
      </c>
      <c r="I951" s="24" t="s">
        <v>20</v>
      </c>
      <c r="J951" s="1" t="str">
        <f t="shared" si="0"/>
        <v>FRIC</v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6.25" customHeight="1">
      <c r="A952" s="17">
        <f t="shared" si="1"/>
        <v>949</v>
      </c>
      <c r="B952" s="18" t="s">
        <v>27</v>
      </c>
      <c r="C952" s="19" t="s">
        <v>4211</v>
      </c>
      <c r="D952" s="19" t="s">
        <v>4212</v>
      </c>
      <c r="E952" s="20" t="s">
        <v>4213</v>
      </c>
      <c r="F952" s="21" t="s">
        <v>4214</v>
      </c>
      <c r="G952" s="33" t="s">
        <v>53</v>
      </c>
      <c r="H952" s="23" t="s">
        <v>4215</v>
      </c>
      <c r="I952" s="24" t="s">
        <v>20</v>
      </c>
      <c r="J952" s="1" t="str">
        <f t="shared" si="0"/>
        <v>FRIC</v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6.25" hidden="1" customHeight="1">
      <c r="A953" s="17">
        <f t="shared" si="1"/>
        <v>950</v>
      </c>
      <c r="B953" s="18" t="s">
        <v>1197</v>
      </c>
      <c r="C953" s="19" t="s">
        <v>1824</v>
      </c>
      <c r="D953" s="19" t="s">
        <v>1825</v>
      </c>
      <c r="E953" s="20" t="s">
        <v>1826</v>
      </c>
      <c r="F953" s="32" t="s">
        <v>3823</v>
      </c>
      <c r="G953" s="33" t="s">
        <v>53</v>
      </c>
      <c r="H953" s="23" t="s">
        <v>4216</v>
      </c>
      <c r="I953" s="34" t="s">
        <v>55</v>
      </c>
      <c r="J953" s="1" t="str">
        <f t="shared" si="0"/>
        <v/>
      </c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</row>
    <row r="954" spans="1:24" ht="26.25" hidden="1" customHeight="1">
      <c r="A954" s="17">
        <f t="shared" si="1"/>
        <v>951</v>
      </c>
      <c r="B954" s="18" t="s">
        <v>1197</v>
      </c>
      <c r="C954" s="31" t="s">
        <v>4217</v>
      </c>
      <c r="D954" s="19" t="s">
        <v>4218</v>
      </c>
      <c r="E954" s="20" t="s">
        <v>4219</v>
      </c>
      <c r="F954" s="32" t="s">
        <v>4220</v>
      </c>
      <c r="G954" s="33" t="s">
        <v>53</v>
      </c>
      <c r="H954" s="23" t="s">
        <v>4221</v>
      </c>
      <c r="I954" s="24" t="s">
        <v>55</v>
      </c>
      <c r="J954" s="1" t="str">
        <f t="shared" si="0"/>
        <v/>
      </c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6.25" hidden="1" customHeight="1">
      <c r="A955" s="17">
        <f t="shared" si="1"/>
        <v>952</v>
      </c>
      <c r="B955" s="18" t="s">
        <v>13</v>
      </c>
      <c r="C955" s="31" t="s">
        <v>4222</v>
      </c>
      <c r="D955" s="19" t="s">
        <v>4223</v>
      </c>
      <c r="E955" s="20" t="s">
        <v>4224</v>
      </c>
      <c r="F955" s="32" t="s">
        <v>4225</v>
      </c>
      <c r="G955" s="22" t="s">
        <v>53</v>
      </c>
      <c r="H955" s="23" t="s">
        <v>4226</v>
      </c>
      <c r="I955" s="24" t="s">
        <v>55</v>
      </c>
      <c r="J955" s="1" t="str">
        <f t="shared" si="0"/>
        <v/>
      </c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6.25" hidden="1" customHeight="1">
      <c r="A956" s="17">
        <f t="shared" si="1"/>
        <v>953</v>
      </c>
      <c r="B956" s="18" t="s">
        <v>13</v>
      </c>
      <c r="C956" s="31" t="s">
        <v>4227</v>
      </c>
      <c r="D956" s="19" t="s">
        <v>4223</v>
      </c>
      <c r="E956" s="20" t="s">
        <v>4228</v>
      </c>
      <c r="F956" s="32" t="s">
        <v>4225</v>
      </c>
      <c r="G956" s="22" t="s">
        <v>53</v>
      </c>
      <c r="H956" s="23" t="s">
        <v>4229</v>
      </c>
      <c r="I956" s="24" t="s">
        <v>55</v>
      </c>
      <c r="J956" s="1" t="str">
        <f t="shared" si="0"/>
        <v/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6.25" hidden="1" customHeight="1">
      <c r="A957" s="17">
        <f t="shared" si="1"/>
        <v>954</v>
      </c>
      <c r="B957" s="18" t="s">
        <v>13</v>
      </c>
      <c r="C957" s="31" t="s">
        <v>4230</v>
      </c>
      <c r="D957" s="19" t="s">
        <v>4223</v>
      </c>
      <c r="E957" s="20" t="s">
        <v>4231</v>
      </c>
      <c r="F957" s="32" t="s">
        <v>4225</v>
      </c>
      <c r="G957" s="22" t="s">
        <v>53</v>
      </c>
      <c r="H957" s="23" t="s">
        <v>4232</v>
      </c>
      <c r="I957" s="24" t="s">
        <v>55</v>
      </c>
      <c r="J957" s="1" t="str">
        <f t="shared" si="0"/>
        <v/>
      </c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6.25" hidden="1" customHeight="1">
      <c r="A958" s="17">
        <f t="shared" si="1"/>
        <v>955</v>
      </c>
      <c r="B958" s="18" t="s">
        <v>13</v>
      </c>
      <c r="C958" s="31" t="s">
        <v>4233</v>
      </c>
      <c r="D958" s="19" t="s">
        <v>4223</v>
      </c>
      <c r="E958" s="20" t="s">
        <v>4234</v>
      </c>
      <c r="F958" s="32" t="s">
        <v>4225</v>
      </c>
      <c r="G958" s="22" t="s">
        <v>53</v>
      </c>
      <c r="H958" s="23" t="s">
        <v>4235</v>
      </c>
      <c r="I958" s="24" t="s">
        <v>55</v>
      </c>
      <c r="J958" s="1" t="str">
        <f t="shared" si="0"/>
        <v/>
      </c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6.25" hidden="1" customHeight="1">
      <c r="A959" s="17">
        <f t="shared" si="1"/>
        <v>956</v>
      </c>
      <c r="B959" s="18" t="s">
        <v>13</v>
      </c>
      <c r="C959" s="31" t="s">
        <v>4236</v>
      </c>
      <c r="D959" s="19" t="s">
        <v>4223</v>
      </c>
      <c r="E959" s="20" t="s">
        <v>4237</v>
      </c>
      <c r="F959" s="32" t="s">
        <v>4238</v>
      </c>
      <c r="G959" s="22" t="s">
        <v>53</v>
      </c>
      <c r="H959" s="23" t="s">
        <v>4239</v>
      </c>
      <c r="I959" s="24" t="s">
        <v>55</v>
      </c>
      <c r="J959" s="1" t="str">
        <f t="shared" si="0"/>
        <v/>
      </c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6.25" hidden="1" customHeight="1">
      <c r="A960" s="17">
        <f t="shared" si="1"/>
        <v>957</v>
      </c>
      <c r="B960" s="18" t="s">
        <v>13</v>
      </c>
      <c r="C960" s="31" t="s">
        <v>4240</v>
      </c>
      <c r="D960" s="19" t="s">
        <v>4223</v>
      </c>
      <c r="E960" s="20" t="s">
        <v>4241</v>
      </c>
      <c r="F960" s="32" t="s">
        <v>4225</v>
      </c>
      <c r="G960" s="22" t="s">
        <v>53</v>
      </c>
      <c r="H960" s="23" t="s">
        <v>4242</v>
      </c>
      <c r="I960" s="24" t="s">
        <v>55</v>
      </c>
      <c r="J960" s="1" t="str">
        <f t="shared" si="0"/>
        <v/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6.25" hidden="1" customHeight="1">
      <c r="A961" s="17">
        <f t="shared" si="1"/>
        <v>958</v>
      </c>
      <c r="B961" s="18" t="s">
        <v>13</v>
      </c>
      <c r="C961" s="31" t="s">
        <v>4243</v>
      </c>
      <c r="D961" s="19" t="s">
        <v>4223</v>
      </c>
      <c r="E961" s="20" t="s">
        <v>4244</v>
      </c>
      <c r="F961" s="32" t="s">
        <v>4225</v>
      </c>
      <c r="G961" s="22" t="s">
        <v>53</v>
      </c>
      <c r="H961" s="23" t="s">
        <v>4245</v>
      </c>
      <c r="I961" s="24" t="s">
        <v>55</v>
      </c>
      <c r="J961" s="1" t="str">
        <f t="shared" si="0"/>
        <v/>
      </c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6.25" hidden="1" customHeight="1">
      <c r="A962" s="17">
        <f t="shared" si="1"/>
        <v>959</v>
      </c>
      <c r="B962" s="18" t="s">
        <v>13</v>
      </c>
      <c r="C962" s="31" t="s">
        <v>4246</v>
      </c>
      <c r="D962" s="19" t="s">
        <v>4223</v>
      </c>
      <c r="E962" s="20" t="s">
        <v>4247</v>
      </c>
      <c r="F962" s="32" t="s">
        <v>4248</v>
      </c>
      <c r="G962" s="22" t="s">
        <v>53</v>
      </c>
      <c r="H962" s="23" t="s">
        <v>4249</v>
      </c>
      <c r="I962" s="24" t="s">
        <v>55</v>
      </c>
      <c r="J962" s="1" t="str">
        <f t="shared" si="0"/>
        <v/>
      </c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6.25" hidden="1" customHeight="1">
      <c r="A963" s="17">
        <f t="shared" si="1"/>
        <v>960</v>
      </c>
      <c r="B963" s="18" t="s">
        <v>13</v>
      </c>
      <c r="C963" s="31" t="s">
        <v>4250</v>
      </c>
      <c r="D963" s="19" t="s">
        <v>4223</v>
      </c>
      <c r="E963" s="20" t="s">
        <v>4251</v>
      </c>
      <c r="F963" s="32" t="s">
        <v>4225</v>
      </c>
      <c r="G963" s="22" t="s">
        <v>53</v>
      </c>
      <c r="H963" s="23" t="s">
        <v>4252</v>
      </c>
      <c r="I963" s="24" t="s">
        <v>55</v>
      </c>
      <c r="J963" s="1" t="str">
        <f t="shared" si="0"/>
        <v/>
      </c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6.25" hidden="1" customHeight="1">
      <c r="A964" s="17">
        <f t="shared" si="1"/>
        <v>961</v>
      </c>
      <c r="B964" s="18" t="s">
        <v>13</v>
      </c>
      <c r="C964" s="31" t="s">
        <v>4253</v>
      </c>
      <c r="D964" s="19" t="s">
        <v>4223</v>
      </c>
      <c r="E964" s="20" t="s">
        <v>4254</v>
      </c>
      <c r="F964" s="32" t="s">
        <v>4255</v>
      </c>
      <c r="G964" s="22" t="s">
        <v>53</v>
      </c>
      <c r="H964" s="23" t="s">
        <v>4256</v>
      </c>
      <c r="I964" s="24" t="s">
        <v>55</v>
      </c>
      <c r="J964" s="1" t="str">
        <f t="shared" si="0"/>
        <v/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6.25" hidden="1" customHeight="1">
      <c r="A965" s="17">
        <f t="shared" si="1"/>
        <v>962</v>
      </c>
      <c r="B965" s="18" t="s">
        <v>13</v>
      </c>
      <c r="C965" s="31" t="s">
        <v>4257</v>
      </c>
      <c r="D965" s="19" t="s">
        <v>4223</v>
      </c>
      <c r="E965" s="20" t="s">
        <v>4258</v>
      </c>
      <c r="F965" s="32" t="s">
        <v>4225</v>
      </c>
      <c r="G965" s="22" t="s">
        <v>53</v>
      </c>
      <c r="H965" s="23" t="s">
        <v>4259</v>
      </c>
      <c r="I965" s="24" t="s">
        <v>55</v>
      </c>
      <c r="J965" s="1" t="str">
        <f t="shared" si="0"/>
        <v/>
      </c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6.25" hidden="1" customHeight="1">
      <c r="A966" s="17">
        <f t="shared" si="1"/>
        <v>963</v>
      </c>
      <c r="B966" s="18" t="s">
        <v>13</v>
      </c>
      <c r="C966" s="31" t="s">
        <v>4260</v>
      </c>
      <c r="D966" s="19" t="s">
        <v>4223</v>
      </c>
      <c r="E966" s="20" t="s">
        <v>4261</v>
      </c>
      <c r="F966" s="32" t="s">
        <v>4225</v>
      </c>
      <c r="G966" s="22" t="s">
        <v>53</v>
      </c>
      <c r="H966" s="23" t="s">
        <v>4262</v>
      </c>
      <c r="I966" s="24" t="s">
        <v>55</v>
      </c>
      <c r="J966" s="1" t="str">
        <f t="shared" si="0"/>
        <v/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6.25" hidden="1" customHeight="1">
      <c r="A967" s="17">
        <f t="shared" si="1"/>
        <v>964</v>
      </c>
      <c r="B967" s="18" t="s">
        <v>13</v>
      </c>
      <c r="C967" s="31" t="s">
        <v>4263</v>
      </c>
      <c r="D967" s="19" t="s">
        <v>4223</v>
      </c>
      <c r="E967" s="1" t="s">
        <v>4264</v>
      </c>
      <c r="F967" s="32" t="s">
        <v>4225</v>
      </c>
      <c r="G967" s="22" t="s">
        <v>53</v>
      </c>
      <c r="H967" s="23" t="s">
        <v>4265</v>
      </c>
      <c r="I967" s="24" t="s">
        <v>55</v>
      </c>
      <c r="J967" s="1" t="str">
        <f t="shared" si="0"/>
        <v/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6.25" hidden="1" customHeight="1">
      <c r="A968" s="17">
        <f t="shared" si="1"/>
        <v>965</v>
      </c>
      <c r="B968" s="18" t="s">
        <v>233</v>
      </c>
      <c r="C968" s="42" t="s">
        <v>4266</v>
      </c>
      <c r="D968" s="42" t="s">
        <v>4267</v>
      </c>
      <c r="E968" s="43" t="s">
        <v>1830</v>
      </c>
      <c r="F968" s="44" t="s">
        <v>178</v>
      </c>
      <c r="G968" s="22" t="s">
        <v>53</v>
      </c>
      <c r="H968" s="41" t="s">
        <v>4268</v>
      </c>
      <c r="I968" s="34" t="s">
        <v>55</v>
      </c>
      <c r="J968" s="1" t="str">
        <f t="shared" si="0"/>
        <v/>
      </c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</row>
    <row r="969" spans="1:24" ht="26.25" hidden="1" customHeight="1">
      <c r="A969" s="17">
        <f t="shared" si="1"/>
        <v>966</v>
      </c>
      <c r="B969" s="18" t="s">
        <v>233</v>
      </c>
      <c r="C969" s="19" t="s">
        <v>4269</v>
      </c>
      <c r="D969" s="19" t="s">
        <v>4270</v>
      </c>
      <c r="E969" s="20" t="s">
        <v>1836</v>
      </c>
      <c r="F969" s="105" t="s">
        <v>178</v>
      </c>
      <c r="G969" s="22" t="s">
        <v>53</v>
      </c>
      <c r="H969" s="23" t="s">
        <v>4271</v>
      </c>
      <c r="I969" s="34" t="s">
        <v>55</v>
      </c>
      <c r="J969" s="1" t="str">
        <f t="shared" si="0"/>
        <v/>
      </c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</row>
    <row r="970" spans="1:24" ht="26.25" hidden="1" customHeight="1">
      <c r="A970" s="17">
        <f t="shared" si="1"/>
        <v>967</v>
      </c>
      <c r="B970" s="18" t="s">
        <v>105</v>
      </c>
      <c r="C970" s="106" t="s">
        <v>4272</v>
      </c>
      <c r="D970" s="107" t="s">
        <v>4273</v>
      </c>
      <c r="E970" s="1" t="s">
        <v>4274</v>
      </c>
      <c r="F970" s="32" t="s">
        <v>4275</v>
      </c>
      <c r="G970" s="33" t="s">
        <v>53</v>
      </c>
      <c r="H970" s="108" t="s">
        <v>4276</v>
      </c>
      <c r="I970" s="109" t="s">
        <v>55</v>
      </c>
      <c r="J970" s="1" t="str">
        <f t="shared" si="0"/>
        <v/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6.25" hidden="1" customHeight="1">
      <c r="A971" s="17">
        <f t="shared" si="1"/>
        <v>968</v>
      </c>
      <c r="B971" s="18" t="s">
        <v>105</v>
      </c>
      <c r="C971" s="31" t="s">
        <v>4277</v>
      </c>
      <c r="D971" s="19" t="s">
        <v>4273</v>
      </c>
      <c r="E971" s="110" t="s">
        <v>4278</v>
      </c>
      <c r="F971" s="32" t="s">
        <v>4279</v>
      </c>
      <c r="G971" s="33" t="s">
        <v>53</v>
      </c>
      <c r="H971" s="23" t="s">
        <v>4280</v>
      </c>
      <c r="I971" s="24" t="s">
        <v>55</v>
      </c>
      <c r="J971" s="1" t="str">
        <f t="shared" si="0"/>
        <v/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6.25" hidden="1" customHeight="1">
      <c r="A972" s="17">
        <f t="shared" si="1"/>
        <v>969</v>
      </c>
      <c r="B972" s="18" t="s">
        <v>175</v>
      </c>
      <c r="C972" s="31" t="s">
        <v>4281</v>
      </c>
      <c r="D972" s="19" t="s">
        <v>4282</v>
      </c>
      <c r="E972" s="110" t="s">
        <v>4283</v>
      </c>
      <c r="F972" s="21" t="s">
        <v>863</v>
      </c>
      <c r="G972" s="33" t="s">
        <v>53</v>
      </c>
      <c r="H972" s="23" t="s">
        <v>4284</v>
      </c>
      <c r="I972" s="34" t="s">
        <v>20</v>
      </c>
      <c r="J972" s="1" t="str">
        <f t="shared" si="0"/>
        <v>과기</v>
      </c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</row>
    <row r="973" spans="1:24" ht="26.25" hidden="1" customHeight="1">
      <c r="A973" s="17">
        <f t="shared" si="1"/>
        <v>970</v>
      </c>
      <c r="B973" s="18" t="s">
        <v>1375</v>
      </c>
      <c r="C973" s="31" t="s">
        <v>4285</v>
      </c>
      <c r="D973" s="19" t="s">
        <v>4286</v>
      </c>
      <c r="E973" s="20" t="s">
        <v>4287</v>
      </c>
      <c r="F973" s="111" t="s">
        <v>4288</v>
      </c>
      <c r="G973" s="33" t="s">
        <v>53</v>
      </c>
      <c r="H973" s="23" t="s">
        <v>4289</v>
      </c>
      <c r="I973" s="24" t="s">
        <v>55</v>
      </c>
      <c r="J973" s="1" t="str">
        <f t="shared" si="0"/>
        <v/>
      </c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6.25" hidden="1" customHeight="1">
      <c r="A974" s="17">
        <f t="shared" si="1"/>
        <v>971</v>
      </c>
      <c r="B974" s="18" t="s">
        <v>105</v>
      </c>
      <c r="C974" s="31" t="s">
        <v>4290</v>
      </c>
      <c r="D974" s="19" t="s">
        <v>4291</v>
      </c>
      <c r="E974" s="20" t="s">
        <v>4292</v>
      </c>
      <c r="F974" s="112" t="s">
        <v>41</v>
      </c>
      <c r="G974" s="33" t="s">
        <v>53</v>
      </c>
      <c r="H974" s="23" t="s">
        <v>4293</v>
      </c>
      <c r="I974" s="34" t="s">
        <v>20</v>
      </c>
      <c r="J974" s="1" t="str">
        <f t="shared" si="0"/>
        <v>과기</v>
      </c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</row>
    <row r="975" spans="1:24" ht="26.25" hidden="1" customHeight="1">
      <c r="A975" s="17">
        <f t="shared" si="1"/>
        <v>972</v>
      </c>
      <c r="B975" s="18" t="s">
        <v>132</v>
      </c>
      <c r="C975" s="31" t="s">
        <v>4294</v>
      </c>
      <c r="D975" s="19" t="s">
        <v>4295</v>
      </c>
      <c r="E975" s="20"/>
      <c r="F975" s="32" t="s">
        <v>4296</v>
      </c>
      <c r="G975" s="33" t="s">
        <v>53</v>
      </c>
      <c r="H975" s="23" t="s">
        <v>4297</v>
      </c>
      <c r="I975" s="24" t="s">
        <v>55</v>
      </c>
      <c r="J975" s="1" t="str">
        <f t="shared" si="0"/>
        <v/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6.25" hidden="1" customHeight="1">
      <c r="A976" s="17">
        <f t="shared" si="1"/>
        <v>973</v>
      </c>
      <c r="B976" s="18" t="s">
        <v>867</v>
      </c>
      <c r="C976" s="31" t="s">
        <v>4298</v>
      </c>
      <c r="D976" s="19" t="s">
        <v>4299</v>
      </c>
      <c r="E976" s="20" t="s">
        <v>4300</v>
      </c>
      <c r="F976" s="32" t="s">
        <v>614</v>
      </c>
      <c r="G976" s="33" t="s">
        <v>53</v>
      </c>
      <c r="H976" s="23" t="s">
        <v>4301</v>
      </c>
      <c r="I976" s="24" t="s">
        <v>55</v>
      </c>
      <c r="J976" s="1" t="str">
        <f t="shared" si="0"/>
        <v/>
      </c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26.25" customHeight="1">
      <c r="A977" s="17">
        <f t="shared" si="1"/>
        <v>974</v>
      </c>
      <c r="B977" s="18" t="s">
        <v>27</v>
      </c>
      <c r="C977" s="19" t="s">
        <v>4302</v>
      </c>
      <c r="D977" s="19" t="s">
        <v>4303</v>
      </c>
      <c r="E977" s="20" t="s">
        <v>4304</v>
      </c>
      <c r="F977" s="21" t="s">
        <v>863</v>
      </c>
      <c r="G977" s="33" t="s">
        <v>53</v>
      </c>
      <c r="H977" s="23" t="s">
        <v>4305</v>
      </c>
      <c r="I977" s="24" t="s">
        <v>20</v>
      </c>
      <c r="J977" s="1" t="str">
        <f t="shared" si="0"/>
        <v>FRIC</v>
      </c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26.25" hidden="1" customHeight="1">
      <c r="A978" s="17">
        <f t="shared" si="1"/>
        <v>975</v>
      </c>
      <c r="B978" s="18" t="s">
        <v>105</v>
      </c>
      <c r="C978" s="31" t="s">
        <v>4306</v>
      </c>
      <c r="D978" s="19" t="s">
        <v>4307</v>
      </c>
      <c r="E978" s="113" t="s">
        <v>4308</v>
      </c>
      <c r="F978" s="114" t="s">
        <v>4309</v>
      </c>
      <c r="G978" s="33" t="s">
        <v>53</v>
      </c>
      <c r="H978" s="23" t="s">
        <v>4310</v>
      </c>
      <c r="I978" s="34" t="s">
        <v>20</v>
      </c>
      <c r="J978" s="1" t="str">
        <f t="shared" si="0"/>
        <v>과기</v>
      </c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</row>
    <row r="979" spans="1:24" ht="26.25" hidden="1" customHeight="1">
      <c r="A979" s="17">
        <f t="shared" si="1"/>
        <v>976</v>
      </c>
      <c r="B979" s="18" t="s">
        <v>175</v>
      </c>
      <c r="C979" s="31" t="s">
        <v>4311</v>
      </c>
      <c r="D979" s="115" t="s">
        <v>4312</v>
      </c>
      <c r="E979" s="20" t="s">
        <v>473</v>
      </c>
      <c r="F979" s="32" t="s">
        <v>4313</v>
      </c>
      <c r="G979" s="33" t="s">
        <v>53</v>
      </c>
      <c r="H979" s="23" t="s">
        <v>4314</v>
      </c>
      <c r="I979" s="24" t="s">
        <v>55</v>
      </c>
      <c r="J979" s="1" t="str">
        <f t="shared" si="0"/>
        <v/>
      </c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26.25" customHeight="1">
      <c r="A980" s="17">
        <f t="shared" si="1"/>
        <v>977</v>
      </c>
      <c r="B980" s="18" t="s">
        <v>27</v>
      </c>
      <c r="C980" s="19" t="s">
        <v>4315</v>
      </c>
      <c r="D980" s="115" t="s">
        <v>2050</v>
      </c>
      <c r="E980" s="20" t="s">
        <v>4316</v>
      </c>
      <c r="F980" s="21" t="s">
        <v>4317</v>
      </c>
      <c r="G980" s="33" t="s">
        <v>53</v>
      </c>
      <c r="H980" s="23" t="s">
        <v>4318</v>
      </c>
      <c r="I980" s="24" t="s">
        <v>20</v>
      </c>
      <c r="J980" s="1" t="str">
        <f t="shared" si="0"/>
        <v>FRIC</v>
      </c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26.25" customHeight="1">
      <c r="A981" s="17">
        <f t="shared" si="1"/>
        <v>978</v>
      </c>
      <c r="B981" s="18" t="s">
        <v>27</v>
      </c>
      <c r="C981" s="19" t="s">
        <v>4319</v>
      </c>
      <c r="D981" s="115" t="s">
        <v>2050</v>
      </c>
      <c r="E981" s="20" t="s">
        <v>4320</v>
      </c>
      <c r="F981" s="21" t="s">
        <v>1609</v>
      </c>
      <c r="G981" s="22" t="s">
        <v>42</v>
      </c>
      <c r="H981" s="23" t="s">
        <v>4321</v>
      </c>
      <c r="I981" s="24" t="s">
        <v>20</v>
      </c>
      <c r="J981" s="1" t="str">
        <f t="shared" si="0"/>
        <v>FRIC</v>
      </c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26.25" hidden="1" customHeight="1">
      <c r="A982" s="17">
        <f t="shared" si="1"/>
        <v>979</v>
      </c>
      <c r="B982" s="18" t="s">
        <v>27</v>
      </c>
      <c r="C982" s="19" t="s">
        <v>4322</v>
      </c>
      <c r="D982" s="19" t="s">
        <v>4323</v>
      </c>
      <c r="E982" s="20" t="s">
        <v>1843</v>
      </c>
      <c r="F982" s="39" t="s">
        <v>4324</v>
      </c>
      <c r="G982" s="22" t="s">
        <v>53</v>
      </c>
      <c r="H982" s="116" t="s">
        <v>4325</v>
      </c>
      <c r="I982" s="34" t="s">
        <v>55</v>
      </c>
      <c r="J982" s="1" t="str">
        <f t="shared" si="0"/>
        <v/>
      </c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</row>
    <row r="983" spans="1:24" ht="27" customHeight="1">
      <c r="A983" s="17">
        <v>980</v>
      </c>
      <c r="B983" s="117" t="s">
        <v>132</v>
      </c>
      <c r="C983" s="118" t="s">
        <v>4326</v>
      </c>
      <c r="D983" s="118" t="s">
        <v>4327</v>
      </c>
      <c r="E983" s="119" t="s">
        <v>4328</v>
      </c>
      <c r="F983" s="120" t="s">
        <v>4329</v>
      </c>
      <c r="G983" s="117"/>
      <c r="H983" s="121"/>
      <c r="I983" s="122" t="s">
        <v>20</v>
      </c>
      <c r="J983" s="1" t="str">
        <f t="shared" si="0"/>
        <v>FRIC</v>
      </c>
      <c r="K983" s="123"/>
      <c r="L983" s="123"/>
      <c r="M983" s="123"/>
      <c r="N983" s="123"/>
      <c r="O983" s="123"/>
      <c r="P983" s="123"/>
      <c r="Q983" s="123"/>
      <c r="R983" s="123"/>
      <c r="S983" s="123"/>
      <c r="T983" s="123"/>
      <c r="U983" s="123"/>
      <c r="V983" s="123"/>
      <c r="W983" s="123"/>
      <c r="X983" s="123"/>
    </row>
    <row r="984" spans="1:24" ht="16.5" customHeight="1">
      <c r="B984" s="124"/>
      <c r="F984" s="6"/>
      <c r="J984" s="1" t="str">
        <f t="shared" si="0"/>
        <v/>
      </c>
    </row>
    <row r="985" spans="1:24" ht="16.5" customHeight="1">
      <c r="B985" s="125"/>
      <c r="F985" s="6"/>
      <c r="J985" s="1" t="str">
        <f t="shared" si="0"/>
        <v/>
      </c>
    </row>
    <row r="986" spans="1:24" ht="16.5" customHeight="1">
      <c r="B986" s="125"/>
      <c r="F986" s="6"/>
      <c r="J986" s="1" t="str">
        <f t="shared" si="0"/>
        <v/>
      </c>
    </row>
    <row r="987" spans="1:24" ht="16.5" customHeight="1">
      <c r="B987" s="125"/>
      <c r="F987" s="6"/>
      <c r="J987" s="1" t="str">
        <f t="shared" si="0"/>
        <v/>
      </c>
    </row>
    <row r="988" spans="1:24" ht="16.5" customHeight="1">
      <c r="B988" s="125"/>
      <c r="F988" s="6"/>
      <c r="J988" s="1" t="str">
        <f t="shared" si="0"/>
        <v/>
      </c>
    </row>
    <row r="989" spans="1:24" ht="16.5" customHeight="1">
      <c r="B989" s="125"/>
      <c r="F989" s="6"/>
      <c r="J989" s="1" t="str">
        <f t="shared" si="0"/>
        <v/>
      </c>
    </row>
    <row r="990" spans="1:24" ht="16.5" customHeight="1">
      <c r="B990" s="125"/>
      <c r="F990" s="6"/>
      <c r="J990" s="1" t="str">
        <f t="shared" si="0"/>
        <v/>
      </c>
    </row>
    <row r="991" spans="1:24" ht="16.5" customHeight="1">
      <c r="B991" s="125"/>
      <c r="F991" s="6"/>
      <c r="J991" s="1" t="str">
        <f t="shared" si="0"/>
        <v/>
      </c>
    </row>
    <row r="992" spans="1:24" ht="16.5" customHeight="1">
      <c r="B992" s="125"/>
      <c r="F992" s="6"/>
      <c r="J992" s="1" t="str">
        <f t="shared" si="0"/>
        <v/>
      </c>
    </row>
    <row r="993" spans="2:10" ht="16.5" customHeight="1">
      <c r="B993" s="125"/>
      <c r="F993" s="6"/>
      <c r="J993" s="1" t="str">
        <f t="shared" si="0"/>
        <v/>
      </c>
    </row>
    <row r="994" spans="2:10" ht="16.5" customHeight="1">
      <c r="B994" s="125"/>
      <c r="F994" s="6"/>
      <c r="J994" s="1" t="str">
        <f t="shared" si="0"/>
        <v/>
      </c>
    </row>
    <row r="995" spans="2:10" ht="16.5" customHeight="1">
      <c r="B995" s="125"/>
      <c r="F995" s="6"/>
      <c r="J995" s="1" t="str">
        <f t="shared" si="0"/>
        <v/>
      </c>
    </row>
    <row r="996" spans="2:10" ht="16.5" customHeight="1">
      <c r="B996" s="125"/>
      <c r="F996" s="6"/>
      <c r="J996" s="1" t="str">
        <f t="shared" si="0"/>
        <v/>
      </c>
    </row>
    <row r="997" spans="2:10" ht="16.5" customHeight="1">
      <c r="B997" s="125"/>
      <c r="F997" s="6"/>
      <c r="J997" s="1" t="str">
        <f t="shared" si="0"/>
        <v/>
      </c>
    </row>
    <row r="998" spans="2:10" ht="16.5" customHeight="1">
      <c r="B998" s="125"/>
      <c r="F998" s="6"/>
      <c r="J998" s="1" t="str">
        <f t="shared" si="0"/>
        <v/>
      </c>
    </row>
    <row r="999" spans="2:10" ht="16.5" customHeight="1">
      <c r="B999" s="125"/>
      <c r="F999" s="6"/>
      <c r="J999" s="1" t="str">
        <f t="shared" si="0"/>
        <v/>
      </c>
    </row>
    <row r="1000" spans="2:10" ht="16.5" customHeight="1">
      <c r="B1000" s="125"/>
      <c r="F1000" s="6"/>
      <c r="J1000" s="1" t="str">
        <f t="shared" si="0"/>
        <v/>
      </c>
    </row>
  </sheetData>
  <autoFilter ref="I3:J983">
    <filterColumn colId="0">
      <filters>
        <filter val="O"/>
      </filters>
    </filterColumn>
    <filterColumn colId="1">
      <filters blank="1">
        <filter val="FRIC"/>
      </filters>
    </filterColumn>
  </autoFilter>
  <customSheetViews>
    <customSheetView guid="{1C8533B9-C40A-4098-B671-87804AF9AA3D}" filter="1" showAutoFilter="1">
      <pageMargins left="0.7" right="0.7" top="0.75" bottom="0.75" header="0.3" footer="0.3"/>
      <autoFilter ref="A3:I982">
        <filterColumn colId="8">
          <filters>
            <filter val="O"/>
          </filters>
        </filterColumn>
      </autoFilter>
    </customSheetView>
  </customSheetViews>
  <mergeCells count="2">
    <mergeCell ref="A1:I1"/>
    <mergeCell ref="H2:I2"/>
  </mergeCells>
  <phoneticPr fontId="65" type="noConversion"/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  <hyperlink ref="H136" r:id="rId133"/>
    <hyperlink ref="H137" r:id="rId134"/>
    <hyperlink ref="H138" r:id="rId135"/>
    <hyperlink ref="H139" r:id="rId136"/>
    <hyperlink ref="H140" r:id="rId137"/>
    <hyperlink ref="H141" r:id="rId138"/>
    <hyperlink ref="H142" r:id="rId139"/>
    <hyperlink ref="H143" r:id="rId140"/>
    <hyperlink ref="H144" r:id="rId141"/>
    <hyperlink ref="H145" r:id="rId142"/>
    <hyperlink ref="H146" r:id="rId143"/>
    <hyperlink ref="H147" r:id="rId144"/>
    <hyperlink ref="H148" r:id="rId145"/>
    <hyperlink ref="H149" r:id="rId146"/>
    <hyperlink ref="H150" r:id="rId147"/>
    <hyperlink ref="H151" r:id="rId148"/>
    <hyperlink ref="H152" r:id="rId149"/>
    <hyperlink ref="H153" r:id="rId150"/>
    <hyperlink ref="H154" r:id="rId151"/>
    <hyperlink ref="H155" r:id="rId152"/>
    <hyperlink ref="H156" r:id="rId153"/>
    <hyperlink ref="H157" r:id="rId154"/>
    <hyperlink ref="H158" r:id="rId155"/>
    <hyperlink ref="H159" r:id="rId156"/>
    <hyperlink ref="H160" r:id="rId157"/>
    <hyperlink ref="H161" r:id="rId158"/>
    <hyperlink ref="H162" r:id="rId159"/>
    <hyperlink ref="H163" r:id="rId160"/>
    <hyperlink ref="H164" r:id="rId161"/>
    <hyperlink ref="H165" r:id="rId162"/>
    <hyperlink ref="H166" r:id="rId163"/>
    <hyperlink ref="H167" r:id="rId164"/>
    <hyperlink ref="H168" r:id="rId165"/>
    <hyperlink ref="H169" r:id="rId166"/>
    <hyperlink ref="H170" r:id="rId167"/>
    <hyperlink ref="H171" r:id="rId168"/>
    <hyperlink ref="H172" r:id="rId169"/>
    <hyperlink ref="H173" r:id="rId170"/>
    <hyperlink ref="H174" r:id="rId171"/>
    <hyperlink ref="H175" r:id="rId172"/>
    <hyperlink ref="H176" r:id="rId173"/>
    <hyperlink ref="H177" r:id="rId174"/>
    <hyperlink ref="H178" r:id="rId175"/>
    <hyperlink ref="H179" r:id="rId176"/>
    <hyperlink ref="H180" r:id="rId177"/>
    <hyperlink ref="H181" r:id="rId178"/>
    <hyperlink ref="H182" r:id="rId179"/>
    <hyperlink ref="H183" r:id="rId180"/>
    <hyperlink ref="H184" r:id="rId181"/>
    <hyperlink ref="H185" r:id="rId182"/>
    <hyperlink ref="H186" r:id="rId183"/>
    <hyperlink ref="H187" r:id="rId184"/>
    <hyperlink ref="H188" r:id="rId185"/>
    <hyperlink ref="H189" r:id="rId186"/>
    <hyperlink ref="H190" r:id="rId187"/>
    <hyperlink ref="H191" r:id="rId188"/>
    <hyperlink ref="H192" r:id="rId189"/>
    <hyperlink ref="H193" r:id="rId190"/>
    <hyperlink ref="H194" r:id="rId191"/>
    <hyperlink ref="H195" r:id="rId192"/>
    <hyperlink ref="H196" r:id="rId193"/>
    <hyperlink ref="H197" r:id="rId194"/>
    <hyperlink ref="H198" r:id="rId195"/>
    <hyperlink ref="H199" r:id="rId196"/>
    <hyperlink ref="H200" r:id="rId197"/>
    <hyperlink ref="H201" r:id="rId198"/>
    <hyperlink ref="H202" r:id="rId199"/>
    <hyperlink ref="H203" r:id="rId200"/>
    <hyperlink ref="H204" r:id="rId201"/>
    <hyperlink ref="H205" r:id="rId202"/>
    <hyperlink ref="H206" r:id="rId203"/>
    <hyperlink ref="H207" r:id="rId204"/>
    <hyperlink ref="H208" r:id="rId205"/>
    <hyperlink ref="H209" r:id="rId206"/>
    <hyperlink ref="H210" r:id="rId207"/>
    <hyperlink ref="H211" r:id="rId208"/>
    <hyperlink ref="H212" r:id="rId209"/>
    <hyperlink ref="H213" r:id="rId210"/>
    <hyperlink ref="H214" r:id="rId211"/>
    <hyperlink ref="H215" r:id="rId212"/>
    <hyperlink ref="H216" r:id="rId213"/>
    <hyperlink ref="H217" r:id="rId214"/>
    <hyperlink ref="H218" r:id="rId215"/>
    <hyperlink ref="H219" r:id="rId216"/>
    <hyperlink ref="H220" r:id="rId217"/>
    <hyperlink ref="H221" r:id="rId218"/>
    <hyperlink ref="H222" r:id="rId219"/>
    <hyperlink ref="H223" r:id="rId220"/>
    <hyperlink ref="H224" r:id="rId221"/>
    <hyperlink ref="H225" r:id="rId222"/>
    <hyperlink ref="H226" r:id="rId223"/>
    <hyperlink ref="H227" r:id="rId224"/>
    <hyperlink ref="H228" r:id="rId225"/>
    <hyperlink ref="H229" r:id="rId226"/>
    <hyperlink ref="H230" r:id="rId227"/>
    <hyperlink ref="H231" r:id="rId228"/>
    <hyperlink ref="H232" r:id="rId229"/>
    <hyperlink ref="H233" r:id="rId230"/>
    <hyperlink ref="H234" r:id="rId231"/>
    <hyperlink ref="H235" r:id="rId232"/>
    <hyperlink ref="H236" r:id="rId233"/>
    <hyperlink ref="H237" r:id="rId234"/>
    <hyperlink ref="H238" r:id="rId235"/>
    <hyperlink ref="H239" r:id="rId236"/>
    <hyperlink ref="H240" r:id="rId237"/>
    <hyperlink ref="H241" r:id="rId238"/>
    <hyperlink ref="H242" r:id="rId239"/>
    <hyperlink ref="H243" r:id="rId240"/>
    <hyperlink ref="H244" r:id="rId241"/>
    <hyperlink ref="H245" r:id="rId242"/>
    <hyperlink ref="H246" r:id="rId243"/>
    <hyperlink ref="H247" r:id="rId244"/>
    <hyperlink ref="H248" r:id="rId245"/>
    <hyperlink ref="H249" r:id="rId246"/>
    <hyperlink ref="H250" r:id="rId247"/>
    <hyperlink ref="H251" r:id="rId248"/>
    <hyperlink ref="H252" r:id="rId249"/>
    <hyperlink ref="H253" r:id="rId250"/>
    <hyperlink ref="H254" r:id="rId251"/>
    <hyperlink ref="H255" r:id="rId252"/>
    <hyperlink ref="H256" r:id="rId253"/>
    <hyperlink ref="H257" r:id="rId254"/>
    <hyperlink ref="H258" r:id="rId255"/>
    <hyperlink ref="H259" r:id="rId256"/>
    <hyperlink ref="H260" r:id="rId257"/>
    <hyperlink ref="H261" r:id="rId258"/>
    <hyperlink ref="H262" r:id="rId259"/>
    <hyperlink ref="H263" r:id="rId260"/>
    <hyperlink ref="H264" r:id="rId261"/>
    <hyperlink ref="H265" r:id="rId262"/>
    <hyperlink ref="H266" r:id="rId263"/>
    <hyperlink ref="H267" r:id="rId264"/>
    <hyperlink ref="H268" r:id="rId265"/>
    <hyperlink ref="H269" r:id="rId266"/>
    <hyperlink ref="H270" r:id="rId267"/>
    <hyperlink ref="H271" r:id="rId268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5" r:id="rId282"/>
    <hyperlink ref="H286" r:id="rId283"/>
    <hyperlink ref="H287" r:id="rId284"/>
    <hyperlink ref="H288" r:id="rId285"/>
    <hyperlink ref="H289" r:id="rId286"/>
    <hyperlink ref="H290" r:id="rId287"/>
    <hyperlink ref="H291" r:id="rId288"/>
    <hyperlink ref="H292" r:id="rId289"/>
    <hyperlink ref="H293" r:id="rId290"/>
    <hyperlink ref="H294" r:id="rId291"/>
    <hyperlink ref="H295" r:id="rId292"/>
    <hyperlink ref="H296" r:id="rId293"/>
    <hyperlink ref="H297" r:id="rId294"/>
    <hyperlink ref="H298" r:id="rId295"/>
    <hyperlink ref="H299" r:id="rId296"/>
    <hyperlink ref="H300" r:id="rId297"/>
    <hyperlink ref="H301" r:id="rId298"/>
    <hyperlink ref="H302" r:id="rId299"/>
    <hyperlink ref="H303" r:id="rId300"/>
    <hyperlink ref="H304" r:id="rId301"/>
    <hyperlink ref="H305" r:id="rId302"/>
    <hyperlink ref="H306" r:id="rId303"/>
    <hyperlink ref="H307" r:id="rId304"/>
    <hyperlink ref="H308" r:id="rId305"/>
    <hyperlink ref="H309" r:id="rId306"/>
    <hyperlink ref="H310" r:id="rId307"/>
    <hyperlink ref="H311" r:id="rId308"/>
    <hyperlink ref="H312" r:id="rId309"/>
    <hyperlink ref="H313" r:id="rId310"/>
    <hyperlink ref="H314" r:id="rId311"/>
    <hyperlink ref="H315" r:id="rId312"/>
    <hyperlink ref="H316" r:id="rId313"/>
    <hyperlink ref="H317" r:id="rId314"/>
    <hyperlink ref="H318" r:id="rId315"/>
    <hyperlink ref="H319" r:id="rId316"/>
    <hyperlink ref="H320" r:id="rId317"/>
    <hyperlink ref="H321" r:id="rId318"/>
    <hyperlink ref="H322" r:id="rId319"/>
    <hyperlink ref="H323" r:id="rId320"/>
    <hyperlink ref="H324" r:id="rId321"/>
    <hyperlink ref="H325" r:id="rId322"/>
    <hyperlink ref="H326" r:id="rId323"/>
    <hyperlink ref="H327" r:id="rId324"/>
    <hyperlink ref="H328" r:id="rId325"/>
    <hyperlink ref="H329" r:id="rId326"/>
    <hyperlink ref="H330" r:id="rId327"/>
    <hyperlink ref="H331" r:id="rId328"/>
    <hyperlink ref="H332" r:id="rId329"/>
    <hyperlink ref="H333" r:id="rId330"/>
    <hyperlink ref="H334" r:id="rId331"/>
    <hyperlink ref="H335" r:id="rId332"/>
    <hyperlink ref="H336" r:id="rId333"/>
    <hyperlink ref="H337" r:id="rId334"/>
    <hyperlink ref="H338" r:id="rId335"/>
    <hyperlink ref="H339" r:id="rId336"/>
    <hyperlink ref="H340" r:id="rId337"/>
    <hyperlink ref="H341" r:id="rId338"/>
    <hyperlink ref="H342" r:id="rId339"/>
    <hyperlink ref="H343" r:id="rId340"/>
    <hyperlink ref="H344" r:id="rId341"/>
    <hyperlink ref="H345" r:id="rId342"/>
    <hyperlink ref="H346" r:id="rId343"/>
    <hyperlink ref="H347" r:id="rId344"/>
    <hyperlink ref="H348" r:id="rId345"/>
    <hyperlink ref="H349" r:id="rId346"/>
    <hyperlink ref="H350" r:id="rId347"/>
    <hyperlink ref="H351" r:id="rId348"/>
    <hyperlink ref="H352" r:id="rId349"/>
    <hyperlink ref="H353" r:id="rId350"/>
    <hyperlink ref="H354" r:id="rId351"/>
    <hyperlink ref="H355" r:id="rId352"/>
    <hyperlink ref="H356" r:id="rId353"/>
    <hyperlink ref="H357" r:id="rId354"/>
    <hyperlink ref="H358" r:id="rId355"/>
    <hyperlink ref="H359" r:id="rId356"/>
    <hyperlink ref="H360" r:id="rId357"/>
    <hyperlink ref="H361" r:id="rId358"/>
    <hyperlink ref="H362" r:id="rId359"/>
    <hyperlink ref="H363" r:id="rId360"/>
    <hyperlink ref="H364" r:id="rId361"/>
    <hyperlink ref="H365" r:id="rId362"/>
    <hyperlink ref="H366" r:id="rId363"/>
    <hyperlink ref="H367" r:id="rId364"/>
    <hyperlink ref="H368" r:id="rId365"/>
    <hyperlink ref="H369" r:id="rId366"/>
    <hyperlink ref="H370" r:id="rId367"/>
    <hyperlink ref="H371" r:id="rId368"/>
    <hyperlink ref="H372" r:id="rId369"/>
    <hyperlink ref="H373" r:id="rId370"/>
    <hyperlink ref="H374" r:id="rId371"/>
    <hyperlink ref="H375" r:id="rId372"/>
    <hyperlink ref="H376" r:id="rId373"/>
    <hyperlink ref="H377" r:id="rId374"/>
    <hyperlink ref="H378" r:id="rId375"/>
    <hyperlink ref="H379" r:id="rId376"/>
    <hyperlink ref="H380" r:id="rId377"/>
    <hyperlink ref="H381" r:id="rId378"/>
    <hyperlink ref="H382" r:id="rId379"/>
    <hyperlink ref="H383" r:id="rId380"/>
    <hyperlink ref="H384" r:id="rId381"/>
    <hyperlink ref="H385" r:id="rId382"/>
    <hyperlink ref="H386" r:id="rId383"/>
    <hyperlink ref="H387" r:id="rId384"/>
    <hyperlink ref="H388" r:id="rId385"/>
    <hyperlink ref="H389" r:id="rId386"/>
    <hyperlink ref="H390" r:id="rId387"/>
    <hyperlink ref="H391" r:id="rId388"/>
    <hyperlink ref="H392" r:id="rId389"/>
    <hyperlink ref="H393" r:id="rId390"/>
    <hyperlink ref="H394" r:id="rId391"/>
    <hyperlink ref="H395" r:id="rId392"/>
    <hyperlink ref="H396" r:id="rId393"/>
    <hyperlink ref="H397" r:id="rId394"/>
    <hyperlink ref="H398" r:id="rId395"/>
    <hyperlink ref="H399" r:id="rId396"/>
    <hyperlink ref="H400" r:id="rId397"/>
    <hyperlink ref="H401" r:id="rId398"/>
    <hyperlink ref="H402" r:id="rId399"/>
    <hyperlink ref="H403" r:id="rId400"/>
    <hyperlink ref="H404" r:id="rId401"/>
    <hyperlink ref="H405" r:id="rId402"/>
    <hyperlink ref="H406" r:id="rId403"/>
    <hyperlink ref="H407" r:id="rId404"/>
    <hyperlink ref="H408" r:id="rId405"/>
    <hyperlink ref="H409" r:id="rId406"/>
    <hyperlink ref="H410" r:id="rId407"/>
    <hyperlink ref="H411" r:id="rId408"/>
    <hyperlink ref="H412" r:id="rId409"/>
    <hyperlink ref="H413" r:id="rId410"/>
    <hyperlink ref="H414" r:id="rId411"/>
    <hyperlink ref="H415" r:id="rId412"/>
    <hyperlink ref="H416" r:id="rId413"/>
    <hyperlink ref="H417" r:id="rId414"/>
    <hyperlink ref="H418" r:id="rId415"/>
    <hyperlink ref="H419" r:id="rId416"/>
    <hyperlink ref="H420" r:id="rId417"/>
    <hyperlink ref="H421" r:id="rId418"/>
    <hyperlink ref="H422" r:id="rId419"/>
    <hyperlink ref="H423" r:id="rId420"/>
    <hyperlink ref="H424" r:id="rId421"/>
    <hyperlink ref="H425" r:id="rId422"/>
    <hyperlink ref="H426" r:id="rId423"/>
    <hyperlink ref="H427" r:id="rId424"/>
    <hyperlink ref="H428" r:id="rId425"/>
    <hyperlink ref="H429" r:id="rId426"/>
    <hyperlink ref="H430" r:id="rId427"/>
    <hyperlink ref="H431" r:id="rId428"/>
    <hyperlink ref="H432" r:id="rId429"/>
    <hyperlink ref="H433" r:id="rId430"/>
    <hyperlink ref="H434" r:id="rId431"/>
    <hyperlink ref="H435" r:id="rId432"/>
    <hyperlink ref="H436" r:id="rId433"/>
    <hyperlink ref="H437" r:id="rId434"/>
    <hyperlink ref="H438" r:id="rId435"/>
    <hyperlink ref="H439" r:id="rId436"/>
    <hyperlink ref="H440" r:id="rId437"/>
    <hyperlink ref="H441" r:id="rId438"/>
    <hyperlink ref="H442" r:id="rId439"/>
    <hyperlink ref="H443" r:id="rId440"/>
    <hyperlink ref="H444" r:id="rId441"/>
    <hyperlink ref="H445" r:id="rId442"/>
    <hyperlink ref="H446" r:id="rId443"/>
    <hyperlink ref="H447" r:id="rId444"/>
    <hyperlink ref="H448" r:id="rId445"/>
    <hyperlink ref="H449" r:id="rId446"/>
    <hyperlink ref="H450" r:id="rId447"/>
    <hyperlink ref="H451" r:id="rId448"/>
    <hyperlink ref="H452" r:id="rId449"/>
    <hyperlink ref="H453" r:id="rId450"/>
    <hyperlink ref="H454" r:id="rId451"/>
    <hyperlink ref="H455" r:id="rId452"/>
    <hyperlink ref="H456" r:id="rId453"/>
    <hyperlink ref="H457" r:id="rId454"/>
    <hyperlink ref="H458" r:id="rId455"/>
    <hyperlink ref="H459" r:id="rId456"/>
    <hyperlink ref="H460" r:id="rId457"/>
    <hyperlink ref="H461" r:id="rId458"/>
    <hyperlink ref="H462" r:id="rId459"/>
    <hyperlink ref="H463" r:id="rId460"/>
    <hyperlink ref="H464" r:id="rId461"/>
    <hyperlink ref="H465" r:id="rId462"/>
    <hyperlink ref="H466" r:id="rId463"/>
    <hyperlink ref="H467" r:id="rId464"/>
    <hyperlink ref="H468" r:id="rId465"/>
    <hyperlink ref="H469" r:id="rId466"/>
    <hyperlink ref="H470" r:id="rId467"/>
    <hyperlink ref="H471" r:id="rId468"/>
    <hyperlink ref="H472" r:id="rId469"/>
    <hyperlink ref="H473" r:id="rId470"/>
    <hyperlink ref="H474" r:id="rId471"/>
    <hyperlink ref="H475" r:id="rId472"/>
    <hyperlink ref="H476" r:id="rId473"/>
    <hyperlink ref="H477" r:id="rId474"/>
    <hyperlink ref="H478" r:id="rId475"/>
    <hyperlink ref="H479" r:id="rId476"/>
    <hyperlink ref="H480" r:id="rId477"/>
    <hyperlink ref="H481" r:id="rId478"/>
    <hyperlink ref="H482" r:id="rId479"/>
    <hyperlink ref="H483" r:id="rId480"/>
    <hyperlink ref="H484" r:id="rId481"/>
    <hyperlink ref="H485" r:id="rId482"/>
    <hyperlink ref="H486" r:id="rId483"/>
    <hyperlink ref="H487" r:id="rId484"/>
    <hyperlink ref="H488" r:id="rId485"/>
    <hyperlink ref="H489" r:id="rId486"/>
    <hyperlink ref="H490" r:id="rId487"/>
    <hyperlink ref="H491" r:id="rId488"/>
    <hyperlink ref="H492" r:id="rId489"/>
    <hyperlink ref="H493" r:id="rId490"/>
    <hyperlink ref="H494" r:id="rId491"/>
    <hyperlink ref="H495" r:id="rId492"/>
    <hyperlink ref="H496" r:id="rId493"/>
    <hyperlink ref="H497" r:id="rId494"/>
    <hyperlink ref="H498" r:id="rId495"/>
    <hyperlink ref="H499" r:id="rId496"/>
    <hyperlink ref="H500" r:id="rId497"/>
    <hyperlink ref="H501" r:id="rId498"/>
    <hyperlink ref="H502" r:id="rId499"/>
    <hyperlink ref="H503" r:id="rId500"/>
    <hyperlink ref="H504" r:id="rId501"/>
    <hyperlink ref="H505" r:id="rId502"/>
    <hyperlink ref="H506" r:id="rId503"/>
    <hyperlink ref="H507" r:id="rId504"/>
    <hyperlink ref="H508" r:id="rId505"/>
    <hyperlink ref="H509" r:id="rId506"/>
    <hyperlink ref="H510" r:id="rId507"/>
    <hyperlink ref="H511" r:id="rId508"/>
    <hyperlink ref="H512" r:id="rId509"/>
    <hyperlink ref="H513" r:id="rId510"/>
    <hyperlink ref="H514" r:id="rId511"/>
    <hyperlink ref="H515" r:id="rId512"/>
    <hyperlink ref="H516" r:id="rId513"/>
    <hyperlink ref="H517" r:id="rId514"/>
    <hyperlink ref="H518" r:id="rId515"/>
    <hyperlink ref="H519" r:id="rId516"/>
    <hyperlink ref="H520" r:id="rId517"/>
    <hyperlink ref="H521" r:id="rId518"/>
    <hyperlink ref="H522" r:id="rId519"/>
    <hyperlink ref="H523" r:id="rId520"/>
    <hyperlink ref="H524" r:id="rId521"/>
    <hyperlink ref="H525" r:id="rId522"/>
    <hyperlink ref="H526" r:id="rId523"/>
    <hyperlink ref="H527" r:id="rId524"/>
    <hyperlink ref="H528" r:id="rId525"/>
    <hyperlink ref="H529" r:id="rId526"/>
    <hyperlink ref="H530" r:id="rId527"/>
    <hyperlink ref="H531" r:id="rId528"/>
    <hyperlink ref="H532" r:id="rId529"/>
    <hyperlink ref="H533" r:id="rId530"/>
    <hyperlink ref="H534" r:id="rId531"/>
    <hyperlink ref="H535" r:id="rId532"/>
    <hyperlink ref="H536" r:id="rId533"/>
    <hyperlink ref="H537" r:id="rId534"/>
    <hyperlink ref="H538" r:id="rId535"/>
    <hyperlink ref="H539" r:id="rId536"/>
    <hyperlink ref="H540" r:id="rId537"/>
    <hyperlink ref="H541" r:id="rId538"/>
    <hyperlink ref="H542" r:id="rId539"/>
    <hyperlink ref="H543" r:id="rId540"/>
    <hyperlink ref="H545" r:id="rId541"/>
    <hyperlink ref="H546" r:id="rId542"/>
    <hyperlink ref="H547" r:id="rId543"/>
    <hyperlink ref="H548" r:id="rId544"/>
    <hyperlink ref="H549" r:id="rId545"/>
    <hyperlink ref="H550" r:id="rId546"/>
    <hyperlink ref="H551" r:id="rId547"/>
    <hyperlink ref="H552" r:id="rId548"/>
    <hyperlink ref="H553" r:id="rId549"/>
    <hyperlink ref="H554" r:id="rId550"/>
    <hyperlink ref="H555" r:id="rId551"/>
    <hyperlink ref="H556" r:id="rId552"/>
    <hyperlink ref="H557" r:id="rId553"/>
    <hyperlink ref="H558" r:id="rId554"/>
    <hyperlink ref="H559" r:id="rId555"/>
    <hyperlink ref="H560" r:id="rId556"/>
    <hyperlink ref="H561" r:id="rId557"/>
    <hyperlink ref="H562" r:id="rId558"/>
    <hyperlink ref="H563" r:id="rId559"/>
    <hyperlink ref="H564" r:id="rId560"/>
    <hyperlink ref="H565" r:id="rId561"/>
    <hyperlink ref="H566" r:id="rId562"/>
    <hyperlink ref="H567" r:id="rId563"/>
    <hyperlink ref="H568" r:id="rId564"/>
    <hyperlink ref="H569" r:id="rId565"/>
    <hyperlink ref="H570" r:id="rId566"/>
    <hyperlink ref="H571" r:id="rId567"/>
    <hyperlink ref="H572" r:id="rId568"/>
    <hyperlink ref="H573" r:id="rId569"/>
    <hyperlink ref="H574" r:id="rId570"/>
    <hyperlink ref="H575" r:id="rId571"/>
    <hyperlink ref="H576" r:id="rId572"/>
    <hyperlink ref="H577" r:id="rId573"/>
    <hyperlink ref="H578" r:id="rId574"/>
    <hyperlink ref="H579" r:id="rId575"/>
    <hyperlink ref="H580" r:id="rId576"/>
    <hyperlink ref="H581" r:id="rId577"/>
    <hyperlink ref="H582" r:id="rId578"/>
    <hyperlink ref="H583" r:id="rId579"/>
    <hyperlink ref="H584" r:id="rId580"/>
    <hyperlink ref="H585" r:id="rId581"/>
    <hyperlink ref="H586" r:id="rId582"/>
    <hyperlink ref="H587" r:id="rId583"/>
    <hyperlink ref="H588" r:id="rId584"/>
    <hyperlink ref="H589" r:id="rId585"/>
    <hyperlink ref="H590" r:id="rId586"/>
    <hyperlink ref="H591" r:id="rId587"/>
    <hyperlink ref="H592" r:id="rId588"/>
    <hyperlink ref="H593" r:id="rId589"/>
    <hyperlink ref="H594" r:id="rId590"/>
    <hyperlink ref="H595" r:id="rId591"/>
    <hyperlink ref="H596" r:id="rId592"/>
    <hyperlink ref="H597" r:id="rId593"/>
    <hyperlink ref="H598" r:id="rId594"/>
    <hyperlink ref="H599" r:id="rId595"/>
    <hyperlink ref="H600" r:id="rId596"/>
    <hyperlink ref="H601" r:id="rId597"/>
    <hyperlink ref="H602" r:id="rId598"/>
    <hyperlink ref="H603" r:id="rId599"/>
    <hyperlink ref="H604" r:id="rId600"/>
    <hyperlink ref="H605" r:id="rId601"/>
    <hyperlink ref="H606" r:id="rId602"/>
    <hyperlink ref="H607" r:id="rId603"/>
    <hyperlink ref="H608" r:id="rId604"/>
    <hyperlink ref="H609" r:id="rId605"/>
    <hyperlink ref="H610" r:id="rId606"/>
    <hyperlink ref="H611" r:id="rId607"/>
    <hyperlink ref="H612" r:id="rId608"/>
    <hyperlink ref="H613" r:id="rId609"/>
    <hyperlink ref="H614" r:id="rId610"/>
    <hyperlink ref="H615" r:id="rId611"/>
    <hyperlink ref="H616" r:id="rId612"/>
    <hyperlink ref="H617" r:id="rId613"/>
    <hyperlink ref="H618" r:id="rId614"/>
    <hyperlink ref="H619" r:id="rId615"/>
    <hyperlink ref="H620" r:id="rId616"/>
    <hyperlink ref="H621" r:id="rId617"/>
    <hyperlink ref="H622" r:id="rId618"/>
    <hyperlink ref="H623" r:id="rId619"/>
    <hyperlink ref="H624" r:id="rId620"/>
    <hyperlink ref="H625" r:id="rId621"/>
    <hyperlink ref="H626" r:id="rId622"/>
    <hyperlink ref="H627" r:id="rId623"/>
    <hyperlink ref="H628" r:id="rId624"/>
    <hyperlink ref="H629" r:id="rId625"/>
    <hyperlink ref="H630" r:id="rId626"/>
    <hyperlink ref="H631" r:id="rId627"/>
    <hyperlink ref="H632" r:id="rId628"/>
    <hyperlink ref="H633" r:id="rId629"/>
    <hyperlink ref="H634" r:id="rId630"/>
    <hyperlink ref="H635" r:id="rId631"/>
    <hyperlink ref="H636" r:id="rId632"/>
    <hyperlink ref="H637" r:id="rId633"/>
    <hyperlink ref="H638" r:id="rId634"/>
    <hyperlink ref="H639" r:id="rId635"/>
    <hyperlink ref="H640" r:id="rId636"/>
    <hyperlink ref="H641" r:id="rId637"/>
    <hyperlink ref="H642" r:id="rId638"/>
    <hyperlink ref="H643" r:id="rId639"/>
    <hyperlink ref="H644" r:id="rId640"/>
    <hyperlink ref="H645" r:id="rId641"/>
    <hyperlink ref="H646" r:id="rId642"/>
    <hyperlink ref="H647" r:id="rId643"/>
    <hyperlink ref="H648" r:id="rId644"/>
    <hyperlink ref="H649" r:id="rId645"/>
    <hyperlink ref="H650" r:id="rId646"/>
    <hyperlink ref="H651" r:id="rId647"/>
    <hyperlink ref="H652" r:id="rId648"/>
    <hyperlink ref="H653" r:id="rId649"/>
    <hyperlink ref="H654" r:id="rId650"/>
    <hyperlink ref="H655" r:id="rId651"/>
    <hyperlink ref="H656" r:id="rId652"/>
    <hyperlink ref="H657" r:id="rId653"/>
    <hyperlink ref="H658" r:id="rId654"/>
    <hyperlink ref="H659" r:id="rId655"/>
    <hyperlink ref="H660" r:id="rId656"/>
    <hyperlink ref="H661" r:id="rId657"/>
    <hyperlink ref="H662" r:id="rId658"/>
    <hyperlink ref="H663" r:id="rId659"/>
    <hyperlink ref="H664" r:id="rId660"/>
    <hyperlink ref="H665" r:id="rId661"/>
    <hyperlink ref="H666" r:id="rId662"/>
    <hyperlink ref="H667" r:id="rId663"/>
    <hyperlink ref="H668" r:id="rId664"/>
    <hyperlink ref="H669" r:id="rId665"/>
    <hyperlink ref="H670" r:id="rId666"/>
    <hyperlink ref="H671" r:id="rId667"/>
    <hyperlink ref="H672" r:id="rId668"/>
    <hyperlink ref="H673" r:id="rId669"/>
    <hyperlink ref="H674" r:id="rId670"/>
    <hyperlink ref="H675" r:id="rId671"/>
    <hyperlink ref="H676" r:id="rId672"/>
    <hyperlink ref="H677" r:id="rId673"/>
    <hyperlink ref="H678" r:id="rId674"/>
    <hyperlink ref="H679" r:id="rId675"/>
    <hyperlink ref="H680" r:id="rId676"/>
    <hyperlink ref="H681" r:id="rId677"/>
    <hyperlink ref="H682" r:id="rId678"/>
    <hyperlink ref="H683" r:id="rId679"/>
    <hyperlink ref="H684" r:id="rId680"/>
    <hyperlink ref="H685" r:id="rId681"/>
    <hyperlink ref="H686" r:id="rId682"/>
    <hyperlink ref="H687" r:id="rId683"/>
    <hyperlink ref="H688" r:id="rId684"/>
    <hyperlink ref="H689" r:id="rId685"/>
    <hyperlink ref="H690" r:id="rId686"/>
    <hyperlink ref="H691" r:id="rId687"/>
    <hyperlink ref="H692" r:id="rId688"/>
    <hyperlink ref="H693" r:id="rId689"/>
    <hyperlink ref="H694" r:id="rId690"/>
    <hyperlink ref="H695" r:id="rId691"/>
    <hyperlink ref="H696" r:id="rId692"/>
    <hyperlink ref="H697" r:id="rId693"/>
    <hyperlink ref="H698" r:id="rId694"/>
    <hyperlink ref="H699" r:id="rId695"/>
    <hyperlink ref="H700" r:id="rId696"/>
    <hyperlink ref="H701" r:id="rId697"/>
    <hyperlink ref="H702" r:id="rId698"/>
    <hyperlink ref="H703" r:id="rId699"/>
    <hyperlink ref="H704" r:id="rId700"/>
    <hyperlink ref="H705" r:id="rId701"/>
    <hyperlink ref="H706" r:id="rId702"/>
    <hyperlink ref="H707" r:id="rId703"/>
    <hyperlink ref="H708" r:id="rId704"/>
    <hyperlink ref="H709" r:id="rId705"/>
    <hyperlink ref="H710" r:id="rId706"/>
    <hyperlink ref="H711" r:id="rId707"/>
    <hyperlink ref="H712" r:id="rId708"/>
    <hyperlink ref="H713" r:id="rId709"/>
    <hyperlink ref="H714" r:id="rId710"/>
    <hyperlink ref="H715" r:id="rId711"/>
    <hyperlink ref="H716" r:id="rId712"/>
    <hyperlink ref="H717" r:id="rId713"/>
    <hyperlink ref="H718" r:id="rId714"/>
    <hyperlink ref="H719" r:id="rId715"/>
    <hyperlink ref="H720" r:id="rId716"/>
    <hyperlink ref="H721" r:id="rId717"/>
    <hyperlink ref="H722" r:id="rId718"/>
    <hyperlink ref="H723" r:id="rId719"/>
    <hyperlink ref="H724" r:id="rId720"/>
    <hyperlink ref="H725" r:id="rId721"/>
    <hyperlink ref="H726" r:id="rId722"/>
    <hyperlink ref="H727" r:id="rId723"/>
    <hyperlink ref="H728" r:id="rId724"/>
    <hyperlink ref="H729" r:id="rId725"/>
    <hyperlink ref="H730" r:id="rId726"/>
    <hyperlink ref="H731" r:id="rId727"/>
    <hyperlink ref="H732" r:id="rId728"/>
    <hyperlink ref="H733" r:id="rId729"/>
    <hyperlink ref="H734" r:id="rId730"/>
    <hyperlink ref="H735" r:id="rId731"/>
    <hyperlink ref="H736" r:id="rId732"/>
    <hyperlink ref="H737" r:id="rId733"/>
    <hyperlink ref="H738" r:id="rId734"/>
    <hyperlink ref="H739" r:id="rId735"/>
    <hyperlink ref="H740" r:id="rId736"/>
    <hyperlink ref="H741" r:id="rId737"/>
    <hyperlink ref="H742" r:id="rId738"/>
    <hyperlink ref="H743" r:id="rId739"/>
    <hyperlink ref="H744" r:id="rId740"/>
    <hyperlink ref="H745" r:id="rId741"/>
    <hyperlink ref="H746" r:id="rId742"/>
    <hyperlink ref="H747" r:id="rId743"/>
    <hyperlink ref="H748" r:id="rId744"/>
    <hyperlink ref="H749" r:id="rId745"/>
    <hyperlink ref="H750" r:id="rId746"/>
    <hyperlink ref="H751" r:id="rId747"/>
    <hyperlink ref="H752" r:id="rId748"/>
    <hyperlink ref="H753" r:id="rId749"/>
    <hyperlink ref="H754" r:id="rId750"/>
    <hyperlink ref="H755" r:id="rId751"/>
    <hyperlink ref="H756" r:id="rId752"/>
    <hyperlink ref="H757" r:id="rId753"/>
    <hyperlink ref="H758" r:id="rId754"/>
    <hyperlink ref="H759" r:id="rId755"/>
    <hyperlink ref="H760" r:id="rId756"/>
    <hyperlink ref="H761" r:id="rId757"/>
    <hyperlink ref="H762" r:id="rId758"/>
    <hyperlink ref="H763" r:id="rId759"/>
    <hyperlink ref="H764" r:id="rId760"/>
    <hyperlink ref="H765" r:id="rId761"/>
    <hyperlink ref="H766" r:id="rId762"/>
    <hyperlink ref="H767" r:id="rId763"/>
    <hyperlink ref="H768" r:id="rId764"/>
    <hyperlink ref="H769" r:id="rId765"/>
    <hyperlink ref="H770" r:id="rId766"/>
    <hyperlink ref="H771" r:id="rId767"/>
    <hyperlink ref="H772" r:id="rId768"/>
    <hyperlink ref="H773" r:id="rId769"/>
    <hyperlink ref="H774" r:id="rId770"/>
    <hyperlink ref="H775" r:id="rId771"/>
    <hyperlink ref="H776" r:id="rId772"/>
    <hyperlink ref="H777" r:id="rId773"/>
    <hyperlink ref="H778" r:id="rId774"/>
    <hyperlink ref="H779" r:id="rId775"/>
    <hyperlink ref="H780" r:id="rId776"/>
    <hyperlink ref="H781" r:id="rId777"/>
    <hyperlink ref="H782" r:id="rId778"/>
    <hyperlink ref="H783" r:id="rId779"/>
    <hyperlink ref="H784" r:id="rId780"/>
    <hyperlink ref="H785" r:id="rId781"/>
    <hyperlink ref="H786" r:id="rId782"/>
    <hyperlink ref="H787" r:id="rId783"/>
    <hyperlink ref="H788" r:id="rId784"/>
    <hyperlink ref="H789" r:id="rId785"/>
    <hyperlink ref="H790" r:id="rId786"/>
    <hyperlink ref="H791" r:id="rId787"/>
    <hyperlink ref="H792" r:id="rId788"/>
    <hyperlink ref="H793" r:id="rId789"/>
    <hyperlink ref="H794" r:id="rId790"/>
    <hyperlink ref="H795" r:id="rId791"/>
    <hyperlink ref="H796" r:id="rId792"/>
    <hyperlink ref="H797" r:id="rId793"/>
    <hyperlink ref="H798" r:id="rId794"/>
    <hyperlink ref="H799" r:id="rId795"/>
    <hyperlink ref="H800" r:id="rId796"/>
    <hyperlink ref="H801" r:id="rId797"/>
    <hyperlink ref="H802" r:id="rId798"/>
    <hyperlink ref="H803" r:id="rId799"/>
    <hyperlink ref="H804" r:id="rId800"/>
    <hyperlink ref="H805" r:id="rId801"/>
    <hyperlink ref="H806" r:id="rId802"/>
    <hyperlink ref="H807" r:id="rId803"/>
    <hyperlink ref="H808" r:id="rId804"/>
    <hyperlink ref="H809" r:id="rId805"/>
    <hyperlink ref="H810" r:id="rId806"/>
    <hyperlink ref="H811" r:id="rId807"/>
    <hyperlink ref="H812" r:id="rId808"/>
    <hyperlink ref="H813" r:id="rId809"/>
    <hyperlink ref="H814" r:id="rId810"/>
    <hyperlink ref="H815" r:id="rId811"/>
    <hyperlink ref="H816" r:id="rId812"/>
    <hyperlink ref="H817" r:id="rId813"/>
    <hyperlink ref="H818" r:id="rId814"/>
    <hyperlink ref="H819" r:id="rId815"/>
    <hyperlink ref="H820" r:id="rId816"/>
    <hyperlink ref="H821" r:id="rId817"/>
    <hyperlink ref="H822" r:id="rId818"/>
    <hyperlink ref="H823" r:id="rId819"/>
    <hyperlink ref="H824" r:id="rId820"/>
    <hyperlink ref="H825" r:id="rId821"/>
    <hyperlink ref="H826" r:id="rId822"/>
    <hyperlink ref="H827" r:id="rId823"/>
    <hyperlink ref="H828" r:id="rId824"/>
    <hyperlink ref="H829" r:id="rId825"/>
    <hyperlink ref="H830" r:id="rId826"/>
    <hyperlink ref="H831" r:id="rId827"/>
    <hyperlink ref="H832" r:id="rId828"/>
    <hyperlink ref="H833" r:id="rId829"/>
    <hyperlink ref="H834" r:id="rId830"/>
    <hyperlink ref="H835" r:id="rId831"/>
    <hyperlink ref="H836" r:id="rId832"/>
    <hyperlink ref="H837" r:id="rId833"/>
    <hyperlink ref="H838" r:id="rId834"/>
    <hyperlink ref="H839" r:id="rId835"/>
    <hyperlink ref="H840" r:id="rId836"/>
    <hyperlink ref="H841" r:id="rId837"/>
    <hyperlink ref="H842" r:id="rId838"/>
    <hyperlink ref="H843" r:id="rId839"/>
    <hyperlink ref="H844" r:id="rId840"/>
    <hyperlink ref="H845" r:id="rId841"/>
    <hyperlink ref="H846" r:id="rId842"/>
    <hyperlink ref="H847" r:id="rId843"/>
    <hyperlink ref="H848" r:id="rId844"/>
    <hyperlink ref="H849" r:id="rId845"/>
    <hyperlink ref="H850" r:id="rId846"/>
    <hyperlink ref="H851" r:id="rId847"/>
    <hyperlink ref="H852" r:id="rId848"/>
    <hyperlink ref="H853" r:id="rId849"/>
    <hyperlink ref="H854" r:id="rId850"/>
    <hyperlink ref="H855" r:id="rId851"/>
    <hyperlink ref="H856" r:id="rId852"/>
    <hyperlink ref="H857" r:id="rId853"/>
    <hyperlink ref="H858" r:id="rId854"/>
    <hyperlink ref="H859" r:id="rId855"/>
    <hyperlink ref="H860" r:id="rId856"/>
    <hyperlink ref="H861" r:id="rId857"/>
    <hyperlink ref="H862" r:id="rId858"/>
    <hyperlink ref="H863" r:id="rId859"/>
    <hyperlink ref="H864" r:id="rId860"/>
    <hyperlink ref="H865" r:id="rId861"/>
    <hyperlink ref="H866" r:id="rId862"/>
    <hyperlink ref="H867" r:id="rId863"/>
    <hyperlink ref="H868" r:id="rId864"/>
    <hyperlink ref="H869" r:id="rId865"/>
    <hyperlink ref="H870" r:id="rId866"/>
    <hyperlink ref="H871" r:id="rId867"/>
    <hyperlink ref="H872" r:id="rId868"/>
    <hyperlink ref="H873" r:id="rId869"/>
    <hyperlink ref="H874" r:id="rId870"/>
    <hyperlink ref="H875" r:id="rId871"/>
    <hyperlink ref="H876" r:id="rId872"/>
    <hyperlink ref="H877" r:id="rId873"/>
    <hyperlink ref="H878" r:id="rId874"/>
    <hyperlink ref="H879" r:id="rId875"/>
    <hyperlink ref="H880" r:id="rId876"/>
    <hyperlink ref="H881" r:id="rId877"/>
    <hyperlink ref="H882" r:id="rId878"/>
    <hyperlink ref="H883" r:id="rId879"/>
    <hyperlink ref="H884" r:id="rId880"/>
    <hyperlink ref="H885" r:id="rId881"/>
    <hyperlink ref="H886" r:id="rId882"/>
    <hyperlink ref="H887" r:id="rId883"/>
    <hyperlink ref="H888" r:id="rId884"/>
    <hyperlink ref="H889" r:id="rId885"/>
    <hyperlink ref="H890" r:id="rId886"/>
    <hyperlink ref="H891" r:id="rId887"/>
    <hyperlink ref="H892" r:id="rId888"/>
    <hyperlink ref="H893" r:id="rId889"/>
    <hyperlink ref="H894" r:id="rId890"/>
    <hyperlink ref="H895" r:id="rId891"/>
    <hyperlink ref="H896" r:id="rId892"/>
    <hyperlink ref="H897" r:id="rId893"/>
    <hyperlink ref="H898" r:id="rId894"/>
    <hyperlink ref="H899" r:id="rId895"/>
    <hyperlink ref="H900" r:id="rId896"/>
    <hyperlink ref="H901" r:id="rId897"/>
    <hyperlink ref="H902" r:id="rId898"/>
    <hyperlink ref="H903" r:id="rId899"/>
    <hyperlink ref="H904" r:id="rId900"/>
    <hyperlink ref="H905" r:id="rId901"/>
    <hyperlink ref="H906" r:id="rId902"/>
    <hyperlink ref="H907" r:id="rId903"/>
    <hyperlink ref="H908" r:id="rId904"/>
    <hyperlink ref="H909" r:id="rId905"/>
    <hyperlink ref="H910" r:id="rId906"/>
    <hyperlink ref="H911" r:id="rId907"/>
    <hyperlink ref="H912" r:id="rId908"/>
    <hyperlink ref="H913" r:id="rId909"/>
    <hyperlink ref="H914" r:id="rId910"/>
    <hyperlink ref="H915" r:id="rId911"/>
    <hyperlink ref="H916" r:id="rId912"/>
    <hyperlink ref="H917" r:id="rId913"/>
    <hyperlink ref="H918" r:id="rId914"/>
    <hyperlink ref="H919" r:id="rId915"/>
    <hyperlink ref="H920" r:id="rId916"/>
    <hyperlink ref="H921" r:id="rId917"/>
    <hyperlink ref="H922" r:id="rId918"/>
    <hyperlink ref="H923" r:id="rId919"/>
    <hyperlink ref="H924" r:id="rId920"/>
    <hyperlink ref="H925" r:id="rId921"/>
    <hyperlink ref="H926" r:id="rId922"/>
    <hyperlink ref="H927" r:id="rId923"/>
    <hyperlink ref="H928" r:id="rId924"/>
    <hyperlink ref="H929" r:id="rId925"/>
    <hyperlink ref="H930" r:id="rId926"/>
    <hyperlink ref="H931" r:id="rId927"/>
    <hyperlink ref="H932" r:id="rId928"/>
    <hyperlink ref="H933" r:id="rId929"/>
    <hyperlink ref="H934" r:id="rId930"/>
    <hyperlink ref="H935" r:id="rId931"/>
    <hyperlink ref="H936" r:id="rId932"/>
    <hyperlink ref="H937" r:id="rId933"/>
    <hyperlink ref="H938" r:id="rId934"/>
    <hyperlink ref="H939" r:id="rId935"/>
    <hyperlink ref="H940" r:id="rId936"/>
    <hyperlink ref="H941" r:id="rId937"/>
    <hyperlink ref="H942" r:id="rId938"/>
    <hyperlink ref="H943" r:id="rId939"/>
    <hyperlink ref="H944" r:id="rId940"/>
    <hyperlink ref="H945" r:id="rId941"/>
    <hyperlink ref="H946" r:id="rId942"/>
    <hyperlink ref="H947" r:id="rId943"/>
    <hyperlink ref="H948" r:id="rId944"/>
    <hyperlink ref="H949" r:id="rId945"/>
    <hyperlink ref="H950" r:id="rId946"/>
    <hyperlink ref="H951" r:id="rId947"/>
    <hyperlink ref="H952" r:id="rId948"/>
    <hyperlink ref="H953" r:id="rId949"/>
    <hyperlink ref="H954" r:id="rId950"/>
    <hyperlink ref="H955" r:id="rId951"/>
    <hyperlink ref="H956" r:id="rId952"/>
    <hyperlink ref="H957" r:id="rId953"/>
    <hyperlink ref="H958" r:id="rId954"/>
    <hyperlink ref="H959" r:id="rId955"/>
    <hyperlink ref="H960" r:id="rId956"/>
    <hyperlink ref="H961" r:id="rId957"/>
    <hyperlink ref="H962" r:id="rId958"/>
    <hyperlink ref="H963" r:id="rId959"/>
    <hyperlink ref="H964" r:id="rId960"/>
    <hyperlink ref="H965" r:id="rId961"/>
    <hyperlink ref="H966" r:id="rId962"/>
    <hyperlink ref="H967" r:id="rId963"/>
    <hyperlink ref="H968" r:id="rId964"/>
    <hyperlink ref="H969" r:id="rId965"/>
    <hyperlink ref="H970" r:id="rId966"/>
    <hyperlink ref="H971" r:id="rId967"/>
    <hyperlink ref="H972" r:id="rId968"/>
    <hyperlink ref="H973" r:id="rId969"/>
    <hyperlink ref="H974" r:id="rId970"/>
    <hyperlink ref="H975" r:id="rId971"/>
    <hyperlink ref="H976" r:id="rId972"/>
    <hyperlink ref="H977" r:id="rId973"/>
    <hyperlink ref="H978" r:id="rId974"/>
    <hyperlink ref="H979" r:id="rId975"/>
    <hyperlink ref="H980" r:id="rId976"/>
    <hyperlink ref="H981" r:id="rId977"/>
    <hyperlink ref="H982" r:id="rId978"/>
  </hyperlinks>
  <pageMargins left="0.7" right="0.7" top="0.75" bottom="0.75" header="0" footer="0"/>
  <pageSetup paperSize="9" orientation="landscape"/>
  <legacyDrawing r:id="rId97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7" width="7.625" customWidth="1"/>
  </cols>
  <sheetData>
    <row r="1" spans="1:18" ht="36" customHeight="1">
      <c r="A1" s="293" t="s">
        <v>4947</v>
      </c>
      <c r="B1" s="290"/>
      <c r="C1" s="290"/>
      <c r="D1" s="290"/>
      <c r="E1" s="290"/>
      <c r="F1" s="290"/>
      <c r="G1" s="290"/>
      <c r="H1" s="290"/>
    </row>
    <row r="2" spans="1:18" ht="22.5" customHeight="1">
      <c r="A2" s="148"/>
      <c r="B2" s="149"/>
      <c r="C2" s="149"/>
      <c r="D2" s="149"/>
      <c r="E2" s="149"/>
      <c r="F2" s="149"/>
      <c r="G2" s="149"/>
      <c r="H2" s="149"/>
    </row>
    <row r="3" spans="1:18" ht="24" customHeight="1">
      <c r="A3" s="150" t="s">
        <v>2</v>
      </c>
      <c r="B3" s="151" t="s">
        <v>4</v>
      </c>
      <c r="C3" s="151" t="s">
        <v>5</v>
      </c>
      <c r="D3" s="151" t="s">
        <v>6</v>
      </c>
      <c r="E3" s="151" t="s">
        <v>7</v>
      </c>
      <c r="F3" s="151" t="s">
        <v>8</v>
      </c>
      <c r="G3" s="151" t="s">
        <v>9</v>
      </c>
      <c r="H3" s="152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26.25" customHeight="1">
      <c r="A4" s="154">
        <f t="shared" ref="A4:A135" ca="1" si="0">IF(B4="","",ROW(B4)-3)</f>
        <v>1</v>
      </c>
      <c r="B4" s="19" t="str">
        <f ca="1">IFERROR(__xludf.DUMMYFUNCTION("filter('통합'!C4:I983,'통합'!B4:B983=""건축∙토목공학"")"),"A+U")</f>
        <v>A+U</v>
      </c>
      <c r="C4" s="19" t="str">
        <f ca="1">IFERROR(__xludf.DUMMYFUNCTION("""COMPUTED_VALUE"""),"A+U Publishing Co., Ltd")</f>
        <v>A+U Publishing Co., Ltd</v>
      </c>
      <c r="D4" s="100" t="str">
        <f ca="1">IFERROR(__xludf.DUMMYFUNCTION("""COMPUTED_VALUE"""),"0389-9160")</f>
        <v>0389-9160</v>
      </c>
      <c r="E4" s="19" t="str">
        <f ca="1">IFERROR(__xludf.DUMMYFUNCTION("""COMPUTED_VALUE"""),"1981-2021")</f>
        <v>1981-2021</v>
      </c>
      <c r="F4" s="100" t="str">
        <f ca="1">IFERROR(__xludf.DUMMYFUNCTION("""COMPUTED_VALUE"""),"AHCI, SCOPUS")</f>
        <v>AHCI, SCOPUS</v>
      </c>
      <c r="G4" s="155" t="str">
        <f ca="1">IFERROR(__xludf.DUMMYFUNCTION("""COMPUTED_VALUE"""),"http://www.riss.kr/link?id=S19593")</f>
        <v>http://www.riss.kr/link?id=S19593</v>
      </c>
      <c r="H4" s="156" t="str">
        <f ca="1">IFERROR(__xludf.DUMMYFUNCTION("""COMPUTED_VALUE"""),"O")</f>
        <v>O</v>
      </c>
    </row>
    <row r="5" spans="1:18" ht="26.25" customHeight="1">
      <c r="A5" s="154">
        <f t="shared" ca="1" si="0"/>
        <v>2</v>
      </c>
      <c r="B5" s="19" t="str">
        <f ca="1">IFERROR(__xludf.DUMMYFUNCTION("""COMPUTED_VALUE"""),"ACI Structural Journal")</f>
        <v>ACI Structural Journal</v>
      </c>
      <c r="C5" s="19" t="str">
        <f ca="1">IFERROR(__xludf.DUMMYFUNCTION("""COMPUTED_VALUE"""),"American Concrete Institute")</f>
        <v>American Concrete Institute</v>
      </c>
      <c r="D5" s="100" t="str">
        <f ca="1">IFERROR(__xludf.DUMMYFUNCTION("""COMPUTED_VALUE"""),"0889-3241")</f>
        <v>0889-3241</v>
      </c>
      <c r="E5" s="19" t="str">
        <f ca="1">IFERROR(__xludf.DUMMYFUNCTION("""COMPUTED_VALUE"""),"1948-1949, 1955-2004, 2010-2021")</f>
        <v>1948-1949, 1955-2004, 2010-2021</v>
      </c>
      <c r="F5" s="100" t="str">
        <f ca="1">IFERROR(__xludf.DUMMYFUNCTION("""COMPUTED_VALUE"""),"SCIE, SCOPUS")</f>
        <v>SCIE, SCOPUS</v>
      </c>
      <c r="G5" s="155" t="str">
        <f ca="1">IFERROR(__xludf.DUMMYFUNCTION("""COMPUTED_VALUE"""),"http://www.riss.kr/link?id=S11597808")</f>
        <v>http://www.riss.kr/link?id=S11597808</v>
      </c>
      <c r="H5" s="156" t="str">
        <f ca="1">IFERROR(__xludf.DUMMYFUNCTION("""COMPUTED_VALUE"""),"O")</f>
        <v>O</v>
      </c>
    </row>
    <row r="6" spans="1:18" ht="26.25" customHeight="1">
      <c r="A6" s="154">
        <f t="shared" ca="1" si="0"/>
        <v>3</v>
      </c>
      <c r="B6" s="19" t="str">
        <f ca="1">IFERROR(__xludf.DUMMYFUNCTION("""COMPUTED_VALUE"""),"Advances in Cement Research")</f>
        <v>Advances in Cement Research</v>
      </c>
      <c r="C6" s="19" t="str">
        <f ca="1">IFERROR(__xludf.DUMMYFUNCTION("""COMPUTED_VALUE"""),"I C E Publishing")</f>
        <v>I C E Publishing</v>
      </c>
      <c r="D6" s="100" t="str">
        <f ca="1">IFERROR(__xludf.DUMMYFUNCTION("""COMPUTED_VALUE"""),"0951-7197")</f>
        <v>0951-7197</v>
      </c>
      <c r="E6" s="19" t="str">
        <f ca="1">IFERROR(__xludf.DUMMYFUNCTION("""COMPUTED_VALUE"""),"2010-2020")</f>
        <v>2010-2020</v>
      </c>
      <c r="F6" s="100" t="str">
        <f ca="1">IFERROR(__xludf.DUMMYFUNCTION("""COMPUTED_VALUE"""),"SCIE, SCOPUS")</f>
        <v>SCIE, SCOPUS</v>
      </c>
      <c r="G6" s="155" t="str">
        <f ca="1">IFERROR(__xludf.DUMMYFUNCTION("""COMPUTED_VALUE"""),"http://www.riss.kr/link?id=S415162")</f>
        <v>http://www.riss.kr/link?id=S415162</v>
      </c>
      <c r="H6" s="156" t="str">
        <f ca="1">IFERROR(__xludf.DUMMYFUNCTION("""COMPUTED_VALUE"""),"X")</f>
        <v>X</v>
      </c>
    </row>
    <row r="7" spans="1:18" ht="26.25" customHeight="1">
      <c r="A7" s="154">
        <f t="shared" ca="1" si="0"/>
        <v>4</v>
      </c>
      <c r="B7" s="19" t="str">
        <f ca="1">IFERROR(__xludf.DUMMYFUNCTION("""COMPUTED_VALUE"""),"Advances in Structural Engineering")</f>
        <v>Advances in Structural Engineering</v>
      </c>
      <c r="C7" s="19" t="str">
        <f ca="1">IFERROR(__xludf.DUMMYFUNCTION("""COMPUTED_VALUE"""),"Sage Publications Ltd.")</f>
        <v>Sage Publications Ltd.</v>
      </c>
      <c r="D7" s="100" t="str">
        <f ca="1">IFERROR(__xludf.DUMMYFUNCTION("""COMPUTED_VALUE"""),"1369-4332")</f>
        <v>1369-4332</v>
      </c>
      <c r="E7" s="19" t="str">
        <f ca="1">IFERROR(__xludf.DUMMYFUNCTION("""COMPUTED_VALUE"""),"2010-2013")</f>
        <v>2010-2013</v>
      </c>
      <c r="F7" s="100" t="str">
        <f ca="1">IFERROR(__xludf.DUMMYFUNCTION("""COMPUTED_VALUE"""),"SCIE, SCOPUS")</f>
        <v>SCIE, SCOPUS</v>
      </c>
      <c r="G7" s="155" t="str">
        <f ca="1">IFERROR(__xludf.DUMMYFUNCTION("""COMPUTED_VALUE"""),"http://www.riss.kr/link?id=S404755")</f>
        <v>http://www.riss.kr/link?id=S404755</v>
      </c>
      <c r="H7" s="156" t="str">
        <f ca="1">IFERROR(__xludf.DUMMYFUNCTION("""COMPUTED_VALUE"""),"X")</f>
        <v>X</v>
      </c>
    </row>
    <row r="8" spans="1:18" ht="26.25" customHeight="1">
      <c r="A8" s="154">
        <f t="shared" ca="1" si="0"/>
        <v>5</v>
      </c>
      <c r="B8" s="19" t="str">
        <f ca="1">IFERROR(__xludf.DUMMYFUNCTION("""COMPUTED_VALUE"""),"Advances in Applied Ceramics")</f>
        <v>Advances in Applied Ceramics</v>
      </c>
      <c r="C8" s="19" t="str">
        <f ca="1">IFERROR(__xludf.DUMMYFUNCTION("""COMPUTED_VALUE"""),"Hanley Wood")</f>
        <v>Hanley Wood</v>
      </c>
      <c r="D8" s="100" t="str">
        <f ca="1">IFERROR(__xludf.DUMMYFUNCTION("""COMPUTED_VALUE"""),"1935-7001")</f>
        <v>1935-7001</v>
      </c>
      <c r="E8" s="19" t="str">
        <f ca="1">IFERROR(__xludf.DUMMYFUNCTION("""COMPUTED_VALUE"""),"1983-2004, 2010-2012, 2014-2021")</f>
        <v>1983-2004, 2010-2012, 2014-2021</v>
      </c>
      <c r="F8" s="100" t="str">
        <f ca="1">IFERROR(__xludf.DUMMYFUNCTION("""COMPUTED_VALUE"""),"AHCI, SCOPUS")</f>
        <v>AHCI, SCOPUS</v>
      </c>
      <c r="G8" s="155" t="str">
        <f ca="1">IFERROR(__xludf.DUMMYFUNCTION("""COMPUTED_VALUE"""),"http://www.riss.kr/link?id=S15429")</f>
        <v>http://www.riss.kr/link?id=S15429</v>
      </c>
      <c r="H8" s="156" t="str">
        <f ca="1">IFERROR(__xludf.DUMMYFUNCTION("""COMPUTED_VALUE"""),"O")</f>
        <v>O</v>
      </c>
    </row>
    <row r="9" spans="1:18" ht="26.25" customHeight="1">
      <c r="A9" s="154">
        <f t="shared" ca="1" si="0"/>
        <v>6</v>
      </c>
      <c r="B9" s="19" t="str">
        <f ca="1">IFERROR(__xludf.DUMMYFUNCTION("""COMPUTED_VALUE"""),"Architectural Digest")</f>
        <v>Architectural Digest</v>
      </c>
      <c r="C9" s="19" t="str">
        <f ca="1">IFERROR(__xludf.DUMMYFUNCTION("""COMPUTED_VALUE"""),"Conde Nast Publications, Inc.")</f>
        <v>Conde Nast Publications, Inc.</v>
      </c>
      <c r="D9" s="100" t="str">
        <f ca="1">IFERROR(__xludf.DUMMYFUNCTION("""COMPUTED_VALUE"""),"0003-8520")</f>
        <v>0003-8520</v>
      </c>
      <c r="E9" s="19" t="str">
        <f ca="1">IFERROR(__xludf.DUMMYFUNCTION("""COMPUTED_VALUE"""),"2004-2021")</f>
        <v>2004-2021</v>
      </c>
      <c r="F9" s="100" t="str">
        <f ca="1">IFERROR(__xludf.DUMMYFUNCTION("""COMPUTED_VALUE"""),"SCOPUS")</f>
        <v>SCOPUS</v>
      </c>
      <c r="G9" s="155" t="str">
        <f ca="1">IFERROR(__xludf.DUMMYFUNCTION("""COMPUTED_VALUE"""),"http://www.riss.kr/link?id=S29226")</f>
        <v>http://www.riss.kr/link?id=S29226</v>
      </c>
      <c r="H9" s="156" t="str">
        <f ca="1">IFERROR(__xludf.DUMMYFUNCTION("""COMPUTED_VALUE"""),"O")</f>
        <v>O</v>
      </c>
    </row>
    <row r="10" spans="1:18" ht="26.25" customHeight="1">
      <c r="A10" s="154">
        <f t="shared" ca="1" si="0"/>
        <v>7</v>
      </c>
      <c r="B10" s="19" t="str">
        <f ca="1">IFERROR(__xludf.DUMMYFUNCTION("""COMPUTED_VALUE"""),"Architectural Lighting")</f>
        <v>Architectural Lighting</v>
      </c>
      <c r="C10" s="19" t="str">
        <f ca="1">IFERROR(__xludf.DUMMYFUNCTION("""COMPUTED_VALUE"""),"Hanley Wood")</f>
        <v>Hanley Wood</v>
      </c>
      <c r="D10" s="100" t="str">
        <f ca="1">IFERROR(__xludf.DUMMYFUNCTION("""COMPUTED_VALUE"""),"0894-0436")</f>
        <v>0894-0436</v>
      </c>
      <c r="E10" s="19" t="str">
        <f ca="1">IFERROR(__xludf.DUMMYFUNCTION("""COMPUTED_VALUE"""),"2010-2018")</f>
        <v>2010-2018</v>
      </c>
      <c r="F10" s="100" t="str">
        <f ca="1">IFERROR(__xludf.DUMMYFUNCTION("""COMPUTED_VALUE"""),"-")</f>
        <v>-</v>
      </c>
      <c r="G10" s="155" t="str">
        <f ca="1">IFERROR(__xludf.DUMMYFUNCTION("""COMPUTED_VALUE"""),"http://www.riss.kr/link?id=S29072")</f>
        <v>http://www.riss.kr/link?id=S29072</v>
      </c>
      <c r="H10" s="156" t="str">
        <f ca="1">IFERROR(__xludf.DUMMYFUNCTION("""COMPUTED_VALUE"""),"X")</f>
        <v>X</v>
      </c>
    </row>
    <row r="11" spans="1:18" ht="26.25" customHeight="1">
      <c r="A11" s="154">
        <f t="shared" ca="1" si="0"/>
        <v>8</v>
      </c>
      <c r="B11" s="19" t="str">
        <f ca="1">IFERROR(__xludf.DUMMYFUNCTION("""COMPUTED_VALUE"""),"Architectural Record")</f>
        <v>Architectural Record</v>
      </c>
      <c r="C11" s="19" t="str">
        <f ca="1">IFERROR(__xludf.DUMMYFUNCTION("""COMPUTED_VALUE"""),"McGraw-Hill Construction Dodge")</f>
        <v>McGraw-Hill Construction Dodge</v>
      </c>
      <c r="D11" s="100" t="str">
        <f ca="1">IFERROR(__xludf.DUMMYFUNCTION("""COMPUTED_VALUE"""),"0003-858X")</f>
        <v>0003-858X</v>
      </c>
      <c r="E11" s="19" t="str">
        <f ca="1">IFERROR(__xludf.DUMMYFUNCTION("""COMPUTED_VALUE"""),"1965-2004, 2007-2021")</f>
        <v>1965-2004, 2007-2021</v>
      </c>
      <c r="F11" s="100" t="str">
        <f ca="1">IFERROR(__xludf.DUMMYFUNCTION("""COMPUTED_VALUE"""),"AHCI, SCOPUS")</f>
        <v>AHCI, SCOPUS</v>
      </c>
      <c r="G11" s="155" t="str">
        <f ca="1">IFERROR(__xludf.DUMMYFUNCTION("""COMPUTED_VALUE"""),"http://www.riss.kr/link?id=S417245")</f>
        <v>http://www.riss.kr/link?id=S417245</v>
      </c>
      <c r="H11" s="156" t="str">
        <f ca="1">IFERROR(__xludf.DUMMYFUNCTION("""COMPUTED_VALUE"""),"O")</f>
        <v>O</v>
      </c>
    </row>
    <row r="12" spans="1:18" ht="26.25" customHeight="1">
      <c r="A12" s="154">
        <f t="shared" ca="1" si="0"/>
        <v>9</v>
      </c>
      <c r="B12" s="19" t="str">
        <f ca="1">IFERROR(__xludf.DUMMYFUNCTION("""COMPUTED_VALUE"""),"Architectural science Review")</f>
        <v>Architectural science Review</v>
      </c>
      <c r="C12" s="19" t="str">
        <f ca="1">IFERROR(__xludf.DUMMYFUNCTION("""COMPUTED_VALUE"""),"Academic Press")</f>
        <v>Academic Press</v>
      </c>
      <c r="D12" s="100" t="str">
        <f ca="1">IFERROR(__xludf.DUMMYFUNCTION("""COMPUTED_VALUE"""),"0003-8628")</f>
        <v>0003-8628</v>
      </c>
      <c r="E12" s="19" t="str">
        <f ca="1">IFERROR(__xludf.DUMMYFUNCTION("""COMPUTED_VALUE"""),"2010-2021")</f>
        <v>2010-2021</v>
      </c>
      <c r="F12" s="100" t="str">
        <f ca="1">IFERROR(__xludf.DUMMYFUNCTION("""COMPUTED_VALUE"""),"AHCI, SCOPUS")</f>
        <v>AHCI, SCOPUS</v>
      </c>
      <c r="G12" s="155" t="str">
        <f ca="1">IFERROR(__xludf.DUMMYFUNCTION("""COMPUTED_VALUE"""),"http://www.riss.kr/link?id=S15430")</f>
        <v>http://www.riss.kr/link?id=S15430</v>
      </c>
      <c r="H12" s="156" t="str">
        <f ca="1">IFERROR(__xludf.DUMMYFUNCTION("""COMPUTED_VALUE"""),"O")</f>
        <v>O</v>
      </c>
    </row>
    <row r="13" spans="1:18" ht="26.25" customHeight="1">
      <c r="A13" s="154">
        <f t="shared" ca="1" si="0"/>
        <v>10</v>
      </c>
      <c r="B13" s="19" t="str">
        <f ca="1">IFERROR(__xludf.DUMMYFUNCTION("""COMPUTED_VALUE"""),"Arquitectura Viva")</f>
        <v>Arquitectura Viva</v>
      </c>
      <c r="C13" s="19" t="str">
        <f ca="1">IFERROR(__xludf.DUMMYFUNCTION("""COMPUTED_VALUE"""),"Arquitectura Viva S.L.")</f>
        <v>Arquitectura Viva S.L.</v>
      </c>
      <c r="D13" s="100" t="str">
        <f ca="1">IFERROR(__xludf.DUMMYFUNCTION("""COMPUTED_VALUE"""),"0214-1256")</f>
        <v>0214-1256</v>
      </c>
      <c r="E13" s="19">
        <f ca="1">IFERROR(__xludf.DUMMYFUNCTION("""COMPUTED_VALUE"""),2019)</f>
        <v>2019</v>
      </c>
      <c r="F13" s="100" t="str">
        <f ca="1">IFERROR(__xludf.DUMMYFUNCTION("""COMPUTED_VALUE"""),"-")</f>
        <v>-</v>
      </c>
      <c r="G13" s="155" t="str">
        <f ca="1">IFERROR(__xludf.DUMMYFUNCTION("""COMPUTED_VALUE"""),"http://www.riss.kr/link?id=S104401")</f>
        <v>http://www.riss.kr/link?id=S104401</v>
      </c>
      <c r="H13" s="156" t="str">
        <f ca="1">IFERROR(__xludf.DUMMYFUNCTION("""COMPUTED_VALUE"""),"X")</f>
        <v>X</v>
      </c>
    </row>
    <row r="14" spans="1:18" ht="26.25" customHeight="1">
      <c r="A14" s="154">
        <f t="shared" ca="1" si="0"/>
        <v>11</v>
      </c>
      <c r="B14" s="19" t="str">
        <f ca="1">IFERROR(__xludf.DUMMYFUNCTION("""COMPUTED_VALUE"""),"ASHRAE journal")</f>
        <v>ASHRAE journal</v>
      </c>
      <c r="C14" s="19" t="str">
        <f ca="1">IFERROR(__xludf.DUMMYFUNCTION("""COMPUTED_VALUE"""),"American Society of Heating, Refrigerating and Air-Conditioning Engineers, Inc.")</f>
        <v>American Society of Heating, Refrigerating and Air-Conditioning Engineers, Inc.</v>
      </c>
      <c r="D14" s="100" t="str">
        <f ca="1">IFERROR(__xludf.DUMMYFUNCTION("""COMPUTED_VALUE"""),"0001-2491")</f>
        <v>0001-2491</v>
      </c>
      <c r="E14" s="19" t="str">
        <f ca="1">IFERROR(__xludf.DUMMYFUNCTION("""COMPUTED_VALUE"""),"1964-1965, 1996")</f>
        <v>1964-1965, 1996</v>
      </c>
      <c r="F14" s="100" t="str">
        <f ca="1">IFERROR(__xludf.DUMMYFUNCTION("""COMPUTED_VALUE"""),"SCIE, SCOPUS")</f>
        <v>SCIE, SCOPUS</v>
      </c>
      <c r="G14" s="155" t="str">
        <f ca="1">IFERROR(__xludf.DUMMYFUNCTION("""COMPUTED_VALUE"""),"http://www.riss.kr/link?id=S15489")</f>
        <v>http://www.riss.kr/link?id=S15489</v>
      </c>
      <c r="H14" s="156" t="str">
        <f ca="1">IFERROR(__xludf.DUMMYFUNCTION("""COMPUTED_VALUE"""),"X")</f>
        <v>X</v>
      </c>
    </row>
    <row r="15" spans="1:18" ht="26.25" customHeight="1">
      <c r="A15" s="154">
        <f t="shared" ca="1" si="0"/>
        <v>12</v>
      </c>
      <c r="B15" s="19" t="str">
        <f ca="1">IFERROR(__xludf.DUMMYFUNCTION("""COMPUTED_VALUE"""),"Bauwelt")</f>
        <v>Bauwelt</v>
      </c>
      <c r="C15" s="19" t="str">
        <f ca="1">IFERROR(__xludf.DUMMYFUNCTION("""COMPUTED_VALUE"""),"Ullstein Verlag")</f>
        <v>Ullstein Verlag</v>
      </c>
      <c r="D15" s="100" t="str">
        <f ca="1">IFERROR(__xludf.DUMMYFUNCTION("""COMPUTED_VALUE"""),"0005-6855")</f>
        <v>0005-6855</v>
      </c>
      <c r="E15" s="19">
        <f ca="1">IFERROR(__xludf.DUMMYFUNCTION("""COMPUTED_VALUE"""),2019)</f>
        <v>2019</v>
      </c>
      <c r="F15" s="100" t="str">
        <f ca="1">IFERROR(__xludf.DUMMYFUNCTION("""COMPUTED_VALUE"""),"-")</f>
        <v>-</v>
      </c>
      <c r="G15" s="155" t="str">
        <f ca="1">IFERROR(__xludf.DUMMYFUNCTION("""COMPUTED_VALUE"""),"http://www.riss.kr/link?id=S20703")</f>
        <v>http://www.riss.kr/link?id=S20703</v>
      </c>
      <c r="H15" s="156" t="str">
        <f ca="1">IFERROR(__xludf.DUMMYFUNCTION("""COMPUTED_VALUE"""),"X")</f>
        <v>X</v>
      </c>
    </row>
    <row r="16" spans="1:18" ht="26.25" customHeight="1">
      <c r="A16" s="154">
        <f t="shared" ca="1" si="0"/>
        <v>13</v>
      </c>
      <c r="B16" s="19" t="str">
        <f ca="1">IFERROR(__xludf.DUMMYFUNCTION("""COMPUTED_VALUE"""),"BFT International")</f>
        <v>BFT International</v>
      </c>
      <c r="C16" s="19" t="str">
        <f ca="1">IFERROR(__xludf.DUMMYFUNCTION("""COMPUTED_VALUE"""),"Bauverlag BV GmbH")</f>
        <v>Bauverlag BV GmbH</v>
      </c>
      <c r="D16" s="100" t="str">
        <f ca="1">IFERROR(__xludf.DUMMYFUNCTION("""COMPUTED_VALUE"""),"0373-4331")</f>
        <v>0373-4331</v>
      </c>
      <c r="E16" s="19" t="str">
        <f ca="1">IFERROR(__xludf.DUMMYFUNCTION("""COMPUTED_VALUE"""),"2010-2019")</f>
        <v>2010-2019</v>
      </c>
      <c r="F16" s="100" t="str">
        <f ca="1">IFERROR(__xludf.DUMMYFUNCTION("""COMPUTED_VALUE"""),"SCOPUS")</f>
        <v>SCOPUS</v>
      </c>
      <c r="G16" s="155" t="str">
        <f ca="1">IFERROR(__xludf.DUMMYFUNCTION("""COMPUTED_VALUE"""),"http://www.riss.kr/link?id=S407073")</f>
        <v>http://www.riss.kr/link?id=S407073</v>
      </c>
      <c r="H16" s="156" t="str">
        <f ca="1">IFERROR(__xludf.DUMMYFUNCTION("""COMPUTED_VALUE"""),"X")</f>
        <v>X</v>
      </c>
    </row>
    <row r="17" spans="1:8" ht="26.25" customHeight="1">
      <c r="A17" s="154">
        <f t="shared" ca="1" si="0"/>
        <v>14</v>
      </c>
      <c r="B17" s="19" t="str">
        <f ca="1">IFERROR(__xludf.DUMMYFUNCTION("""COMPUTED_VALUE"""),"Building Simulation")</f>
        <v>Building Simulation</v>
      </c>
      <c r="C17" s="19" t="str">
        <f ca="1">IFERROR(__xludf.DUMMYFUNCTION("""COMPUTED_VALUE"""),"Tsinghua University Press")</f>
        <v>Tsinghua University Press</v>
      </c>
      <c r="D17" s="100" t="str">
        <f ca="1">IFERROR(__xludf.DUMMYFUNCTION("""COMPUTED_VALUE"""),"1996-3599")</f>
        <v>1996-3599</v>
      </c>
      <c r="E17" s="19" t="str">
        <f ca="1">IFERROR(__xludf.DUMMYFUNCTION("""COMPUTED_VALUE"""),"2012, 2013")</f>
        <v>2012, 2013</v>
      </c>
      <c r="F17" s="100" t="str">
        <f ca="1">IFERROR(__xludf.DUMMYFUNCTION("""COMPUTED_VALUE"""),"SCIE, SCOPUS")</f>
        <v>SCIE, SCOPUS</v>
      </c>
      <c r="G17" s="155" t="str">
        <f ca="1">IFERROR(__xludf.DUMMYFUNCTION("""COMPUTED_VALUE"""),"http://www.riss.kr/link?id=S31024384")</f>
        <v>http://www.riss.kr/link?id=S31024384</v>
      </c>
      <c r="H17" s="156" t="str">
        <f ca="1">IFERROR(__xludf.DUMMYFUNCTION("""COMPUTED_VALUE"""),"X")</f>
        <v>X</v>
      </c>
    </row>
    <row r="18" spans="1:8" ht="26.25" customHeight="1">
      <c r="A18" s="154">
        <f t="shared" ca="1" si="0"/>
        <v>15</v>
      </c>
      <c r="B18" s="19" t="str">
        <f ca="1">IFERROR(__xludf.DUMMYFUNCTION("""COMPUTED_VALUE"""),"Built Environment")</f>
        <v>Built Environment</v>
      </c>
      <c r="C18" s="19" t="str">
        <f ca="1">IFERROR(__xludf.DUMMYFUNCTION("""COMPUTED_VALUE"""),"Alexandrine Press")</f>
        <v>Alexandrine Press</v>
      </c>
      <c r="D18" s="100" t="str">
        <f ca="1">IFERROR(__xludf.DUMMYFUNCTION("""COMPUTED_VALUE"""),"0263-7960")</f>
        <v>0263-7960</v>
      </c>
      <c r="E18" s="19" t="str">
        <f ca="1">IFERROR(__xludf.DUMMYFUNCTION("""COMPUTED_VALUE"""),"2010-2021")</f>
        <v>2010-2021</v>
      </c>
      <c r="F18" s="100" t="str">
        <f ca="1">IFERROR(__xludf.DUMMYFUNCTION("""COMPUTED_VALUE"""),"SCOPUS")</f>
        <v>SCOPUS</v>
      </c>
      <c r="G18" s="155" t="str">
        <f ca="1">IFERROR(__xludf.DUMMYFUNCTION("""COMPUTED_VALUE"""),"http://www.riss.kr/link?id=S24636")</f>
        <v>http://www.riss.kr/link?id=S24636</v>
      </c>
      <c r="H18" s="156" t="str">
        <f ca="1">IFERROR(__xludf.DUMMYFUNCTION("""COMPUTED_VALUE"""),"O")</f>
        <v>O</v>
      </c>
    </row>
    <row r="19" spans="1:8" ht="26.25" customHeight="1">
      <c r="A19" s="154">
        <f t="shared" ca="1" si="0"/>
        <v>16</v>
      </c>
      <c r="B19" s="19" t="str">
        <f ca="1">IFERROR(__xludf.DUMMYFUNCTION("""COMPUTED_VALUE"""),"Canadian Journal of Civil Engineering")</f>
        <v>Canadian Journal of Civil Engineering</v>
      </c>
      <c r="C19" s="19" t="str">
        <f ca="1">IFERROR(__xludf.DUMMYFUNCTION("""COMPUTED_VALUE"""),"Canadian Science Publishing")</f>
        <v>Canadian Science Publishing</v>
      </c>
      <c r="D19" s="100" t="str">
        <f ca="1">IFERROR(__xludf.DUMMYFUNCTION("""COMPUTED_VALUE"""),"0315-1468")</f>
        <v>0315-1468</v>
      </c>
      <c r="E19" s="19" t="str">
        <f ca="1">IFERROR(__xludf.DUMMYFUNCTION("""COMPUTED_VALUE"""),"2010-2021")</f>
        <v>2010-2021</v>
      </c>
      <c r="F19" s="100" t="str">
        <f ca="1">IFERROR(__xludf.DUMMYFUNCTION("""COMPUTED_VALUE"""),"SCIE, SCOPUS")</f>
        <v>SCIE, SCOPUS</v>
      </c>
      <c r="G19" s="155" t="str">
        <f ca="1">IFERROR(__xludf.DUMMYFUNCTION("""COMPUTED_VALUE"""),"http://www.riss.kr/link?id=S28294")</f>
        <v>http://www.riss.kr/link?id=S28294</v>
      </c>
      <c r="H19" s="156" t="str">
        <f ca="1">IFERROR(__xludf.DUMMYFUNCTION("""COMPUTED_VALUE"""),"O")</f>
        <v>O</v>
      </c>
    </row>
    <row r="20" spans="1:8" ht="26.25" customHeight="1">
      <c r="A20" s="154">
        <f t="shared" ca="1" si="0"/>
        <v>17</v>
      </c>
      <c r="B20" s="19" t="str">
        <f ca="1">IFERROR(__xludf.DUMMYFUNCTION("""COMPUTED_VALUE"""),"Civil Engineering")</f>
        <v>Civil Engineering</v>
      </c>
      <c r="C20" s="19" t="str">
        <f ca="1">IFERROR(__xludf.DUMMYFUNCTION("""COMPUTED_VALUE"""),"American Society of Civil Engineers")</f>
        <v>American Society of Civil Engineers</v>
      </c>
      <c r="D20" s="100" t="str">
        <f ca="1">IFERROR(__xludf.DUMMYFUNCTION("""COMPUTED_VALUE"""),"0885-7024")</f>
        <v>0885-7024</v>
      </c>
      <c r="E20" s="19" t="str">
        <f ca="1">IFERROR(__xludf.DUMMYFUNCTION("""COMPUTED_VALUE"""),"1996, 2013")</f>
        <v>1996, 2013</v>
      </c>
      <c r="F20" s="100" t="str">
        <f ca="1">IFERROR(__xludf.DUMMYFUNCTION("""COMPUTED_VALUE"""),"SCIE")</f>
        <v>SCIE</v>
      </c>
      <c r="G20" s="155" t="str">
        <f ca="1">IFERROR(__xludf.DUMMYFUNCTION("""COMPUTED_VALUE"""),"http://www.riss.kr/link?id=S414978")</f>
        <v>http://www.riss.kr/link?id=S414978</v>
      </c>
      <c r="H20" s="156" t="str">
        <f ca="1">IFERROR(__xludf.DUMMYFUNCTION("""COMPUTED_VALUE"""),"X")</f>
        <v>X</v>
      </c>
    </row>
    <row r="21" spans="1:8" ht="26.25" customHeight="1">
      <c r="A21" s="154">
        <f t="shared" ca="1" si="0"/>
        <v>18</v>
      </c>
      <c r="B21" s="19" t="str">
        <f ca="1">IFERROR(__xludf.DUMMYFUNCTION("""COMPUTED_VALUE"""),"Civil Engineering and Environmental Systems")</f>
        <v>Civil Engineering and Environmental Systems</v>
      </c>
      <c r="C21" s="19" t="str">
        <f ca="1">IFERROR(__xludf.DUMMYFUNCTION("""COMPUTED_VALUE"""),"Taylor &amp; Francis")</f>
        <v>Taylor &amp; Francis</v>
      </c>
      <c r="D21" s="100" t="str">
        <f ca="1">IFERROR(__xludf.DUMMYFUNCTION("""COMPUTED_VALUE"""),"1028-6608")</f>
        <v>1028-6608</v>
      </c>
      <c r="E21" s="19" t="str">
        <f ca="1">IFERROR(__xludf.DUMMYFUNCTION("""COMPUTED_VALUE"""),"2010-2019")</f>
        <v>2010-2019</v>
      </c>
      <c r="F21" s="100" t="str">
        <f ca="1">IFERROR(__xludf.DUMMYFUNCTION("""COMPUTED_VALUE"""),"SCIE, SCOPUS")</f>
        <v>SCIE, SCOPUS</v>
      </c>
      <c r="G21" s="155" t="str">
        <f ca="1">IFERROR(__xludf.DUMMYFUNCTION("""COMPUTED_VALUE"""),"http://www.riss.kr/link?id=S416689")</f>
        <v>http://www.riss.kr/link?id=S416689</v>
      </c>
      <c r="H21" s="156" t="str">
        <f ca="1">IFERROR(__xludf.DUMMYFUNCTION("""COMPUTED_VALUE"""),"X")</f>
        <v>X</v>
      </c>
    </row>
    <row r="22" spans="1:8" ht="26.25" customHeight="1">
      <c r="A22" s="154">
        <f t="shared" ca="1" si="0"/>
        <v>19</v>
      </c>
      <c r="B22" s="19" t="str">
        <f ca="1">IFERROR(__xludf.DUMMYFUNCTION("""COMPUTED_VALUE"""),"Concrete")</f>
        <v>Concrete</v>
      </c>
      <c r="C22" s="19" t="str">
        <f ca="1">IFERROR(__xludf.DUMMYFUNCTION("""COMPUTED_VALUE"""),"The Concrete Society")</f>
        <v>The Concrete Society</v>
      </c>
      <c r="D22" s="100" t="str">
        <f ca="1">IFERROR(__xludf.DUMMYFUNCTION("""COMPUTED_VALUE"""),"0010-5317")</f>
        <v>0010-5317</v>
      </c>
      <c r="E22" s="19" t="str">
        <f ca="1">IFERROR(__xludf.DUMMYFUNCTION("""COMPUTED_VALUE"""),"2010-2019")</f>
        <v>2010-2019</v>
      </c>
      <c r="F22" s="100" t="str">
        <f ca="1">IFERROR(__xludf.DUMMYFUNCTION("""COMPUTED_VALUE"""),"-")</f>
        <v>-</v>
      </c>
      <c r="G22" s="155" t="str">
        <f ca="1">IFERROR(__xludf.DUMMYFUNCTION("""COMPUTED_VALUE"""),"http://www.riss.kr/link?id=S30341")</f>
        <v>http://www.riss.kr/link?id=S30341</v>
      </c>
      <c r="H22" s="156" t="str">
        <f ca="1">IFERROR(__xludf.DUMMYFUNCTION("""COMPUTED_VALUE"""),"X")</f>
        <v>X</v>
      </c>
    </row>
    <row r="23" spans="1:8" ht="26.25" customHeight="1">
      <c r="A23" s="154">
        <f t="shared" ca="1" si="0"/>
        <v>20</v>
      </c>
      <c r="B23" s="19" t="str">
        <f ca="1">IFERROR(__xludf.DUMMYFUNCTION("""COMPUTED_VALUE"""),"Concrete International")</f>
        <v>Concrete International</v>
      </c>
      <c r="C23" s="19" t="str">
        <f ca="1">IFERROR(__xludf.DUMMYFUNCTION("""COMPUTED_VALUE"""),"American Concrete Institute")</f>
        <v>American Concrete Institute</v>
      </c>
      <c r="D23" s="100" t="str">
        <f ca="1">IFERROR(__xludf.DUMMYFUNCTION("""COMPUTED_VALUE"""),"0162-4075")</f>
        <v>0162-4075</v>
      </c>
      <c r="E23" s="19" t="str">
        <f ca="1">IFERROR(__xludf.DUMMYFUNCTION("""COMPUTED_VALUE"""),"1995-2021")</f>
        <v>1995-2021</v>
      </c>
      <c r="F23" s="100" t="str">
        <f ca="1">IFERROR(__xludf.DUMMYFUNCTION("""COMPUTED_VALUE"""),"-")</f>
        <v>-</v>
      </c>
      <c r="G23" s="155" t="str">
        <f ca="1">IFERROR(__xludf.DUMMYFUNCTION("""COMPUTED_VALUE"""),"http://www.riss.kr/link?id=S12733")</f>
        <v>http://www.riss.kr/link?id=S12733</v>
      </c>
      <c r="H23" s="156" t="str">
        <f ca="1">IFERROR(__xludf.DUMMYFUNCTION("""COMPUTED_VALUE"""),"O")</f>
        <v>O</v>
      </c>
    </row>
    <row r="24" spans="1:8" ht="26.25" customHeight="1">
      <c r="A24" s="154">
        <f t="shared" ca="1" si="0"/>
        <v>21</v>
      </c>
      <c r="B24" s="19" t="str">
        <f ca="1">IFERROR(__xludf.DUMMYFUNCTION("""COMPUTED_VALUE"""),"Construction Management and Economics")</f>
        <v>Construction Management and Economics</v>
      </c>
      <c r="C24" s="19" t="str">
        <f ca="1">IFERROR(__xludf.DUMMYFUNCTION("""COMPUTED_VALUE"""),"Routledge")</f>
        <v>Routledge</v>
      </c>
      <c r="D24" s="100" t="str">
        <f ca="1">IFERROR(__xludf.DUMMYFUNCTION("""COMPUTED_VALUE"""),"0144-6193")</f>
        <v>0144-6193</v>
      </c>
      <c r="E24" s="19" t="str">
        <f ca="1">IFERROR(__xludf.DUMMYFUNCTION("""COMPUTED_VALUE"""),"2010-2017")</f>
        <v>2010-2017</v>
      </c>
      <c r="F24" s="100" t="str">
        <f ca="1">IFERROR(__xludf.DUMMYFUNCTION("""COMPUTED_VALUE"""),"ESCI, SCOPUS")</f>
        <v>ESCI, SCOPUS</v>
      </c>
      <c r="G24" s="155" t="str">
        <f ca="1">IFERROR(__xludf.DUMMYFUNCTION("""COMPUTED_VALUE"""),"http://www.riss.kr/link?id=S410926")</f>
        <v>http://www.riss.kr/link?id=S410926</v>
      </c>
      <c r="H24" s="156" t="str">
        <f ca="1">IFERROR(__xludf.DUMMYFUNCTION("""COMPUTED_VALUE"""),"X")</f>
        <v>X</v>
      </c>
    </row>
    <row r="25" spans="1:8" ht="26.25" customHeight="1">
      <c r="A25" s="154">
        <f t="shared" ca="1" si="0"/>
        <v>22</v>
      </c>
      <c r="B25" s="19" t="str">
        <f ca="1">IFERROR(__xludf.DUMMYFUNCTION("""COMPUTED_VALUE"""),"Construction Manager")</f>
        <v>Construction Manager</v>
      </c>
      <c r="C25" s="19" t="str">
        <f ca="1">IFERROR(__xludf.DUMMYFUNCTION("""COMPUTED_VALUE"""),"Atom Publishing")</f>
        <v>Atom Publishing</v>
      </c>
      <c r="D25" s="100" t="str">
        <f ca="1">IFERROR(__xludf.DUMMYFUNCTION("""COMPUTED_VALUE"""),"1360-3566")</f>
        <v>1360-3566</v>
      </c>
      <c r="E25" s="19" t="str">
        <f ca="1">IFERROR(__xludf.DUMMYFUNCTION("""COMPUTED_VALUE"""),"2010-2019")</f>
        <v>2010-2019</v>
      </c>
      <c r="F25" s="100" t="str">
        <f ca="1">IFERROR(__xludf.DUMMYFUNCTION("""COMPUTED_VALUE"""),"-")</f>
        <v>-</v>
      </c>
      <c r="G25" s="155" t="str">
        <f ca="1">IFERROR(__xludf.DUMMYFUNCTION("""COMPUTED_VALUE"""),"http://www.riss.kr/link?id=S11575588")</f>
        <v>http://www.riss.kr/link?id=S11575588</v>
      </c>
      <c r="H25" s="156" t="str">
        <f ca="1">IFERROR(__xludf.DUMMYFUNCTION("""COMPUTED_VALUE"""),"X")</f>
        <v>X</v>
      </c>
    </row>
    <row r="26" spans="1:8" ht="26.25" customHeight="1">
      <c r="A26" s="154">
        <f t="shared" ca="1" si="0"/>
        <v>23</v>
      </c>
      <c r="B26" s="19" t="str">
        <f ca="1">IFERROR(__xludf.DUMMYFUNCTION("""COMPUTED_VALUE"""),"Constructor")</f>
        <v>Constructor</v>
      </c>
      <c r="C26" s="19" t="str">
        <f ca="1">IFERROR(__xludf.DUMMYFUNCTION("""COMPUTED_VALUE"""),"Associated General Contractors of America")</f>
        <v>Associated General Contractors of America</v>
      </c>
      <c r="D26" s="20" t="str">
        <f ca="1">IFERROR(__xludf.DUMMYFUNCTION("""COMPUTED_VALUE"""),"0162-6191")</f>
        <v>0162-6191</v>
      </c>
      <c r="E26" s="32" t="str">
        <f ca="1">IFERROR(__xludf.DUMMYFUNCTION("""COMPUTED_VALUE"""),"2010-2019")</f>
        <v>2010-2019</v>
      </c>
      <c r="F26" s="43" t="str">
        <f ca="1">IFERROR(__xludf.DUMMYFUNCTION("""COMPUTED_VALUE"""),"-")</f>
        <v>-</v>
      </c>
      <c r="G26" s="157" t="str">
        <f ca="1">IFERROR(__xludf.DUMMYFUNCTION("""COMPUTED_VALUE"""),"http://www.riss.kr/link?id=S408343")</f>
        <v>http://www.riss.kr/link?id=S408343</v>
      </c>
      <c r="H26" s="24" t="str">
        <f ca="1">IFERROR(__xludf.DUMMYFUNCTION("""COMPUTED_VALUE"""),"X")</f>
        <v>X</v>
      </c>
    </row>
    <row r="27" spans="1:8" ht="26.25" customHeight="1">
      <c r="A27" s="154">
        <f t="shared" ca="1" si="0"/>
        <v>24</v>
      </c>
      <c r="B27" s="19" t="str">
        <f ca="1">IFERROR(__xludf.DUMMYFUNCTION("""COMPUTED_VALUE"""),"Detail")</f>
        <v>Detail</v>
      </c>
      <c r="C27" s="19" t="str">
        <f ca="1">IFERROR(__xludf.DUMMYFUNCTION("""COMPUTED_VALUE"""),"DETAIL Business Information GmbH")</f>
        <v>DETAIL Business Information GmbH</v>
      </c>
      <c r="D27" s="20" t="str">
        <f ca="1">IFERROR(__xludf.DUMMYFUNCTION("""COMPUTED_VALUE"""),"0011-9571")</f>
        <v>0011-9571</v>
      </c>
      <c r="E27" s="32" t="str">
        <f ca="1">IFERROR(__xludf.DUMMYFUNCTION("""COMPUTED_VALUE"""),"2010-2021")</f>
        <v>2010-2021</v>
      </c>
      <c r="F27" s="43" t="str">
        <f ca="1">IFERROR(__xludf.DUMMYFUNCTION("""COMPUTED_VALUE"""),"-")</f>
        <v>-</v>
      </c>
      <c r="G27" s="157" t="str">
        <f ca="1">IFERROR(__xludf.DUMMYFUNCTION("""COMPUTED_VALUE"""),"http://www.riss.kr/link?id=S61578")</f>
        <v>http://www.riss.kr/link?id=S61578</v>
      </c>
      <c r="H27" s="24" t="str">
        <f ca="1">IFERROR(__xludf.DUMMYFUNCTION("""COMPUTED_VALUE"""),"O")</f>
        <v>O</v>
      </c>
    </row>
    <row r="28" spans="1:8" ht="26.25" customHeight="1">
      <c r="A28" s="154">
        <f t="shared" ca="1" si="0"/>
        <v>25</v>
      </c>
      <c r="B28" s="19" t="str">
        <f ca="1">IFERROR(__xludf.DUMMYFUNCTION("""COMPUTED_VALUE"""),"Domus")</f>
        <v>Domus</v>
      </c>
      <c r="C28" s="19" t="str">
        <f ca="1">IFERROR(__xludf.DUMMYFUNCTION("""COMPUTED_VALUE"""),"Editoriale Domus")</f>
        <v>Editoriale Domus</v>
      </c>
      <c r="D28" s="20" t="str">
        <f ca="1">IFERROR(__xludf.DUMMYFUNCTION("""COMPUTED_VALUE"""),"0012-5377")</f>
        <v>0012-5377</v>
      </c>
      <c r="E28" s="32" t="str">
        <f ca="1">IFERROR(__xludf.DUMMYFUNCTION("""COMPUTED_VALUE"""),"1992-1994, 1996-2021")</f>
        <v>1992-1994, 1996-2021</v>
      </c>
      <c r="F28" s="43" t="str">
        <f ca="1">IFERROR(__xludf.DUMMYFUNCTION("""COMPUTED_VALUE"""),"-")</f>
        <v>-</v>
      </c>
      <c r="G28" s="157" t="str">
        <f ca="1">IFERROR(__xludf.DUMMYFUNCTION("""COMPUTED_VALUE"""),"http://www.riss.kr/link?id=S15418")</f>
        <v>http://www.riss.kr/link?id=S15418</v>
      </c>
      <c r="H28" s="24" t="str">
        <f ca="1">IFERROR(__xludf.DUMMYFUNCTION("""COMPUTED_VALUE"""),"O")</f>
        <v>O</v>
      </c>
    </row>
    <row r="29" spans="1:8" ht="26.25" customHeight="1">
      <c r="A29" s="154">
        <f t="shared" ca="1" si="0"/>
        <v>26</v>
      </c>
      <c r="B29" s="19" t="str">
        <f ca="1">IFERROR(__xludf.DUMMYFUNCTION("""COMPUTED_VALUE"""),"El Croquis")</f>
        <v>El Croquis</v>
      </c>
      <c r="C29" s="19" t="str">
        <f ca="1">IFERROR(__xludf.DUMMYFUNCTION("""COMPUTED_VALUE"""),"El Croquis Editorial")</f>
        <v>El Croquis Editorial</v>
      </c>
      <c r="D29" s="20" t="str">
        <f ca="1">IFERROR(__xludf.DUMMYFUNCTION("""COMPUTED_VALUE"""),"0212-5633")</f>
        <v>0212-5633</v>
      </c>
      <c r="E29" s="32" t="str">
        <f ca="1">IFERROR(__xludf.DUMMYFUNCTION("""COMPUTED_VALUE"""),"2010-2021")</f>
        <v>2010-2021</v>
      </c>
      <c r="F29" s="43" t="str">
        <f ca="1">IFERROR(__xludf.DUMMYFUNCTION("""COMPUTED_VALUE"""),"-")</f>
        <v>-</v>
      </c>
      <c r="G29" s="157" t="str">
        <f ca="1">IFERROR(__xludf.DUMMYFUNCTION("""COMPUTED_VALUE"""),"http://www.riss.kr/link?id=S7094")</f>
        <v>http://www.riss.kr/link?id=S7094</v>
      </c>
      <c r="H29" s="24" t="str">
        <f ca="1">IFERROR(__xludf.DUMMYFUNCTION("""COMPUTED_VALUE"""),"O")</f>
        <v>O</v>
      </c>
    </row>
    <row r="30" spans="1:8" ht="26.25" customHeight="1">
      <c r="A30" s="154">
        <f t="shared" ca="1" si="0"/>
        <v>27</v>
      </c>
      <c r="B30" s="19" t="str">
        <f ca="1">IFERROR(__xludf.DUMMYFUNCTION("""COMPUTED_VALUE"""),"Engineering Journal")</f>
        <v>Engineering Journal</v>
      </c>
      <c r="C30" s="19" t="str">
        <f ca="1">IFERROR(__xludf.DUMMYFUNCTION("""COMPUTED_VALUE"""),"American Institute of Steel Construction")</f>
        <v>American Institute of Steel Construction</v>
      </c>
      <c r="D30" s="20" t="str">
        <f ca="1">IFERROR(__xludf.DUMMYFUNCTION("""COMPUTED_VALUE"""),"0013-8029")</f>
        <v>0013-8029</v>
      </c>
      <c r="E30" s="32" t="str">
        <f ca="1">IFERROR(__xludf.DUMMYFUNCTION("""COMPUTED_VALUE"""),"2010-2012")</f>
        <v>2010-2012</v>
      </c>
      <c r="F30" s="43" t="str">
        <f ca="1">IFERROR(__xludf.DUMMYFUNCTION("""COMPUTED_VALUE"""),"SCIE, SCOPUS")</f>
        <v>SCIE, SCOPUS</v>
      </c>
      <c r="G30" s="157" t="str">
        <f ca="1">IFERROR(__xludf.DUMMYFUNCTION("""COMPUTED_VALUE"""),"http://www.riss.kr/link?id=S13454")</f>
        <v>http://www.riss.kr/link?id=S13454</v>
      </c>
      <c r="H30" s="24" t="str">
        <f ca="1">IFERROR(__xludf.DUMMYFUNCTION("""COMPUTED_VALUE"""),"X")</f>
        <v>X</v>
      </c>
    </row>
    <row r="31" spans="1:8" ht="26.25" customHeight="1">
      <c r="A31" s="154">
        <f t="shared" ca="1" si="0"/>
        <v>28</v>
      </c>
      <c r="B31" s="19" t="str">
        <f ca="1">IFERROR(__xludf.DUMMYFUNCTION("""COMPUTED_VALUE"""),"GA Document")</f>
        <v>GA Document</v>
      </c>
      <c r="C31" s="19" t="str">
        <f ca="1">IFERROR(__xludf.DUMMYFUNCTION("""COMPUTED_VALUE"""),"A.D.A. Edita")</f>
        <v>A.D.A. Edita</v>
      </c>
      <c r="D31" s="20" t="str">
        <f ca="1">IFERROR(__xludf.DUMMYFUNCTION("""COMPUTED_VALUE"""),"0389-0066")</f>
        <v>0389-0066</v>
      </c>
      <c r="E31" s="32" t="str">
        <f ca="1">IFERROR(__xludf.DUMMYFUNCTION("""COMPUTED_VALUE"""),"2010-2021")</f>
        <v>2010-2021</v>
      </c>
      <c r="F31" s="43" t="str">
        <f ca="1">IFERROR(__xludf.DUMMYFUNCTION("""COMPUTED_VALUE"""),"-")</f>
        <v>-</v>
      </c>
      <c r="G31" s="157" t="str">
        <f ca="1">IFERROR(__xludf.DUMMYFUNCTION("""COMPUTED_VALUE"""),"http://www.riss.kr/link?id=S36561")</f>
        <v>http://www.riss.kr/link?id=S36561</v>
      </c>
      <c r="H31" s="24" t="str">
        <f ca="1">IFERROR(__xludf.DUMMYFUNCTION("""COMPUTED_VALUE"""),"O")</f>
        <v>O</v>
      </c>
    </row>
    <row r="32" spans="1:8" ht="26.25" customHeight="1">
      <c r="A32" s="154">
        <f t="shared" ca="1" si="0"/>
        <v>29</v>
      </c>
      <c r="B32" s="19" t="str">
        <f ca="1">IFERROR(__xludf.DUMMYFUNCTION("""COMPUTED_VALUE"""),"Geotechnical Testing Journal")</f>
        <v>Geotechnical Testing Journal</v>
      </c>
      <c r="C32" s="19" t="str">
        <f ca="1">IFERROR(__xludf.DUMMYFUNCTION("""COMPUTED_VALUE"""),"American Society for Testing and Materials International")</f>
        <v>American Society for Testing and Materials International</v>
      </c>
      <c r="D32" s="20" t="str">
        <f ca="1">IFERROR(__xludf.DUMMYFUNCTION("""COMPUTED_VALUE"""),"0149-6115")</f>
        <v>0149-6115</v>
      </c>
      <c r="E32" s="32" t="str">
        <f ca="1">IFERROR(__xludf.DUMMYFUNCTION("""COMPUTED_VALUE"""),"2017-2018")</f>
        <v>2017-2018</v>
      </c>
      <c r="F32" s="43" t="str">
        <f ca="1">IFERROR(__xludf.DUMMYFUNCTION("""COMPUTED_VALUE"""),"SCIE, SCOPUS")</f>
        <v>SCIE, SCOPUS</v>
      </c>
      <c r="G32" s="157" t="str">
        <f ca="1">IFERROR(__xludf.DUMMYFUNCTION("""COMPUTED_VALUE"""),"http://www.riss.kr/link?id=S16196")</f>
        <v>http://www.riss.kr/link?id=S16196</v>
      </c>
      <c r="H32" s="24" t="str">
        <f ca="1">IFERROR(__xludf.DUMMYFUNCTION("""COMPUTED_VALUE"""),"X")</f>
        <v>X</v>
      </c>
    </row>
    <row r="33" spans="1:8" ht="26.25" customHeight="1">
      <c r="A33" s="154">
        <f t="shared" ca="1" si="0"/>
        <v>30</v>
      </c>
      <c r="B33" s="19" t="str">
        <f ca="1">IFERROR(__xludf.DUMMYFUNCTION("""COMPUTED_VALUE"""),"Geotechnique")</f>
        <v>Geotechnique</v>
      </c>
      <c r="C33" s="19" t="str">
        <f ca="1">IFERROR(__xludf.DUMMYFUNCTION("""COMPUTED_VALUE"""),"I C E Publishing")</f>
        <v>I C E Publishing</v>
      </c>
      <c r="D33" s="20" t="str">
        <f ca="1">IFERROR(__xludf.DUMMYFUNCTION("""COMPUTED_VALUE"""),"0016-8505")</f>
        <v>0016-8505</v>
      </c>
      <c r="E33" s="32" t="str">
        <f ca="1">IFERROR(__xludf.DUMMYFUNCTION("""COMPUTED_VALUE"""),"1950-1952, 1954-1959, 1970-2021")</f>
        <v>1950-1952, 1954-1959, 1970-2021</v>
      </c>
      <c r="F33" s="43" t="str">
        <f ca="1">IFERROR(__xludf.DUMMYFUNCTION("""COMPUTED_VALUE"""),"SCIE, SCOPUS")</f>
        <v>SCIE, SCOPUS</v>
      </c>
      <c r="G33" s="157" t="str">
        <f ca="1">IFERROR(__xludf.DUMMYFUNCTION("""COMPUTED_VALUE"""),"http://www.riss.kr/link?id=S92049")</f>
        <v>http://www.riss.kr/link?id=S92049</v>
      </c>
      <c r="H33" s="24" t="str">
        <f ca="1">IFERROR(__xludf.DUMMYFUNCTION("""COMPUTED_VALUE"""),"O")</f>
        <v>O</v>
      </c>
    </row>
    <row r="34" spans="1:8" ht="26.25" customHeight="1">
      <c r="A34" s="154">
        <f t="shared" ca="1" si="0"/>
        <v>31</v>
      </c>
      <c r="B34" s="19" t="str">
        <f ca="1">IFERROR(__xludf.DUMMYFUNCTION("""COMPUTED_VALUE"""),"Ground Engineering")</f>
        <v>Ground Engineering</v>
      </c>
      <c r="C34" s="19" t="str">
        <f ca="1">IFERROR(__xludf.DUMMYFUNCTION("""COMPUTED_VALUE"""),"Foundation Publications")</f>
        <v>Foundation Publications</v>
      </c>
      <c r="D34" s="20" t="str">
        <f ca="1">IFERROR(__xludf.DUMMYFUNCTION("""COMPUTED_VALUE"""),"0017-4653")</f>
        <v>0017-4653</v>
      </c>
      <c r="E34" s="32" t="str">
        <f ca="1">IFERROR(__xludf.DUMMYFUNCTION("""COMPUTED_VALUE"""),"2010-2019")</f>
        <v>2010-2019</v>
      </c>
      <c r="F34" s="43" t="str">
        <f ca="1">IFERROR(__xludf.DUMMYFUNCTION("""COMPUTED_VALUE"""),"-")</f>
        <v>-</v>
      </c>
      <c r="G34" s="157" t="str">
        <f ca="1">IFERROR(__xludf.DUMMYFUNCTION("""COMPUTED_VALUE"""),"http://www.riss.kr/link?id=S31157")</f>
        <v>http://www.riss.kr/link?id=S31157</v>
      </c>
      <c r="H34" s="24" t="str">
        <f ca="1">IFERROR(__xludf.DUMMYFUNCTION("""COMPUTED_VALUE"""),"X")</f>
        <v>X</v>
      </c>
    </row>
    <row r="35" spans="1:8" ht="26.25" customHeight="1">
      <c r="A35" s="154">
        <f t="shared" ca="1" si="0"/>
        <v>32</v>
      </c>
      <c r="B35" s="19" t="str">
        <f ca="1">IFERROR(__xludf.DUMMYFUNCTION("""COMPUTED_VALUE"""),"International Journal of Refrigeration")</f>
        <v>International Journal of Refrigeration</v>
      </c>
      <c r="C35" s="19" t="str">
        <f ca="1">IFERROR(__xludf.DUMMYFUNCTION("""COMPUTED_VALUE"""),"Elsevier Ltd")</f>
        <v>Elsevier Ltd</v>
      </c>
      <c r="D35" s="20" t="str">
        <f ca="1">IFERROR(__xludf.DUMMYFUNCTION("""COMPUTED_VALUE"""),"0140-7007")</f>
        <v>0140-7007</v>
      </c>
      <c r="E35" s="32" t="str">
        <f ca="1">IFERROR(__xludf.DUMMYFUNCTION("""COMPUTED_VALUE"""),"1991-1993, 1995-2004")</f>
        <v>1991-1993, 1995-2004</v>
      </c>
      <c r="F35" s="43" t="str">
        <f ca="1">IFERROR(__xludf.DUMMYFUNCTION("""COMPUTED_VALUE"""),"SCIE, SCOPUS")</f>
        <v>SCIE, SCOPUS</v>
      </c>
      <c r="G35" s="157" t="str">
        <f ca="1">IFERROR(__xludf.DUMMYFUNCTION("""COMPUTED_VALUE"""),"http://www.riss.kr/link?id=S60845")</f>
        <v>http://www.riss.kr/link?id=S60845</v>
      </c>
      <c r="H35" s="24" t="str">
        <f ca="1">IFERROR(__xludf.DUMMYFUNCTION("""COMPUTED_VALUE"""),"X")</f>
        <v>X</v>
      </c>
    </row>
    <row r="36" spans="1:8" ht="26.25" customHeight="1">
      <c r="A36" s="154">
        <f t="shared" ca="1" si="0"/>
        <v>33</v>
      </c>
      <c r="B36" s="19" t="str">
        <f ca="1">IFERROR(__xludf.DUMMYFUNCTION("""COMPUTED_VALUE"""),"International Journal of Ventilation")</f>
        <v>International Journal of Ventilation</v>
      </c>
      <c r="C36" s="19" t="str">
        <f ca="1">IFERROR(__xludf.DUMMYFUNCTION("""COMPUTED_VALUE"""),"Taylor &amp; Francis")</f>
        <v>Taylor &amp; Francis</v>
      </c>
      <c r="D36" s="20" t="str">
        <f ca="1">IFERROR(__xludf.DUMMYFUNCTION("""COMPUTED_VALUE"""),"1473-3315")</f>
        <v>1473-3315</v>
      </c>
      <c r="E36" s="32" t="str">
        <f ca="1">IFERROR(__xludf.DUMMYFUNCTION("""COMPUTED_VALUE"""),"2012-2021")</f>
        <v>2012-2021</v>
      </c>
      <c r="F36" s="43" t="str">
        <f ca="1">IFERROR(__xludf.DUMMYFUNCTION("""COMPUTED_VALUE"""),"SCIE, SCOPUS")</f>
        <v>SCIE, SCOPUS</v>
      </c>
      <c r="G36" s="157" t="str">
        <f ca="1">IFERROR(__xludf.DUMMYFUNCTION("""COMPUTED_VALUE"""),"http://www.riss.kr/link?id=S20011127")</f>
        <v>http://www.riss.kr/link?id=S20011127</v>
      </c>
      <c r="H36" s="24" t="str">
        <f ca="1">IFERROR(__xludf.DUMMYFUNCTION("""COMPUTED_VALUE"""),"O")</f>
        <v>O</v>
      </c>
    </row>
    <row r="37" spans="1:8" ht="26.25" customHeight="1">
      <c r="A37" s="154">
        <f t="shared" ca="1" si="0"/>
        <v>34</v>
      </c>
      <c r="B37" s="19" t="str">
        <f ca="1">IFERROR(__xludf.DUMMYFUNCTION("""COMPUTED_VALUE"""),"Journal of Architectural and Planning Research")</f>
        <v>Journal of Architectural and Planning Research</v>
      </c>
      <c r="C37" s="19" t="str">
        <f ca="1">IFERROR(__xludf.DUMMYFUNCTION("""COMPUTED_VALUE"""),"Elsevier Ltd")</f>
        <v>Elsevier Ltd</v>
      </c>
      <c r="D37" s="20" t="str">
        <f ca="1">IFERROR(__xludf.DUMMYFUNCTION("""COMPUTED_VALUE"""),"0738-0895")</f>
        <v>0738-0895</v>
      </c>
      <c r="E37" s="32" t="str">
        <f ca="1">IFERROR(__xludf.DUMMYFUNCTION("""COMPUTED_VALUE"""),"1991-1993, 1996-2019")</f>
        <v>1991-1993, 1996-2019</v>
      </c>
      <c r="F37" s="43" t="str">
        <f ca="1">IFERROR(__xludf.DUMMYFUNCTION("""COMPUTED_VALUE"""),"SSCI")</f>
        <v>SSCI</v>
      </c>
      <c r="G37" s="157" t="str">
        <f ca="1">IFERROR(__xludf.DUMMYFUNCTION("""COMPUTED_VALUE"""),"http://www.riss.kr/link?id=S24546")</f>
        <v>http://www.riss.kr/link?id=S24546</v>
      </c>
      <c r="H37" s="24" t="str">
        <f ca="1">IFERROR(__xludf.DUMMYFUNCTION("""COMPUTED_VALUE"""),"X")</f>
        <v>X</v>
      </c>
    </row>
    <row r="38" spans="1:8" ht="26.25" customHeight="1">
      <c r="A38" s="154">
        <f t="shared" ca="1" si="0"/>
        <v>35</v>
      </c>
      <c r="B38" s="19" t="str">
        <f ca="1">IFERROR(__xludf.DUMMYFUNCTION("""COMPUTED_VALUE"""),"Journal of Asian Architecture and Building Engineering")</f>
        <v>Journal of Asian Architecture and Building Engineering</v>
      </c>
      <c r="C38" s="19" t="str">
        <f ca="1">IFERROR(__xludf.DUMMYFUNCTION("""COMPUTED_VALUE"""),"Architectural Institute of Japan")</f>
        <v>Architectural Institute of Japan</v>
      </c>
      <c r="D38" s="20" t="str">
        <f ca="1">IFERROR(__xludf.DUMMYFUNCTION("""COMPUTED_VALUE"""),"1346-7581")</f>
        <v>1346-7581</v>
      </c>
      <c r="E38" s="32" t="str">
        <f ca="1">IFERROR(__xludf.DUMMYFUNCTION("""COMPUTED_VALUE"""),"2006-2007, 2009")</f>
        <v>2006-2007, 2009</v>
      </c>
      <c r="F38" s="43" t="str">
        <f ca="1">IFERROR(__xludf.DUMMYFUNCTION("""COMPUTED_VALUE"""),"SCIE, AHCI, SCOPUS")</f>
        <v>SCIE, AHCI, SCOPUS</v>
      </c>
      <c r="G38" s="157" t="str">
        <f ca="1">IFERROR(__xludf.DUMMYFUNCTION("""COMPUTED_VALUE"""),"http://www.riss.kr/link?id=S30000647")</f>
        <v>http://www.riss.kr/link?id=S30000647</v>
      </c>
      <c r="H38" s="24" t="str">
        <f ca="1">IFERROR(__xludf.DUMMYFUNCTION("""COMPUTED_VALUE"""),"X")</f>
        <v>X</v>
      </c>
    </row>
    <row r="39" spans="1:8" ht="26.25" customHeight="1">
      <c r="A39" s="154">
        <f t="shared" ca="1" si="0"/>
        <v>36</v>
      </c>
      <c r="B39" s="19" t="str">
        <f ca="1">IFERROR(__xludf.DUMMYFUNCTION("""COMPUTED_VALUE"""),"Journal of Bridge Engineering")</f>
        <v>Journal of Bridge Engineering</v>
      </c>
      <c r="C39" s="19" t="str">
        <f ca="1">IFERROR(__xludf.DUMMYFUNCTION("""COMPUTED_VALUE"""),"American Society of Civil Engineers")</f>
        <v>American Society of Civil Engineers</v>
      </c>
      <c r="D39" s="20" t="str">
        <f ca="1">IFERROR(__xludf.DUMMYFUNCTION("""COMPUTED_VALUE"""),"1084-0702")</f>
        <v>1084-0702</v>
      </c>
      <c r="E39" s="32" t="str">
        <f ca="1">IFERROR(__xludf.DUMMYFUNCTION("""COMPUTED_VALUE"""),"2010-2021")</f>
        <v>2010-2021</v>
      </c>
      <c r="F39" s="43" t="str">
        <f ca="1">IFERROR(__xludf.DUMMYFUNCTION("""COMPUTED_VALUE"""),"SCIE, SCOPUS")</f>
        <v>SCIE, SCOPUS</v>
      </c>
      <c r="G39" s="157" t="str">
        <f ca="1">IFERROR(__xludf.DUMMYFUNCTION("""COMPUTED_VALUE"""),"http://www.riss.kr/link?id=S5079")</f>
        <v>http://www.riss.kr/link?id=S5079</v>
      </c>
      <c r="H39" s="24" t="str">
        <f ca="1">IFERROR(__xludf.DUMMYFUNCTION("""COMPUTED_VALUE"""),"O")</f>
        <v>O</v>
      </c>
    </row>
    <row r="40" spans="1:8" ht="26.25" customHeight="1">
      <c r="A40" s="154">
        <f t="shared" ca="1" si="0"/>
        <v>37</v>
      </c>
      <c r="B40" s="19" t="str">
        <f ca="1">IFERROR(__xludf.DUMMYFUNCTION("""COMPUTED_VALUE"""),"Journal of Cold Regions Engineering")</f>
        <v>Journal of Cold Regions Engineering</v>
      </c>
      <c r="C40" s="19" t="str">
        <f ca="1">IFERROR(__xludf.DUMMYFUNCTION("""COMPUTED_VALUE"""),"American Society of Civil Engineers")</f>
        <v>American Society of Civil Engineers</v>
      </c>
      <c r="D40" s="20" t="str">
        <f ca="1">IFERROR(__xludf.DUMMYFUNCTION("""COMPUTED_VALUE"""),"0887-381X")</f>
        <v>0887-381X</v>
      </c>
      <c r="E40" s="32" t="str">
        <f ca="1">IFERROR(__xludf.DUMMYFUNCTION("""COMPUTED_VALUE"""),"2010-2019")</f>
        <v>2010-2019</v>
      </c>
      <c r="F40" s="43" t="str">
        <f ca="1">IFERROR(__xludf.DUMMYFUNCTION("""COMPUTED_VALUE"""),"SCIE, SCOPUS")</f>
        <v>SCIE, SCOPUS</v>
      </c>
      <c r="G40" s="157" t="str">
        <f ca="1">IFERROR(__xludf.DUMMYFUNCTION("""COMPUTED_VALUE"""),"http://www.riss.kr/link?id=S15021")</f>
        <v>http://www.riss.kr/link?id=S15021</v>
      </c>
      <c r="H40" s="24" t="str">
        <f ca="1">IFERROR(__xludf.DUMMYFUNCTION("""COMPUTED_VALUE"""),"X")</f>
        <v>X</v>
      </c>
    </row>
    <row r="41" spans="1:8" ht="26.25" customHeight="1">
      <c r="A41" s="154">
        <f t="shared" ca="1" si="0"/>
        <v>38</v>
      </c>
      <c r="B41" s="19" t="str">
        <f ca="1">IFERROR(__xludf.DUMMYFUNCTION("""COMPUTED_VALUE"""),"Journal of Composites for Construction")</f>
        <v>Journal of Composites for Construction</v>
      </c>
      <c r="C41" s="19" t="str">
        <f ca="1">IFERROR(__xludf.DUMMYFUNCTION("""COMPUTED_VALUE"""),"American Society of Civil Engineers")</f>
        <v>American Society of Civil Engineers</v>
      </c>
      <c r="D41" s="20" t="str">
        <f ca="1">IFERROR(__xludf.DUMMYFUNCTION("""COMPUTED_VALUE"""),"1090-0268")</f>
        <v>1090-0268</v>
      </c>
      <c r="E41" s="32" t="str">
        <f ca="1">IFERROR(__xludf.DUMMYFUNCTION("""COMPUTED_VALUE"""),"2010-2021")</f>
        <v>2010-2021</v>
      </c>
      <c r="F41" s="43" t="str">
        <f ca="1">IFERROR(__xludf.DUMMYFUNCTION("""COMPUTED_VALUE"""),"SCIE, SCOPUS")</f>
        <v>SCIE, SCOPUS</v>
      </c>
      <c r="G41" s="157" t="str">
        <f ca="1">IFERROR(__xludf.DUMMYFUNCTION("""COMPUTED_VALUE"""),"http://www.riss.kr/link?id=S12566")</f>
        <v>http://www.riss.kr/link?id=S12566</v>
      </c>
      <c r="H41" s="24" t="str">
        <f ca="1">IFERROR(__xludf.DUMMYFUNCTION("""COMPUTED_VALUE"""),"O")</f>
        <v>O</v>
      </c>
    </row>
    <row r="42" spans="1:8" ht="26.25" customHeight="1">
      <c r="A42" s="154">
        <f t="shared" ca="1" si="0"/>
        <v>39</v>
      </c>
      <c r="B42" s="19" t="str">
        <f ca="1">IFERROR(__xludf.DUMMYFUNCTION("""COMPUTED_VALUE"""),"Journal of Construction Engineering and Management")</f>
        <v>Journal of Construction Engineering and Management</v>
      </c>
      <c r="C42" s="19" t="str">
        <f ca="1">IFERROR(__xludf.DUMMYFUNCTION("""COMPUTED_VALUE"""),"American Society of Civil Engineers")</f>
        <v>American Society of Civil Engineers</v>
      </c>
      <c r="D42" s="20" t="str">
        <f ca="1">IFERROR(__xludf.DUMMYFUNCTION("""COMPUTED_VALUE"""),"0733-9364")</f>
        <v>0733-9364</v>
      </c>
      <c r="E42" s="32" t="str">
        <f ca="1">IFERROR(__xludf.DUMMYFUNCTION("""COMPUTED_VALUE"""),"1970-2021")</f>
        <v>1970-2021</v>
      </c>
      <c r="F42" s="43" t="str">
        <f ca="1">IFERROR(__xludf.DUMMYFUNCTION("""COMPUTED_VALUE"""),"SCIE, SCOPUS")</f>
        <v>SCIE, SCOPUS</v>
      </c>
      <c r="G42" s="157" t="str">
        <f ca="1">IFERROR(__xludf.DUMMYFUNCTION("""COMPUTED_VALUE"""),"http://www.riss.kr/link?id=S15476")</f>
        <v>http://www.riss.kr/link?id=S15476</v>
      </c>
      <c r="H42" s="24" t="str">
        <f ca="1">IFERROR(__xludf.DUMMYFUNCTION("""COMPUTED_VALUE"""),"O")</f>
        <v>O</v>
      </c>
    </row>
    <row r="43" spans="1:8" ht="26.25" customHeight="1">
      <c r="A43" s="154">
        <f t="shared" ca="1" si="0"/>
        <v>40</v>
      </c>
      <c r="B43" s="19" t="str">
        <f ca="1">IFERROR(__xludf.DUMMYFUNCTION("""COMPUTED_VALUE"""),"Journal of Geotechnical and Geoenvironmental Engineering")</f>
        <v>Journal of Geotechnical and Geoenvironmental Engineering</v>
      </c>
      <c r="C43" s="19" t="str">
        <f ca="1">IFERROR(__xludf.DUMMYFUNCTION("""COMPUTED_VALUE"""),"American Society of Civil Engineers")</f>
        <v>American Society of Civil Engineers</v>
      </c>
      <c r="D43" s="20" t="str">
        <f ca="1">IFERROR(__xludf.DUMMYFUNCTION("""COMPUTED_VALUE"""),"1090-0241")</f>
        <v>1090-0241</v>
      </c>
      <c r="E43" s="32" t="str">
        <f ca="1">IFERROR(__xludf.DUMMYFUNCTION("""COMPUTED_VALUE"""),"1997-2021")</f>
        <v>1997-2021</v>
      </c>
      <c r="F43" s="43" t="str">
        <f ca="1">IFERROR(__xludf.DUMMYFUNCTION("""COMPUTED_VALUE"""),"SCIE, SCOPUS")</f>
        <v>SCIE, SCOPUS</v>
      </c>
      <c r="G43" s="157" t="str">
        <f ca="1">IFERROR(__xludf.DUMMYFUNCTION("""COMPUTED_VALUE"""),"http://www.riss.kr/link?id=S24593")</f>
        <v>http://www.riss.kr/link?id=S24593</v>
      </c>
      <c r="H43" s="24" t="str">
        <f ca="1">IFERROR(__xludf.DUMMYFUNCTION("""COMPUTED_VALUE"""),"O")</f>
        <v>O</v>
      </c>
    </row>
    <row r="44" spans="1:8" ht="26.25" customHeight="1">
      <c r="A44" s="154">
        <f t="shared" ca="1" si="0"/>
        <v>41</v>
      </c>
      <c r="B44" s="19" t="str">
        <f ca="1">IFERROR(__xludf.DUMMYFUNCTION("""COMPUTED_VALUE"""),"Journal of Irrigation and Drainage Engineering")</f>
        <v>Journal of Irrigation and Drainage Engineering</v>
      </c>
      <c r="C44" s="19" t="str">
        <f ca="1">IFERROR(__xludf.DUMMYFUNCTION("""COMPUTED_VALUE"""),"American Society of Civil Engineers")</f>
        <v>American Society of Civil Engineers</v>
      </c>
      <c r="D44" s="20" t="str">
        <f ca="1">IFERROR(__xludf.DUMMYFUNCTION("""COMPUTED_VALUE"""),"0733-9437")</f>
        <v>0733-9437</v>
      </c>
      <c r="E44" s="32" t="str">
        <f ca="1">IFERROR(__xludf.DUMMYFUNCTION("""COMPUTED_VALUE"""),"1971-1990, 1994-2011")</f>
        <v>1971-1990, 1994-2011</v>
      </c>
      <c r="F44" s="43" t="str">
        <f ca="1">IFERROR(__xludf.DUMMYFUNCTION("""COMPUTED_VALUE"""),"SCIE, SCOPUS")</f>
        <v>SCIE, SCOPUS</v>
      </c>
      <c r="G44" s="157" t="str">
        <f ca="1">IFERROR(__xludf.DUMMYFUNCTION("""COMPUTED_VALUE"""),"http://www.riss.kr/link?id=S16065")</f>
        <v>http://www.riss.kr/link?id=S16065</v>
      </c>
      <c r="H44" s="24" t="str">
        <f ca="1">IFERROR(__xludf.DUMMYFUNCTION("""COMPUTED_VALUE"""),"X")</f>
        <v>X</v>
      </c>
    </row>
    <row r="45" spans="1:8" ht="26.25" customHeight="1">
      <c r="A45" s="154">
        <f t="shared" ca="1" si="0"/>
        <v>42</v>
      </c>
      <c r="B45" s="19" t="str">
        <f ca="1">IFERROR(__xludf.DUMMYFUNCTION("""COMPUTED_VALUE"""),"Journal of Materials in Civil Engineering")</f>
        <v>Journal of Materials in Civil Engineering</v>
      </c>
      <c r="C45" s="19" t="str">
        <f ca="1">IFERROR(__xludf.DUMMYFUNCTION("""COMPUTED_VALUE"""),"American Society of Civil Engineers")</f>
        <v>American Society of Civil Engineers</v>
      </c>
      <c r="D45" s="20" t="str">
        <f ca="1">IFERROR(__xludf.DUMMYFUNCTION("""COMPUTED_VALUE"""),"0899-1561")</f>
        <v>0899-1561</v>
      </c>
      <c r="E45" s="32" t="str">
        <f ca="1">IFERROR(__xludf.DUMMYFUNCTION("""COMPUTED_VALUE"""),"1996-2021")</f>
        <v>1996-2021</v>
      </c>
      <c r="F45" s="43" t="str">
        <f ca="1">IFERROR(__xludf.DUMMYFUNCTION("""COMPUTED_VALUE"""),"SCIE, SCOPUS")</f>
        <v>SCIE, SCOPUS</v>
      </c>
      <c r="G45" s="157" t="str">
        <f ca="1">IFERROR(__xludf.DUMMYFUNCTION("""COMPUTED_VALUE"""),"http://www.riss.kr/link?id=S21147")</f>
        <v>http://www.riss.kr/link?id=S21147</v>
      </c>
      <c r="H45" s="24" t="str">
        <f ca="1">IFERROR(__xludf.DUMMYFUNCTION("""COMPUTED_VALUE"""),"O")</f>
        <v>O</v>
      </c>
    </row>
    <row r="46" spans="1:8" ht="26.25" customHeight="1">
      <c r="A46" s="154">
        <f t="shared" ca="1" si="0"/>
        <v>43</v>
      </c>
      <c r="B46" s="19" t="str">
        <f ca="1">IFERROR(__xludf.DUMMYFUNCTION("""COMPUTED_VALUE"""),"Journal of Performance of Constructed Facilities")</f>
        <v>Journal of Performance of Constructed Facilities</v>
      </c>
      <c r="C46" s="19" t="str">
        <f ca="1">IFERROR(__xludf.DUMMYFUNCTION("""COMPUTED_VALUE"""),"American Society of Civil Engineers")</f>
        <v>American Society of Civil Engineers</v>
      </c>
      <c r="D46" s="20" t="str">
        <f ca="1">IFERROR(__xludf.DUMMYFUNCTION("""COMPUTED_VALUE"""),"0887-3828")</f>
        <v>0887-3828</v>
      </c>
      <c r="E46" s="32" t="str">
        <f ca="1">IFERROR(__xludf.DUMMYFUNCTION("""COMPUTED_VALUE"""),"2010-2021")</f>
        <v>2010-2021</v>
      </c>
      <c r="F46" s="43" t="str">
        <f ca="1">IFERROR(__xludf.DUMMYFUNCTION("""COMPUTED_VALUE"""),"SCIE, SCOPUS")</f>
        <v>SCIE, SCOPUS</v>
      </c>
      <c r="G46" s="157" t="str">
        <f ca="1">IFERROR(__xludf.DUMMYFUNCTION("""COMPUTED_VALUE"""),"http://www.riss.kr/link?id=S15019")</f>
        <v>http://www.riss.kr/link?id=S15019</v>
      </c>
      <c r="H46" s="24" t="str">
        <f ca="1">IFERROR(__xludf.DUMMYFUNCTION("""COMPUTED_VALUE"""),"O")</f>
        <v>O</v>
      </c>
    </row>
    <row r="47" spans="1:8" ht="26.25" customHeight="1">
      <c r="A47" s="154">
        <f t="shared" ca="1" si="0"/>
        <v>44</v>
      </c>
      <c r="B47" s="19" t="str">
        <f ca="1">IFERROR(__xludf.DUMMYFUNCTION("""COMPUTED_VALUE"""),"Journal of Professional Issues in Engineering Education and Practice")</f>
        <v>Journal of Professional Issues in Engineering Education and Practice</v>
      </c>
      <c r="C47" s="19" t="str">
        <f ca="1">IFERROR(__xludf.DUMMYFUNCTION("""COMPUTED_VALUE"""),"American Society of Civil Engineers")</f>
        <v>American Society of Civil Engineers</v>
      </c>
      <c r="D47" s="20" t="str">
        <f ca="1">IFERROR(__xludf.DUMMYFUNCTION("""COMPUTED_VALUE"""),"1052-3928")</f>
        <v>1052-3928</v>
      </c>
      <c r="E47" s="32" t="str">
        <f ca="1">IFERROR(__xludf.DUMMYFUNCTION("""COMPUTED_VALUE"""),"2010-2013")</f>
        <v>2010-2013</v>
      </c>
      <c r="F47" s="43" t="str">
        <f ca="1">IFERROR(__xludf.DUMMYFUNCTION("""COMPUTED_VALUE"""),"SCIE")</f>
        <v>SCIE</v>
      </c>
      <c r="G47" s="157" t="str">
        <f ca="1">IFERROR(__xludf.DUMMYFUNCTION("""COMPUTED_VALUE"""),"http://www.riss.kr/link?id=S20557")</f>
        <v>http://www.riss.kr/link?id=S20557</v>
      </c>
      <c r="H47" s="24" t="str">
        <f ca="1">IFERROR(__xludf.DUMMYFUNCTION("""COMPUTED_VALUE"""),"X")</f>
        <v>X</v>
      </c>
    </row>
    <row r="48" spans="1:8" ht="26.25" customHeight="1">
      <c r="A48" s="154">
        <f t="shared" ca="1" si="0"/>
        <v>45</v>
      </c>
      <c r="B48" s="19" t="str">
        <f ca="1">IFERROR(__xludf.DUMMYFUNCTION("""COMPUTED_VALUE"""),"Journal of Structural Engineering")</f>
        <v>Journal of Structural Engineering</v>
      </c>
      <c r="C48" s="19" t="str">
        <f ca="1">IFERROR(__xludf.DUMMYFUNCTION("""COMPUTED_VALUE"""),"American Society of Civil Engineers")</f>
        <v>American Society of Civil Engineers</v>
      </c>
      <c r="D48" s="20" t="str">
        <f ca="1">IFERROR(__xludf.DUMMYFUNCTION("""COMPUTED_VALUE"""),"0733-9445")</f>
        <v>0733-9445</v>
      </c>
      <c r="E48" s="32" t="str">
        <f ca="1">IFERROR(__xludf.DUMMYFUNCTION("""COMPUTED_VALUE"""),"1983-2008, 2010-2021")</f>
        <v>1983-2008, 2010-2021</v>
      </c>
      <c r="F48" s="43" t="str">
        <f ca="1">IFERROR(__xludf.DUMMYFUNCTION("""COMPUTED_VALUE"""),"SCIE, SCOPUS")</f>
        <v>SCIE, SCOPUS</v>
      </c>
      <c r="G48" s="157" t="str">
        <f ca="1">IFERROR(__xludf.DUMMYFUNCTION("""COMPUTED_VALUE"""),"http://www.riss.kr/link?id=S16057")</f>
        <v>http://www.riss.kr/link?id=S16057</v>
      </c>
      <c r="H48" s="24" t="str">
        <f ca="1">IFERROR(__xludf.DUMMYFUNCTION("""COMPUTED_VALUE"""),"O")</f>
        <v>O</v>
      </c>
    </row>
    <row r="49" spans="1:8" ht="26.25" customHeight="1">
      <c r="A49" s="154">
        <f t="shared" ca="1" si="0"/>
        <v>46</v>
      </c>
      <c r="B49" s="19" t="str">
        <f ca="1">IFERROR(__xludf.DUMMYFUNCTION("""COMPUTED_VALUE"""),"Journal of Surveying Engineering")</f>
        <v>Journal of Surveying Engineering</v>
      </c>
      <c r="C49" s="19" t="str">
        <f ca="1">IFERROR(__xludf.DUMMYFUNCTION("""COMPUTED_VALUE"""),"American Society of Civil Engineers")</f>
        <v>American Society of Civil Engineers</v>
      </c>
      <c r="D49" s="20" t="str">
        <f ca="1">IFERROR(__xludf.DUMMYFUNCTION("""COMPUTED_VALUE"""),"0733-9453")</f>
        <v>0733-9453</v>
      </c>
      <c r="E49" s="32" t="str">
        <f ca="1">IFERROR(__xludf.DUMMYFUNCTION("""COMPUTED_VALUE"""),"1971-1975, 1977-1979, 1981, 1984-1990, 1997-2019")</f>
        <v>1971-1975, 1977-1979, 1981, 1984-1990, 1997-2019</v>
      </c>
      <c r="F49" s="43" t="str">
        <f ca="1">IFERROR(__xludf.DUMMYFUNCTION("""COMPUTED_VALUE"""),"SCIE, SCOPUS")</f>
        <v>SCIE, SCOPUS</v>
      </c>
      <c r="G49" s="157" t="str">
        <f ca="1">IFERROR(__xludf.DUMMYFUNCTION("""COMPUTED_VALUE"""),"http://www.riss.kr/link?id=S16056")</f>
        <v>http://www.riss.kr/link?id=S16056</v>
      </c>
      <c r="H49" s="24" t="str">
        <f ca="1">IFERROR(__xludf.DUMMYFUNCTION("""COMPUTED_VALUE"""),"X")</f>
        <v>X</v>
      </c>
    </row>
    <row r="50" spans="1:8" ht="26.25" customHeight="1">
      <c r="A50" s="154">
        <f t="shared" ca="1" si="0"/>
        <v>47</v>
      </c>
      <c r="B50" s="19" t="str">
        <f ca="1">IFERROR(__xludf.DUMMYFUNCTION("""COMPUTED_VALUE"""),"Journal of Transportation Engineering")</f>
        <v>Journal of Transportation Engineering</v>
      </c>
      <c r="C50" s="19" t="str">
        <f ca="1">IFERROR(__xludf.DUMMYFUNCTION("""COMPUTED_VALUE"""),"American Society of Civil Engineers")</f>
        <v>American Society of Civil Engineers</v>
      </c>
      <c r="D50" s="20" t="str">
        <f ca="1">IFERROR(__xludf.DUMMYFUNCTION("""COMPUTED_VALUE"""),"0733-947X")</f>
        <v>0733-947X</v>
      </c>
      <c r="E50" s="32" t="str">
        <f ca="1">IFERROR(__xludf.DUMMYFUNCTION("""COMPUTED_VALUE"""),"1970-2020")</f>
        <v>1970-2020</v>
      </c>
      <c r="F50" s="43" t="str">
        <f ca="1">IFERROR(__xludf.DUMMYFUNCTION("""COMPUTED_VALUE"""),"SCIE")</f>
        <v>SCIE</v>
      </c>
      <c r="G50" s="157" t="str">
        <f ca="1">IFERROR(__xludf.DUMMYFUNCTION("""COMPUTED_VALUE"""),"http://www.riss.kr/link?id=S21696")</f>
        <v>http://www.riss.kr/link?id=S21696</v>
      </c>
      <c r="H50" s="24" t="str">
        <f ca="1">IFERROR(__xludf.DUMMYFUNCTION("""COMPUTED_VALUE"""),"X")</f>
        <v>X</v>
      </c>
    </row>
    <row r="51" spans="1:8" ht="26.25" customHeight="1">
      <c r="A51" s="154">
        <f t="shared" ca="1" si="0"/>
        <v>48</v>
      </c>
      <c r="B51" s="19" t="str">
        <f ca="1">IFERROR(__xludf.DUMMYFUNCTION("""COMPUTED_VALUE"""),"Journal of Urban Design")</f>
        <v>Journal of Urban Design</v>
      </c>
      <c r="C51" s="19" t="str">
        <f ca="1">IFERROR(__xludf.DUMMYFUNCTION("""COMPUTED_VALUE"""),"Routledge")</f>
        <v>Routledge</v>
      </c>
      <c r="D51" s="20" t="str">
        <f ca="1">IFERROR(__xludf.DUMMYFUNCTION("""COMPUTED_VALUE"""),"1357-4809")</f>
        <v>1357-4809</v>
      </c>
      <c r="E51" s="32" t="str">
        <f ca="1">IFERROR(__xludf.DUMMYFUNCTION("""COMPUTED_VALUE"""),"2010-2021")</f>
        <v>2010-2021</v>
      </c>
      <c r="F51" s="43" t="str">
        <f ca="1">IFERROR(__xludf.DUMMYFUNCTION("""COMPUTED_VALUE"""),"ESCI, SCOPUS")</f>
        <v>ESCI, SCOPUS</v>
      </c>
      <c r="G51" s="157" t="str">
        <f ca="1">IFERROR(__xludf.DUMMYFUNCTION("""COMPUTED_VALUE"""),"http://www.riss.kr/link?id=S61982")</f>
        <v>http://www.riss.kr/link?id=S61982</v>
      </c>
      <c r="H51" s="24" t="str">
        <f ca="1">IFERROR(__xludf.DUMMYFUNCTION("""COMPUTED_VALUE"""),"O")</f>
        <v>O</v>
      </c>
    </row>
    <row r="52" spans="1:8" ht="26.25" customHeight="1">
      <c r="A52" s="154">
        <f t="shared" ca="1" si="0"/>
        <v>49</v>
      </c>
      <c r="B52" s="19" t="str">
        <f ca="1">IFERROR(__xludf.DUMMYFUNCTION("""COMPUTED_VALUE"""),"Journal of Urban Planning and Development")</f>
        <v>Journal of Urban Planning and Development</v>
      </c>
      <c r="C52" s="19" t="str">
        <f ca="1">IFERROR(__xludf.DUMMYFUNCTION("""COMPUTED_VALUE"""),"American Society of Civil Engineers")</f>
        <v>American Society of Civil Engineers</v>
      </c>
      <c r="D52" s="20" t="str">
        <f ca="1">IFERROR(__xludf.DUMMYFUNCTION("""COMPUTED_VALUE"""),"0733-9488")</f>
        <v>0733-9488</v>
      </c>
      <c r="E52" s="32" t="str">
        <f ca="1">IFERROR(__xludf.DUMMYFUNCTION("""COMPUTED_VALUE"""),"1971-1975, 1977-1979, 1981, 1985-1994, 1996-2021")</f>
        <v>1971-1975, 1977-1979, 1981, 1985-1994, 1996-2021</v>
      </c>
      <c r="F52" s="43" t="str">
        <f ca="1">IFERROR(__xludf.DUMMYFUNCTION("""COMPUTED_VALUE"""),"SCIE, SSCI, SCOPUS")</f>
        <v>SCIE, SSCI, SCOPUS</v>
      </c>
      <c r="G52" s="157" t="str">
        <f ca="1">IFERROR(__xludf.DUMMYFUNCTION("""COMPUTED_VALUE"""),"http://www.riss.kr/link?id=S21159")</f>
        <v>http://www.riss.kr/link?id=S21159</v>
      </c>
      <c r="H52" s="24" t="str">
        <f ca="1">IFERROR(__xludf.DUMMYFUNCTION("""COMPUTED_VALUE"""),"O")</f>
        <v>O</v>
      </c>
    </row>
    <row r="53" spans="1:8" ht="26.25" customHeight="1">
      <c r="A53" s="154">
        <f t="shared" ca="1" si="0"/>
        <v>50</v>
      </c>
      <c r="B53" s="19" t="str">
        <f ca="1">IFERROR(__xludf.DUMMYFUNCTION("""COMPUTED_VALUE"""),"Journal of Water Resources Planning and Management")</f>
        <v>Journal of Water Resources Planning and Management</v>
      </c>
      <c r="C53" s="19" t="str">
        <f ca="1">IFERROR(__xludf.DUMMYFUNCTION("""COMPUTED_VALUE"""),"American Society of Civil Engineers")</f>
        <v>American Society of Civil Engineers</v>
      </c>
      <c r="D53" s="20" t="str">
        <f ca="1">IFERROR(__xludf.DUMMYFUNCTION("""COMPUTED_VALUE"""),"0733-9496")</f>
        <v>0733-9496</v>
      </c>
      <c r="E53" s="32" t="str">
        <f ca="1">IFERROR(__xludf.DUMMYFUNCTION("""COMPUTED_VALUE"""),"2010-2021")</f>
        <v>2010-2021</v>
      </c>
      <c r="F53" s="43" t="str">
        <f ca="1">IFERROR(__xludf.DUMMYFUNCTION("""COMPUTED_VALUE"""),"SCIE, SCOPUS")</f>
        <v>SCIE, SCOPUS</v>
      </c>
      <c r="G53" s="157" t="str">
        <f ca="1">IFERROR(__xludf.DUMMYFUNCTION("""COMPUTED_VALUE"""),"http://www.riss.kr/link?id=S21692")</f>
        <v>http://www.riss.kr/link?id=S21692</v>
      </c>
      <c r="H53" s="24" t="str">
        <f ca="1">IFERROR(__xludf.DUMMYFUNCTION("""COMPUTED_VALUE"""),"O")</f>
        <v>O</v>
      </c>
    </row>
    <row r="54" spans="1:8" ht="26.25" customHeight="1">
      <c r="A54" s="154">
        <f t="shared" ca="1" si="0"/>
        <v>51</v>
      </c>
      <c r="B54" s="19" t="str">
        <f ca="1">IFERROR(__xludf.DUMMYFUNCTION("""COMPUTED_VALUE"""),"JSSC")</f>
        <v>JSSC</v>
      </c>
      <c r="C54" s="19" t="str">
        <f ca="1">IFERROR(__xludf.DUMMYFUNCTION("""COMPUTED_VALUE"""),"日本鋼構造協會")</f>
        <v>日本鋼構造協會</v>
      </c>
      <c r="D54" s="20" t="str">
        <f ca="1">IFERROR(__xludf.DUMMYFUNCTION("""COMPUTED_VALUE"""),"0389-9020")</f>
        <v>0389-9020</v>
      </c>
      <c r="E54" s="32" t="str">
        <f ca="1">IFERROR(__xludf.DUMMYFUNCTION("""COMPUTED_VALUE"""),"2011-2020")</f>
        <v>2011-2020</v>
      </c>
      <c r="F54" s="43" t="str">
        <f ca="1">IFERROR(__xludf.DUMMYFUNCTION("""COMPUTED_VALUE"""),"-")</f>
        <v>-</v>
      </c>
      <c r="G54" s="157" t="str">
        <f ca="1">IFERROR(__xludf.DUMMYFUNCTION("""COMPUTED_VALUE"""),"http://www.riss.kr/link?id=S43758")</f>
        <v>http://www.riss.kr/link?id=S43758</v>
      </c>
      <c r="H54" s="24" t="str">
        <f ca="1">IFERROR(__xludf.DUMMYFUNCTION("""COMPUTED_VALUE"""),"X")</f>
        <v>X</v>
      </c>
    </row>
    <row r="55" spans="1:8" ht="26.25" customHeight="1">
      <c r="A55" s="154">
        <f t="shared" ca="1" si="0"/>
        <v>52</v>
      </c>
      <c r="B55" s="19" t="str">
        <f ca="1">IFERROR(__xludf.DUMMYFUNCTION("""COMPUTED_VALUE"""),"Landscape Architecture")</f>
        <v>Landscape Architecture</v>
      </c>
      <c r="C55" s="19" t="str">
        <f ca="1">IFERROR(__xludf.DUMMYFUNCTION("""COMPUTED_VALUE"""),"American Society of Landscape Architects")</f>
        <v>American Society of Landscape Architects</v>
      </c>
      <c r="D55" s="20" t="str">
        <f ca="1">IFERROR(__xludf.DUMMYFUNCTION("""COMPUTED_VALUE"""),"0023-8031")</f>
        <v>0023-8031</v>
      </c>
      <c r="E55" s="32" t="str">
        <f ca="1">IFERROR(__xludf.DUMMYFUNCTION("""COMPUTED_VALUE"""),"1994-2011")</f>
        <v>1994-2011</v>
      </c>
      <c r="F55" s="43" t="str">
        <f ca="1">IFERROR(__xludf.DUMMYFUNCTION("""COMPUTED_VALUE"""),"AHCI")</f>
        <v>AHCI</v>
      </c>
      <c r="G55" s="157" t="str">
        <f ca="1">IFERROR(__xludf.DUMMYFUNCTION("""COMPUTED_VALUE"""),"http://www.riss.kr/link?id=S15441")</f>
        <v>http://www.riss.kr/link?id=S15441</v>
      </c>
      <c r="H55" s="24" t="str">
        <f ca="1">IFERROR(__xludf.DUMMYFUNCTION("""COMPUTED_VALUE"""),"X")</f>
        <v>X</v>
      </c>
    </row>
    <row r="56" spans="1:8" ht="26.25" customHeight="1">
      <c r="A56" s="154">
        <f t="shared" ca="1" si="0"/>
        <v>53</v>
      </c>
      <c r="B56" s="19" t="str">
        <f ca="1">IFERROR(__xludf.DUMMYFUNCTION("""COMPUTED_VALUE"""),"Magazine of Concrete Research")</f>
        <v>Magazine of Concrete Research</v>
      </c>
      <c r="C56" s="19" t="str">
        <f ca="1">IFERROR(__xludf.DUMMYFUNCTION("""COMPUTED_VALUE"""),"I C E Publishing")</f>
        <v>I C E Publishing</v>
      </c>
      <c r="D56" s="20" t="str">
        <f ca="1">IFERROR(__xludf.DUMMYFUNCTION("""COMPUTED_VALUE"""),"0024-9831")</f>
        <v>0024-9831</v>
      </c>
      <c r="E56" s="32" t="str">
        <f ca="1">IFERROR(__xludf.DUMMYFUNCTION("""COMPUTED_VALUE"""),"2010-2021")</f>
        <v>2010-2021</v>
      </c>
      <c r="F56" s="43" t="str">
        <f ca="1">IFERROR(__xludf.DUMMYFUNCTION("""COMPUTED_VALUE"""),"SCIE, SCOPUS")</f>
        <v>SCIE, SCOPUS</v>
      </c>
      <c r="G56" s="157" t="str">
        <f ca="1">IFERROR(__xludf.DUMMYFUNCTION("""COMPUTED_VALUE"""),"http://www.riss.kr/link?id=S15591")</f>
        <v>http://www.riss.kr/link?id=S15591</v>
      </c>
      <c r="H56" s="24" t="str">
        <f ca="1">IFERROR(__xludf.DUMMYFUNCTION("""COMPUTED_VALUE"""),"O")</f>
        <v>O</v>
      </c>
    </row>
    <row r="57" spans="1:8" ht="26.25" customHeight="1">
      <c r="A57" s="154">
        <f t="shared" ca="1" si="0"/>
        <v>54</v>
      </c>
      <c r="B57" s="19" t="str">
        <f ca="1">IFERROR(__xludf.DUMMYFUNCTION("""COMPUTED_VALUE"""),"Materials and Structures")</f>
        <v>Materials and Structures</v>
      </c>
      <c r="C57" s="19" t="str">
        <f ca="1">IFERROR(__xludf.DUMMYFUNCTION("""COMPUTED_VALUE"""),"Rilem Publications")</f>
        <v>Rilem Publications</v>
      </c>
      <c r="D57" s="20" t="str">
        <f ca="1">IFERROR(__xludf.DUMMYFUNCTION("""COMPUTED_VALUE"""),"1359-5997")</f>
        <v>1359-5997</v>
      </c>
      <c r="E57" s="32" t="str">
        <f ca="1">IFERROR(__xludf.DUMMYFUNCTION("""COMPUTED_VALUE"""),"2010-2013")</f>
        <v>2010-2013</v>
      </c>
      <c r="F57" s="43" t="str">
        <f ca="1">IFERROR(__xludf.DUMMYFUNCTION("""COMPUTED_VALUE"""),"SCIE, SCOPUS")</f>
        <v>SCIE, SCOPUS</v>
      </c>
      <c r="G57" s="157" t="str">
        <f ca="1">IFERROR(__xludf.DUMMYFUNCTION("""COMPUTED_VALUE"""),"http://www.riss.kr/link?id=S71144")</f>
        <v>http://www.riss.kr/link?id=S71144</v>
      </c>
      <c r="H57" s="24" t="str">
        <f ca="1">IFERROR(__xludf.DUMMYFUNCTION("""COMPUTED_VALUE"""),"X")</f>
        <v>X</v>
      </c>
    </row>
    <row r="58" spans="1:8" ht="26.25" customHeight="1">
      <c r="A58" s="154">
        <f t="shared" ca="1" si="0"/>
        <v>55</v>
      </c>
      <c r="B58" s="19" t="str">
        <f ca="1">IFERROR(__xludf.DUMMYFUNCTION("""COMPUTED_VALUE"""),"On-site")</f>
        <v>On-site</v>
      </c>
      <c r="C58" s="19" t="str">
        <f ca="1">IFERROR(__xludf.DUMMYFUNCTION("""COMPUTED_VALUE"""),"Rogers Publishing Ltd.")</f>
        <v>Rogers Publishing Ltd.</v>
      </c>
      <c r="D58" s="20" t="str">
        <f ca="1">IFERROR(__xludf.DUMMYFUNCTION("""COMPUTED_VALUE"""),"1910-118X")</f>
        <v>1910-118X</v>
      </c>
      <c r="E58" s="32" t="str">
        <f ca="1">IFERROR(__xludf.DUMMYFUNCTION("""COMPUTED_VALUE"""),"2010-2019")</f>
        <v>2010-2019</v>
      </c>
      <c r="F58" s="43" t="str">
        <f ca="1">IFERROR(__xludf.DUMMYFUNCTION("""COMPUTED_VALUE"""),"-")</f>
        <v>-</v>
      </c>
      <c r="G58" s="157" t="str">
        <f ca="1">IFERROR(__xludf.DUMMYFUNCTION("""COMPUTED_VALUE"""),"http://www.riss.kr/link?id=S115629")</f>
        <v>http://www.riss.kr/link?id=S115629</v>
      </c>
      <c r="H58" s="24" t="str">
        <f ca="1">IFERROR(__xludf.DUMMYFUNCTION("""COMPUTED_VALUE"""),"X")</f>
        <v>X</v>
      </c>
    </row>
    <row r="59" spans="1:8" ht="26.25" customHeight="1">
      <c r="A59" s="154">
        <f t="shared" ca="1" si="0"/>
        <v>56</v>
      </c>
      <c r="B59" s="19" t="str">
        <f ca="1">IFERROR(__xludf.DUMMYFUNCTION("""COMPUTED_VALUE"""),"PCI Journal")</f>
        <v>PCI Journal</v>
      </c>
      <c r="C59" s="19" t="str">
        <f ca="1">IFERROR(__xludf.DUMMYFUNCTION("""COMPUTED_VALUE"""),"Precast - Prestressed Concrete Institute")</f>
        <v>Precast - Prestressed Concrete Institute</v>
      </c>
      <c r="D59" s="20" t="str">
        <f ca="1">IFERROR(__xludf.DUMMYFUNCTION("""COMPUTED_VALUE"""),"0887-9672")</f>
        <v>0887-9672</v>
      </c>
      <c r="E59" s="32" t="str">
        <f ca="1">IFERROR(__xludf.DUMMYFUNCTION("""COMPUTED_VALUE"""),"1993-2004")</f>
        <v>1993-2004</v>
      </c>
      <c r="F59" s="43" t="str">
        <f ca="1">IFERROR(__xludf.DUMMYFUNCTION("""COMPUTED_VALUE"""),"SCIE")</f>
        <v>SCIE</v>
      </c>
      <c r="G59" s="157" t="str">
        <f ca="1">IFERROR(__xludf.DUMMYFUNCTION("""COMPUTED_VALUE"""),"http://www.riss.kr/link?id=S15472")</f>
        <v>http://www.riss.kr/link?id=S15472</v>
      </c>
      <c r="H59" s="24" t="str">
        <f ca="1">IFERROR(__xludf.DUMMYFUNCTION("""COMPUTED_VALUE"""),"X")</f>
        <v>X</v>
      </c>
    </row>
    <row r="60" spans="1:8" ht="26.25" customHeight="1">
      <c r="A60" s="154">
        <f t="shared" ca="1" si="0"/>
        <v>57</v>
      </c>
      <c r="B60" s="19" t="str">
        <f ca="1">IFERROR(__xludf.DUMMYFUNCTION("""COMPUTED_VALUE"""),"Practice Periodical on Structural Design and Construction")</f>
        <v>Practice Periodical on Structural Design and Construction</v>
      </c>
      <c r="C60" s="39" t="str">
        <f ca="1">IFERROR(__xludf.DUMMYFUNCTION("""COMPUTED_VALUE"""),"American Society of Civil Engineers")</f>
        <v>American Society of Civil Engineers</v>
      </c>
      <c r="D60" s="20" t="str">
        <f ca="1">IFERROR(__xludf.DUMMYFUNCTION("""COMPUTED_VALUE"""),"1084-0680")</f>
        <v>1084-0680</v>
      </c>
      <c r="E60" s="44">
        <f ca="1">IFERROR(__xludf.DUMMYFUNCTION("""COMPUTED_VALUE"""),2019)</f>
        <v>2019</v>
      </c>
      <c r="F60" s="43" t="str">
        <f ca="1">IFERROR(__xludf.DUMMYFUNCTION("""COMPUTED_VALUE"""),"ESCI, SCOPUS")</f>
        <v>ESCI, SCOPUS</v>
      </c>
      <c r="G60" s="158" t="str">
        <f ca="1">IFERROR(__xludf.DUMMYFUNCTION("""COMPUTED_VALUE"""),"http://www.riss.kr/link?id=S5090")</f>
        <v>http://www.riss.kr/link?id=S5090</v>
      </c>
      <c r="H60" s="24" t="str">
        <f ca="1">IFERROR(__xludf.DUMMYFUNCTION("""COMPUTED_VALUE"""),"X")</f>
        <v>X</v>
      </c>
    </row>
    <row r="61" spans="1:8" ht="26.25" customHeight="1">
      <c r="A61" s="154">
        <f t="shared" ca="1" si="0"/>
        <v>58</v>
      </c>
      <c r="B61" s="19" t="str">
        <f ca="1">IFERROR(__xludf.DUMMYFUNCTION("""COMPUTED_VALUE"""),"Proceedings of the Institution of Civil Engineers - Maritime Engineering")</f>
        <v>Proceedings of the Institution of Civil Engineers - Maritime Engineering</v>
      </c>
      <c r="C61" s="19" t="str">
        <f ca="1">IFERROR(__xludf.DUMMYFUNCTION("""COMPUTED_VALUE"""),"I C E Publishing")</f>
        <v>I C E Publishing</v>
      </c>
      <c r="D61" s="20" t="str">
        <f ca="1">IFERROR(__xludf.DUMMYFUNCTION("""COMPUTED_VALUE"""),"1741-7597")</f>
        <v>1741-7597</v>
      </c>
      <c r="E61" s="32" t="str">
        <f ca="1">IFERROR(__xludf.DUMMYFUNCTION("""COMPUTED_VALUE"""),"2010-2018")</f>
        <v>2010-2018</v>
      </c>
      <c r="F61" s="43" t="str">
        <f ca="1">IFERROR(__xludf.DUMMYFUNCTION("""COMPUTED_VALUE"""),"SCIE, SCOPUS")</f>
        <v>SCIE, SCOPUS</v>
      </c>
      <c r="G61" s="157" t="str">
        <f ca="1">IFERROR(__xludf.DUMMYFUNCTION("""COMPUTED_VALUE"""),"http://www.riss.kr/link?id=S103468")</f>
        <v>http://www.riss.kr/link?id=S103468</v>
      </c>
      <c r="H61" s="24" t="str">
        <f ca="1">IFERROR(__xludf.DUMMYFUNCTION("""COMPUTED_VALUE"""),"X")</f>
        <v>X</v>
      </c>
    </row>
    <row r="62" spans="1:8" ht="26.25" customHeight="1">
      <c r="A62" s="154">
        <f t="shared" ca="1" si="0"/>
        <v>59</v>
      </c>
      <c r="B62" s="19" t="str">
        <f ca="1">IFERROR(__xludf.DUMMYFUNCTION("""COMPUTED_VALUE"""),"Proceedings of the Institution of Civil Engineers - Municipal Engineer")</f>
        <v>Proceedings of the Institution of Civil Engineers - Municipal Engineer</v>
      </c>
      <c r="C62" s="19" t="str">
        <f ca="1">IFERROR(__xludf.DUMMYFUNCTION("""COMPUTED_VALUE"""),"I C E Publishing")</f>
        <v>I C E Publishing</v>
      </c>
      <c r="D62" s="20" t="str">
        <f ca="1">IFERROR(__xludf.DUMMYFUNCTION("""COMPUTED_VALUE"""),"0965-0903")</f>
        <v>0965-0903</v>
      </c>
      <c r="E62" s="32" t="str">
        <f ca="1">IFERROR(__xludf.DUMMYFUNCTION("""COMPUTED_VALUE"""),"2010-2020")</f>
        <v>2010-2020</v>
      </c>
      <c r="F62" s="43" t="str">
        <f ca="1">IFERROR(__xludf.DUMMYFUNCTION("""COMPUTED_VALUE"""),"SCIE, SCOPUS")</f>
        <v>SCIE, SCOPUS</v>
      </c>
      <c r="G62" s="157" t="str">
        <f ca="1">IFERROR(__xludf.DUMMYFUNCTION("""COMPUTED_VALUE"""),"http://www.riss.kr/link?id=S31000856")</f>
        <v>http://www.riss.kr/link?id=S31000856</v>
      </c>
      <c r="H62" s="24" t="str">
        <f ca="1">IFERROR(__xludf.DUMMYFUNCTION("""COMPUTED_VALUE"""),"X")</f>
        <v>X</v>
      </c>
    </row>
    <row r="63" spans="1:8" ht="26.25" customHeight="1">
      <c r="A63" s="154">
        <f t="shared" ca="1" si="0"/>
        <v>60</v>
      </c>
      <c r="B63" s="19" t="str">
        <f ca="1">IFERROR(__xludf.DUMMYFUNCTION("""COMPUTED_VALUE"""),"Proceedings of the Institution of Civil Engineers - Water Management")</f>
        <v>Proceedings of the Institution of Civil Engineers - Water Management</v>
      </c>
      <c r="C63" s="19" t="str">
        <f ca="1">IFERROR(__xludf.DUMMYFUNCTION("""COMPUTED_VALUE"""),"I C E Publishing")</f>
        <v>I C E Publishing</v>
      </c>
      <c r="D63" s="20" t="str">
        <f ca="1">IFERROR(__xludf.DUMMYFUNCTION("""COMPUTED_VALUE"""),"1741-7589")</f>
        <v>1741-7589</v>
      </c>
      <c r="E63" s="32" t="str">
        <f ca="1">IFERROR(__xludf.DUMMYFUNCTION("""COMPUTED_VALUE"""),"2010-2020")</f>
        <v>2010-2020</v>
      </c>
      <c r="F63" s="43" t="str">
        <f ca="1">IFERROR(__xludf.DUMMYFUNCTION("""COMPUTED_VALUE"""),"SCIE, SCOPUS")</f>
        <v>SCIE, SCOPUS</v>
      </c>
      <c r="G63" s="157" t="str">
        <f ca="1">IFERROR(__xludf.DUMMYFUNCTION("""COMPUTED_VALUE"""),"http://www.riss.kr/link?id=S103490")</f>
        <v>http://www.riss.kr/link?id=S103490</v>
      </c>
      <c r="H63" s="24" t="str">
        <f ca="1">IFERROR(__xludf.DUMMYFUNCTION("""COMPUTED_VALUE"""),"X")</f>
        <v>X</v>
      </c>
    </row>
    <row r="64" spans="1:8" ht="26.25" customHeight="1">
      <c r="A64" s="154">
        <f t="shared" ca="1" si="0"/>
        <v>61</v>
      </c>
      <c r="B64" s="19" t="str">
        <f ca="1">IFERROR(__xludf.DUMMYFUNCTION("""COMPUTED_VALUE"""),"Proceedings of the Institution of Civil Engineers Civil Engineering")</f>
        <v>Proceedings of the Institution of Civil Engineers Civil Engineering</v>
      </c>
      <c r="C64" s="19" t="str">
        <f ca="1">IFERROR(__xludf.DUMMYFUNCTION("""COMPUTED_VALUE"""),"I C E Publishing")</f>
        <v>I C E Publishing</v>
      </c>
      <c r="D64" s="20" t="str">
        <f ca="1">IFERROR(__xludf.DUMMYFUNCTION("""COMPUTED_VALUE"""),"0965-089X")</f>
        <v>0965-089X</v>
      </c>
      <c r="E64" s="32" t="str">
        <f ca="1">IFERROR(__xludf.DUMMYFUNCTION("""COMPUTED_VALUE"""),"2010-2020")</f>
        <v>2010-2020</v>
      </c>
      <c r="F64" s="43" t="str">
        <f ca="1">IFERROR(__xludf.DUMMYFUNCTION("""COMPUTED_VALUE"""),"SCIE")</f>
        <v>SCIE</v>
      </c>
      <c r="G64" s="157" t="str">
        <f ca="1">IFERROR(__xludf.DUMMYFUNCTION("""COMPUTED_VALUE"""),"http://www.riss.kr/link?id=S13527")</f>
        <v>http://www.riss.kr/link?id=S13527</v>
      </c>
      <c r="H64" s="24" t="str">
        <f ca="1">IFERROR(__xludf.DUMMYFUNCTION("""COMPUTED_VALUE"""),"X")</f>
        <v>X</v>
      </c>
    </row>
    <row r="65" spans="1:8" ht="26.25" customHeight="1">
      <c r="A65" s="154">
        <f t="shared" ca="1" si="0"/>
        <v>62</v>
      </c>
      <c r="B65" s="19" t="str">
        <f ca="1">IFERROR(__xludf.DUMMYFUNCTION("""COMPUTED_VALUE"""),"Proceedings of the Institution of Civil Engineers Structures and Buildings")</f>
        <v>Proceedings of the Institution of Civil Engineers Structures and Buildings</v>
      </c>
      <c r="C65" s="19" t="str">
        <f ca="1">IFERROR(__xludf.DUMMYFUNCTION("""COMPUTED_VALUE"""),"I C E Publishing")</f>
        <v>I C E Publishing</v>
      </c>
      <c r="D65" s="20" t="str">
        <f ca="1">IFERROR(__xludf.DUMMYFUNCTION("""COMPUTED_VALUE"""),"0965-0911")</f>
        <v>0965-0911</v>
      </c>
      <c r="E65" s="32" t="str">
        <f ca="1">IFERROR(__xludf.DUMMYFUNCTION("""COMPUTED_VALUE"""),"2010-2020")</f>
        <v>2010-2020</v>
      </c>
      <c r="F65" s="43" t="str">
        <f ca="1">IFERROR(__xludf.DUMMYFUNCTION("""COMPUTED_VALUE"""),"SCIE, SCOPUS")</f>
        <v>SCIE, SCOPUS</v>
      </c>
      <c r="G65" s="157" t="str">
        <f ca="1">IFERROR(__xludf.DUMMYFUNCTION("""COMPUTED_VALUE"""),"http://www.riss.kr/link?id=S13542")</f>
        <v>http://www.riss.kr/link?id=S13542</v>
      </c>
      <c r="H65" s="24" t="str">
        <f ca="1">IFERROR(__xludf.DUMMYFUNCTION("""COMPUTED_VALUE"""),"X")</f>
        <v>X</v>
      </c>
    </row>
    <row r="66" spans="1:8" ht="26.25" customHeight="1">
      <c r="A66" s="154">
        <f t="shared" ca="1" si="0"/>
        <v>63</v>
      </c>
      <c r="B66" s="19" t="str">
        <f ca="1">IFERROR(__xludf.DUMMYFUNCTION("""COMPUTED_VALUE"""),"Proceedings of the Institution of Civil Engineers Transport")</f>
        <v>Proceedings of the Institution of Civil Engineers Transport</v>
      </c>
      <c r="C66" s="19" t="str">
        <f ca="1">IFERROR(__xludf.DUMMYFUNCTION("""COMPUTED_VALUE"""),"I C E Publishing")</f>
        <v>I C E Publishing</v>
      </c>
      <c r="D66" s="20" t="str">
        <f ca="1">IFERROR(__xludf.DUMMYFUNCTION("""COMPUTED_VALUE"""),"0965-092X")</f>
        <v>0965-092X</v>
      </c>
      <c r="E66" s="32" t="str">
        <f ca="1">IFERROR(__xludf.DUMMYFUNCTION("""COMPUTED_VALUE"""),"2010-2020")</f>
        <v>2010-2020</v>
      </c>
      <c r="F66" s="43" t="str">
        <f ca="1">IFERROR(__xludf.DUMMYFUNCTION("""COMPUTED_VALUE"""),"SCIE, SCOPUS")</f>
        <v>SCIE, SCOPUS</v>
      </c>
      <c r="G66" s="157" t="str">
        <f ca="1">IFERROR(__xludf.DUMMYFUNCTION("""COMPUTED_VALUE"""),"http://www.riss.kr/link?id=S35207")</f>
        <v>http://www.riss.kr/link?id=S35207</v>
      </c>
      <c r="H66" s="24" t="str">
        <f ca="1">IFERROR(__xludf.DUMMYFUNCTION("""COMPUTED_VALUE"""),"X")</f>
        <v>X</v>
      </c>
    </row>
    <row r="67" spans="1:8" ht="26.25" customHeight="1">
      <c r="A67" s="154">
        <f t="shared" ca="1" si="0"/>
        <v>64</v>
      </c>
      <c r="B67" s="19" t="str">
        <f ca="1">IFERROR(__xludf.DUMMYFUNCTION("""COMPUTED_VALUE"""),"Progressive Architecture")</f>
        <v>Progressive Architecture</v>
      </c>
      <c r="C67" s="19" t="str">
        <f ca="1">IFERROR(__xludf.DUMMYFUNCTION("""COMPUTED_VALUE"""),"Reinhold Pub. Corp., etc")</f>
        <v>Reinhold Pub. Corp., etc</v>
      </c>
      <c r="D67" s="20" t="str">
        <f ca="1">IFERROR(__xludf.DUMMYFUNCTION("""COMPUTED_VALUE"""),"0033-0752")</f>
        <v>0033-0752</v>
      </c>
      <c r="E67" s="32" t="str">
        <f ca="1">IFERROR(__xludf.DUMMYFUNCTION("""COMPUTED_VALUE"""),"1991-1995")</f>
        <v>1991-1995</v>
      </c>
      <c r="F67" s="43" t="str">
        <f ca="1">IFERROR(__xludf.DUMMYFUNCTION("""COMPUTED_VALUE"""),"-")</f>
        <v>-</v>
      </c>
      <c r="G67" s="157" t="str">
        <f ca="1">IFERROR(__xludf.DUMMYFUNCTION("""COMPUTED_VALUE"""),"http://www.riss.kr/link?id=S15411")</f>
        <v>http://www.riss.kr/link?id=S15411</v>
      </c>
      <c r="H67" s="24" t="str">
        <f ca="1">IFERROR(__xludf.DUMMYFUNCTION("""COMPUTED_VALUE"""),"X")</f>
        <v>X</v>
      </c>
    </row>
    <row r="68" spans="1:8" ht="26.25" customHeight="1">
      <c r="A68" s="154">
        <f t="shared" ca="1" si="0"/>
        <v>65</v>
      </c>
      <c r="B68" s="19" t="str">
        <f ca="1">IFERROR(__xludf.DUMMYFUNCTION("""COMPUTED_VALUE"""),"Quarterly Journal of Engineering Geology and Hydrogeology")</f>
        <v>Quarterly Journal of Engineering Geology and Hydrogeology</v>
      </c>
      <c r="C68" s="19" t="str">
        <f ca="1">IFERROR(__xludf.DUMMYFUNCTION("""COMPUTED_VALUE"""),"Geological Society Publishing House")</f>
        <v>Geological Society Publishing House</v>
      </c>
      <c r="D68" s="20" t="str">
        <f ca="1">IFERROR(__xludf.DUMMYFUNCTION("""COMPUTED_VALUE"""),"1470-9236")</f>
        <v>1470-9236</v>
      </c>
      <c r="E68" s="32" t="str">
        <f ca="1">IFERROR(__xludf.DUMMYFUNCTION("""COMPUTED_VALUE"""),"2010-2021")</f>
        <v>2010-2021</v>
      </c>
      <c r="F68" s="43" t="str">
        <f ca="1">IFERROR(__xludf.DUMMYFUNCTION("""COMPUTED_VALUE"""),"SCIE, SCOPUS")</f>
        <v>SCIE, SCOPUS</v>
      </c>
      <c r="G68" s="157" t="str">
        <f ca="1">IFERROR(__xludf.DUMMYFUNCTION("""COMPUTED_VALUE"""),"http://www.riss.kr/link?id=S15954")</f>
        <v>http://www.riss.kr/link?id=S15954</v>
      </c>
      <c r="H68" s="24" t="str">
        <f ca="1">IFERROR(__xludf.DUMMYFUNCTION("""COMPUTED_VALUE"""),"O")</f>
        <v>O</v>
      </c>
    </row>
    <row r="69" spans="1:8" ht="26.25" customHeight="1">
      <c r="A69" s="154">
        <f t="shared" ca="1" si="0"/>
        <v>66</v>
      </c>
      <c r="B69" s="19" t="str">
        <f ca="1">IFERROR(__xludf.DUMMYFUNCTION("""COMPUTED_VALUE"""),"Road Materials and Pavement Design")</f>
        <v>Road Materials and Pavement Design</v>
      </c>
      <c r="C69" s="19" t="str">
        <f ca="1">IFERROR(__xludf.DUMMYFUNCTION("""COMPUTED_VALUE"""),"Taylor &amp; Francis")</f>
        <v>Taylor &amp; Francis</v>
      </c>
      <c r="D69" s="20" t="str">
        <f ca="1">IFERROR(__xludf.DUMMYFUNCTION("""COMPUTED_VALUE"""),"1468-0629")</f>
        <v>1468-0629</v>
      </c>
      <c r="E69" s="32" t="str">
        <f ca="1">IFERROR(__xludf.DUMMYFUNCTION("""COMPUTED_VALUE"""),"2010-2021")</f>
        <v>2010-2021</v>
      </c>
      <c r="F69" s="43" t="str">
        <f ca="1">IFERROR(__xludf.DUMMYFUNCTION("""COMPUTED_VALUE"""),"SCIE, SCOPUS")</f>
        <v>SCIE, SCOPUS</v>
      </c>
      <c r="G69" s="157" t="str">
        <f ca="1">IFERROR(__xludf.DUMMYFUNCTION("""COMPUTED_VALUE"""),"http://www.riss.kr/link?id=S31023273")</f>
        <v>http://www.riss.kr/link?id=S31023273</v>
      </c>
      <c r="H69" s="24" t="str">
        <f ca="1">IFERROR(__xludf.DUMMYFUNCTION("""COMPUTED_VALUE"""),"O")</f>
        <v>O</v>
      </c>
    </row>
    <row r="70" spans="1:8" ht="26.25" customHeight="1">
      <c r="A70" s="154">
        <f t="shared" ca="1" si="0"/>
        <v>67</v>
      </c>
      <c r="B70" s="19" t="str">
        <f ca="1">IFERROR(__xludf.DUMMYFUNCTION("""COMPUTED_VALUE"""),"Smart Structures and Systems : an international journal of Mechatronics, Sensors, Monitoring, Control, Diagnosis, &amp; Life Cycle Eng")</f>
        <v>Smart Structures and Systems : an international journal of Mechatronics, Sensors, Monitoring, Control, Diagnosis, &amp; Life Cycle Eng</v>
      </c>
      <c r="C70" s="19" t="str">
        <f ca="1">IFERROR(__xludf.DUMMYFUNCTION("""COMPUTED_VALUE"""),"Techno-Press")</f>
        <v>Techno-Press</v>
      </c>
      <c r="D70" s="20" t="str">
        <f ca="1">IFERROR(__xludf.DUMMYFUNCTION("""COMPUTED_VALUE"""),"1738-1584")</f>
        <v>1738-1584</v>
      </c>
      <c r="E70" s="32" t="str">
        <f ca="1">IFERROR(__xludf.DUMMYFUNCTION("""COMPUTED_VALUE"""),"2010-2021")</f>
        <v>2010-2021</v>
      </c>
      <c r="F70" s="43" t="str">
        <f ca="1">IFERROR(__xludf.DUMMYFUNCTION("""COMPUTED_VALUE"""),"SCIE, SCOPUS")</f>
        <v>SCIE, SCOPUS</v>
      </c>
      <c r="G70" s="157" t="str">
        <f ca="1">IFERROR(__xludf.DUMMYFUNCTION("""COMPUTED_VALUE"""),"http://www.riss.kr/link?id=S113997")</f>
        <v>http://www.riss.kr/link?id=S113997</v>
      </c>
      <c r="H70" s="24" t="str">
        <f ca="1">IFERROR(__xludf.DUMMYFUNCTION("""COMPUTED_VALUE"""),"O")</f>
        <v>O</v>
      </c>
    </row>
    <row r="71" spans="1:8" ht="26.25" customHeight="1">
      <c r="A71" s="154">
        <f t="shared" ca="1" si="0"/>
        <v>68</v>
      </c>
      <c r="B71" s="19" t="str">
        <f ca="1">IFERROR(__xludf.DUMMYFUNCTION("""COMPUTED_VALUE"""),"Soils and Foundations")</f>
        <v>Soils and Foundations</v>
      </c>
      <c r="C71" s="19" t="str">
        <f ca="1">IFERROR(__xludf.DUMMYFUNCTION("""COMPUTED_VALUE"""),"Japanese Society of Soil Mechanics and Foundation Engineering")</f>
        <v>Japanese Society of Soil Mechanics and Foundation Engineering</v>
      </c>
      <c r="D71" s="20" t="str">
        <f ca="1">IFERROR(__xludf.DUMMYFUNCTION("""COMPUTED_VALUE"""),"0038-0806")</f>
        <v>0038-0806</v>
      </c>
      <c r="E71" s="32" t="str">
        <f ca="1">IFERROR(__xludf.DUMMYFUNCTION("""COMPUTED_VALUE"""),"1981-1982, 2011-2020")</f>
        <v>1981-1982, 2011-2020</v>
      </c>
      <c r="F71" s="43" t="str">
        <f ca="1">IFERROR(__xludf.DUMMYFUNCTION("""COMPUTED_VALUE"""),"SCIE, SCOPUS")</f>
        <v>SCIE, SCOPUS</v>
      </c>
      <c r="G71" s="157" t="str">
        <f ca="1">IFERROR(__xludf.DUMMYFUNCTION("""COMPUTED_VALUE"""),"http://www.riss.kr/link?id=S43165")</f>
        <v>http://www.riss.kr/link?id=S43165</v>
      </c>
      <c r="H71" s="24" t="str">
        <f ca="1">IFERROR(__xludf.DUMMYFUNCTION("""COMPUTED_VALUE"""),"X")</f>
        <v>X</v>
      </c>
    </row>
    <row r="72" spans="1:8" ht="26.25" customHeight="1">
      <c r="A72" s="154">
        <f t="shared" ca="1" si="0"/>
        <v>69</v>
      </c>
      <c r="B72" s="19" t="str">
        <f ca="1">IFERROR(__xludf.DUMMYFUNCTION("""COMPUTED_VALUE"""),"Structural Engineering International")</f>
        <v>Structural Engineering International</v>
      </c>
      <c r="C72" s="19" t="str">
        <f ca="1">IFERROR(__xludf.DUMMYFUNCTION("""COMPUTED_VALUE"""),"Taylor &amp; Francis")</f>
        <v>Taylor &amp; Francis</v>
      </c>
      <c r="D72" s="20" t="str">
        <f ca="1">IFERROR(__xludf.DUMMYFUNCTION("""COMPUTED_VALUE"""),"1016-8664")</f>
        <v>1016-8664</v>
      </c>
      <c r="E72" s="32" t="str">
        <f ca="1">IFERROR(__xludf.DUMMYFUNCTION("""COMPUTED_VALUE"""),"2010-2021")</f>
        <v>2010-2021</v>
      </c>
      <c r="F72" s="43" t="str">
        <f ca="1">IFERROR(__xludf.DUMMYFUNCTION("""COMPUTED_VALUE"""),"SCIE, SCOPUS")</f>
        <v>SCIE, SCOPUS</v>
      </c>
      <c r="G72" s="157" t="str">
        <f ca="1">IFERROR(__xludf.DUMMYFUNCTION("""COMPUTED_VALUE"""),"http://www.riss.kr/link?id=S401354")</f>
        <v>http://www.riss.kr/link?id=S401354</v>
      </c>
      <c r="H72" s="24" t="str">
        <f ca="1">IFERROR(__xludf.DUMMYFUNCTION("""COMPUTED_VALUE"""),"O")</f>
        <v>O</v>
      </c>
    </row>
    <row r="73" spans="1:8" ht="26.25" customHeight="1">
      <c r="A73" s="154">
        <f t="shared" ca="1" si="0"/>
        <v>70</v>
      </c>
      <c r="B73" s="19" t="str">
        <f ca="1">IFERROR(__xludf.DUMMYFUNCTION("""COMPUTED_VALUE"""),"Structural Longevity")</f>
        <v>Structural Longevity</v>
      </c>
      <c r="C73" s="19" t="str">
        <f ca="1">IFERROR(__xludf.DUMMYFUNCTION("""COMPUTED_VALUE"""),"Tech science Press")</f>
        <v>Tech science Press</v>
      </c>
      <c r="D73" s="20" t="str">
        <f ca="1">IFERROR(__xludf.DUMMYFUNCTION("""COMPUTED_VALUE"""),"1944-611X")</f>
        <v>1944-611X</v>
      </c>
      <c r="E73" s="32" t="str">
        <f ca="1">IFERROR(__xludf.DUMMYFUNCTION("""COMPUTED_VALUE"""),"2010-2013")</f>
        <v>2010-2013</v>
      </c>
      <c r="F73" s="43" t="str">
        <f ca="1">IFERROR(__xludf.DUMMYFUNCTION("""COMPUTED_VALUE"""),"-")</f>
        <v>-</v>
      </c>
      <c r="G73" s="157" t="str">
        <f ca="1">IFERROR(__xludf.DUMMYFUNCTION("""COMPUTED_VALUE"""),"http://www.riss.kr/link?id=S115390")</f>
        <v>http://www.riss.kr/link?id=S115390</v>
      </c>
      <c r="H73" s="24" t="str">
        <f ca="1">IFERROR(__xludf.DUMMYFUNCTION("""COMPUTED_VALUE"""),"X")</f>
        <v>X</v>
      </c>
    </row>
    <row r="74" spans="1:8" ht="26.25" customHeight="1">
      <c r="A74" s="154">
        <f t="shared" ca="1" si="0"/>
        <v>71</v>
      </c>
      <c r="B74" s="19" t="str">
        <f ca="1">IFERROR(__xludf.DUMMYFUNCTION("""COMPUTED_VALUE"""),"Studies in the History of Gardens &amp; Designed Landscapes")</f>
        <v>Studies in the History of Gardens &amp; Designed Landscapes</v>
      </c>
      <c r="C74" s="19" t="str">
        <f ca="1">IFERROR(__xludf.DUMMYFUNCTION("""COMPUTED_VALUE"""),"Taylor &amp; Francis")</f>
        <v>Taylor &amp; Francis</v>
      </c>
      <c r="D74" s="20" t="str">
        <f ca="1">IFERROR(__xludf.DUMMYFUNCTION("""COMPUTED_VALUE"""),"1460-1176")</f>
        <v>1460-1176</v>
      </c>
      <c r="E74" s="32" t="str">
        <f ca="1">IFERROR(__xludf.DUMMYFUNCTION("""COMPUTED_VALUE"""),"1998, 2000-2002,2004-2019")</f>
        <v>1998, 2000-2002,2004-2019</v>
      </c>
      <c r="F74" s="43" t="str">
        <f ca="1">IFERROR(__xludf.DUMMYFUNCTION("""COMPUTED_VALUE"""),"AHCI, SCOPUS")</f>
        <v>AHCI, SCOPUS</v>
      </c>
      <c r="G74" s="157" t="str">
        <f ca="1">IFERROR(__xludf.DUMMYFUNCTION("""COMPUTED_VALUE"""),"http://www.riss.kr/link?id=S405210")</f>
        <v>http://www.riss.kr/link?id=S405210</v>
      </c>
      <c r="H74" s="24" t="str">
        <f ca="1">IFERROR(__xludf.DUMMYFUNCTION("""COMPUTED_VALUE"""),"X")</f>
        <v>X</v>
      </c>
    </row>
    <row r="75" spans="1:8" ht="26.25" customHeight="1">
      <c r="A75" s="154">
        <f t="shared" ca="1" si="0"/>
        <v>72</v>
      </c>
      <c r="B75" s="19" t="str">
        <f ca="1">IFERROR(__xludf.DUMMYFUNCTION("""COMPUTED_VALUE"""),"Survey Review")</f>
        <v>Survey Review</v>
      </c>
      <c r="C75" s="19" t="str">
        <f ca="1">IFERROR(__xludf.DUMMYFUNCTION("""COMPUTED_VALUE"""),"Taylor &amp; Francis")</f>
        <v>Taylor &amp; Francis</v>
      </c>
      <c r="D75" s="20" t="str">
        <f ca="1">IFERROR(__xludf.DUMMYFUNCTION("""COMPUTED_VALUE"""),"0039-6265")</f>
        <v>0039-6265</v>
      </c>
      <c r="E75" s="32" t="str">
        <f ca="1">IFERROR(__xludf.DUMMYFUNCTION("""COMPUTED_VALUE"""),"2010-2013")</f>
        <v>2010-2013</v>
      </c>
      <c r="F75" s="43" t="str">
        <f ca="1">IFERROR(__xludf.DUMMYFUNCTION("""COMPUTED_VALUE"""),"SCIE, SCOPUS")</f>
        <v>SCIE, SCOPUS</v>
      </c>
      <c r="G75" s="157" t="str">
        <f ca="1">IFERROR(__xludf.DUMMYFUNCTION("""COMPUTED_VALUE"""),"http://www.riss.kr/link?id=S20011380")</f>
        <v>http://www.riss.kr/link?id=S20011380</v>
      </c>
      <c r="H75" s="24" t="str">
        <f ca="1">IFERROR(__xludf.DUMMYFUNCTION("""COMPUTED_VALUE"""),"X")</f>
        <v>X</v>
      </c>
    </row>
    <row r="76" spans="1:8" ht="26.25" customHeight="1">
      <c r="A76" s="154">
        <f t="shared" ca="1" si="0"/>
        <v>73</v>
      </c>
      <c r="B76" s="19" t="str">
        <f ca="1">IFERROR(__xludf.DUMMYFUNCTION("""COMPUTED_VALUE"""),"The Architects' Journal")</f>
        <v>The Architects' Journal</v>
      </c>
      <c r="C76" s="19" t="str">
        <f ca="1">IFERROR(__xludf.DUMMYFUNCTION("""COMPUTED_VALUE"""),"The Architectural Press")</f>
        <v>The Architectural Press</v>
      </c>
      <c r="D76" s="20" t="str">
        <f ca="1">IFERROR(__xludf.DUMMYFUNCTION("""COMPUTED_VALUE"""),"0003-8466")</f>
        <v>0003-8466</v>
      </c>
      <c r="E76" s="32" t="str">
        <f ca="1">IFERROR(__xludf.DUMMYFUNCTION("""COMPUTED_VALUE"""),"1971-2021")</f>
        <v>1971-2021</v>
      </c>
      <c r="F76" s="43" t="str">
        <f ca="1">IFERROR(__xludf.DUMMYFUNCTION("""COMPUTED_VALUE"""),"-")</f>
        <v>-</v>
      </c>
      <c r="G76" s="157" t="str">
        <f ca="1">IFERROR(__xludf.DUMMYFUNCTION("""COMPUTED_VALUE"""),"http://www.riss.kr/link?id=S43399")</f>
        <v>http://www.riss.kr/link?id=S43399</v>
      </c>
      <c r="H76" s="24" t="str">
        <f ca="1">IFERROR(__xludf.DUMMYFUNCTION("""COMPUTED_VALUE"""),"O")</f>
        <v>O</v>
      </c>
    </row>
    <row r="77" spans="1:8" ht="26.25" customHeight="1">
      <c r="A77" s="154">
        <f t="shared" ca="1" si="0"/>
        <v>74</v>
      </c>
      <c r="B77" s="19" t="str">
        <f ca="1">IFERROR(__xludf.DUMMYFUNCTION("""COMPUTED_VALUE"""),"The Architectural Review")</f>
        <v>The Architectural Review</v>
      </c>
      <c r="C77" s="19" t="str">
        <f ca="1">IFERROR(__xludf.DUMMYFUNCTION("""COMPUTED_VALUE"""),"Architectural Press Ltd.")</f>
        <v>Architectural Press Ltd.</v>
      </c>
      <c r="D77" s="20" t="str">
        <f ca="1">IFERROR(__xludf.DUMMYFUNCTION("""COMPUTED_VALUE"""),"0003-861X")</f>
        <v>0003-861X</v>
      </c>
      <c r="E77" s="32" t="str">
        <f ca="1">IFERROR(__xludf.DUMMYFUNCTION("""COMPUTED_VALUE"""),"1995-2021")</f>
        <v>1995-2021</v>
      </c>
      <c r="F77" s="43" t="str">
        <f ca="1">IFERROR(__xludf.DUMMYFUNCTION("""COMPUTED_VALUE"""),"AHCI")</f>
        <v>AHCI</v>
      </c>
      <c r="G77" s="157" t="str">
        <f ca="1">IFERROR(__xludf.DUMMYFUNCTION("""COMPUTED_VALUE"""),"http://www.riss.kr/link?id=S11603111")</f>
        <v>http://www.riss.kr/link?id=S11603111</v>
      </c>
      <c r="H77" s="24" t="str">
        <f ca="1">IFERROR(__xludf.DUMMYFUNCTION("""COMPUTED_VALUE"""),"O")</f>
        <v>O</v>
      </c>
    </row>
    <row r="78" spans="1:8" ht="26.25" customHeight="1">
      <c r="A78" s="154">
        <f t="shared" ca="1" si="0"/>
        <v>75</v>
      </c>
      <c r="B78" s="19" t="str">
        <f ca="1">IFERROR(__xludf.DUMMYFUNCTION("""COMPUTED_VALUE"""),"The Baltic Journal of Road and Bridge Engineering")</f>
        <v>The Baltic Journal of Road and Bridge Engineering</v>
      </c>
      <c r="C78" s="19" t="str">
        <f ca="1">IFERROR(__xludf.DUMMYFUNCTION("""COMPUTED_VALUE"""),"Riga Technical University")</f>
        <v>Riga Technical University</v>
      </c>
      <c r="D78" s="20" t="str">
        <f ca="1">IFERROR(__xludf.DUMMYFUNCTION("""COMPUTED_VALUE"""),"1822-427X")</f>
        <v>1822-427X</v>
      </c>
      <c r="E78" s="32" t="str">
        <f ca="1">IFERROR(__xludf.DUMMYFUNCTION("""COMPUTED_VALUE"""),"2010-2019")</f>
        <v>2010-2019</v>
      </c>
      <c r="F78" s="43" t="str">
        <f ca="1">IFERROR(__xludf.DUMMYFUNCTION("""COMPUTED_VALUE"""),"SCIE, SCOPUS")</f>
        <v>SCIE, SCOPUS</v>
      </c>
      <c r="G78" s="157" t="str">
        <f ca="1">IFERROR(__xludf.DUMMYFUNCTION("""COMPUTED_VALUE"""),"http://www.riss.kr/link?id=S115374")</f>
        <v>http://www.riss.kr/link?id=S115374</v>
      </c>
      <c r="H78" s="24" t="str">
        <f ca="1">IFERROR(__xludf.DUMMYFUNCTION("""COMPUTED_VALUE"""),"X")</f>
        <v>X</v>
      </c>
    </row>
    <row r="79" spans="1:8" ht="26.25" customHeight="1">
      <c r="A79" s="154">
        <f t="shared" ca="1" si="0"/>
        <v>76</v>
      </c>
      <c r="B79" s="19" t="str">
        <f ca="1">IFERROR(__xludf.DUMMYFUNCTION("""COMPUTED_VALUE"""),"The Indian Concrete Journal")</f>
        <v>The Indian Concrete Journal</v>
      </c>
      <c r="C79" s="19" t="str">
        <f ca="1">IFERROR(__xludf.DUMMYFUNCTION("""COMPUTED_VALUE"""),"Associated Cement Companies Ltd.")</f>
        <v>Associated Cement Companies Ltd.</v>
      </c>
      <c r="D79" s="20" t="str">
        <f ca="1">IFERROR(__xludf.DUMMYFUNCTION("""COMPUTED_VALUE"""),"0019-4565")</f>
        <v>0019-4565</v>
      </c>
      <c r="E79" s="32" t="str">
        <f ca="1">IFERROR(__xludf.DUMMYFUNCTION("""COMPUTED_VALUE"""),"2010-2019")</f>
        <v>2010-2019</v>
      </c>
      <c r="F79" s="43" t="str">
        <f ca="1">IFERROR(__xludf.DUMMYFUNCTION("""COMPUTED_VALUE"""),"SCOPUS")</f>
        <v>SCOPUS</v>
      </c>
      <c r="G79" s="157" t="str">
        <f ca="1">IFERROR(__xludf.DUMMYFUNCTION("""COMPUTED_VALUE"""),"http://www.riss.kr/link?id=S28261")</f>
        <v>http://www.riss.kr/link?id=S28261</v>
      </c>
      <c r="H79" s="24" t="str">
        <f ca="1">IFERROR(__xludf.DUMMYFUNCTION("""COMPUTED_VALUE"""),"X")</f>
        <v>X</v>
      </c>
    </row>
    <row r="80" spans="1:8" ht="26.25" customHeight="1">
      <c r="A80" s="154">
        <f t="shared" ca="1" si="0"/>
        <v>77</v>
      </c>
      <c r="B80" s="19" t="str">
        <f ca="1">IFERROR(__xludf.DUMMYFUNCTION("""COMPUTED_VALUE"""),"The International Journal of Pavement Engineering")</f>
        <v>The International Journal of Pavement Engineering</v>
      </c>
      <c r="C80" s="19" t="str">
        <f ca="1">IFERROR(__xludf.DUMMYFUNCTION("""COMPUTED_VALUE"""),"Taylor &amp; Francis")</f>
        <v>Taylor &amp; Francis</v>
      </c>
      <c r="D80" s="20" t="str">
        <f ca="1">IFERROR(__xludf.DUMMYFUNCTION("""COMPUTED_VALUE"""),"1029-8436")</f>
        <v>1029-8436</v>
      </c>
      <c r="E80" s="32" t="str">
        <f ca="1">IFERROR(__xludf.DUMMYFUNCTION("""COMPUTED_VALUE"""),"2010-2021")</f>
        <v>2010-2021</v>
      </c>
      <c r="F80" s="43" t="str">
        <f ca="1">IFERROR(__xludf.DUMMYFUNCTION("""COMPUTED_VALUE"""),"SCIE, SCOPUS")</f>
        <v>SCIE, SCOPUS</v>
      </c>
      <c r="G80" s="157" t="str">
        <f ca="1">IFERROR(__xludf.DUMMYFUNCTION("""COMPUTED_VALUE"""),"http://www.riss.kr/link?id=S20015069")</f>
        <v>http://www.riss.kr/link?id=S20015069</v>
      </c>
      <c r="H80" s="24" t="str">
        <f ca="1">IFERROR(__xludf.DUMMYFUNCTION("""COMPUTED_VALUE"""),"O")</f>
        <v>O</v>
      </c>
    </row>
    <row r="81" spans="1:8" ht="26.25" customHeight="1">
      <c r="A81" s="154">
        <f t="shared" ca="1" si="0"/>
        <v>78</v>
      </c>
      <c r="B81" s="19" t="str">
        <f ca="1">IFERROR(__xludf.DUMMYFUNCTION("""COMPUTED_VALUE"""),"The Structural Engineer")</f>
        <v>The Structural Engineer</v>
      </c>
      <c r="C81" s="19" t="str">
        <f ca="1">IFERROR(__xludf.DUMMYFUNCTION("""COMPUTED_VALUE"""),"Structural Engineers Trading Organisation Ltd.")</f>
        <v>Structural Engineers Trading Organisation Ltd.</v>
      </c>
      <c r="D81" s="20" t="str">
        <f ca="1">IFERROR(__xludf.DUMMYFUNCTION("""COMPUTED_VALUE"""),"1466-5123")</f>
        <v>1466-5123</v>
      </c>
      <c r="E81" s="32" t="str">
        <f ca="1">IFERROR(__xludf.DUMMYFUNCTION("""COMPUTED_VALUE"""),"1988-2004, 2010-2014")</f>
        <v>1988-2004, 2010-2014</v>
      </c>
      <c r="F81" s="43" t="str">
        <f ca="1">IFERROR(__xludf.DUMMYFUNCTION("""COMPUTED_VALUE"""),"SCOPUS")</f>
        <v>SCOPUS</v>
      </c>
      <c r="G81" s="157" t="str">
        <f ca="1">IFERROR(__xludf.DUMMYFUNCTION("""COMPUTED_VALUE"""),"http://www.riss.kr/link?id=S29694")</f>
        <v>http://www.riss.kr/link?id=S29694</v>
      </c>
      <c r="H81" s="24" t="str">
        <f ca="1">IFERROR(__xludf.DUMMYFUNCTION("""COMPUTED_VALUE"""),"X")</f>
        <v>X</v>
      </c>
    </row>
    <row r="82" spans="1:8" ht="26.25" customHeight="1">
      <c r="A82" s="154">
        <f t="shared" ca="1" si="0"/>
        <v>79</v>
      </c>
      <c r="B82" s="19" t="str">
        <f ca="1">IFERROR(__xludf.DUMMYFUNCTION("""COMPUTED_VALUE"""),"Town Planning Review")</f>
        <v>Town Planning Review</v>
      </c>
      <c r="C82" s="19" t="str">
        <f ca="1">IFERROR(__xludf.DUMMYFUNCTION("""COMPUTED_VALUE"""),"Liverpool University Press")</f>
        <v>Liverpool University Press</v>
      </c>
      <c r="D82" s="20" t="str">
        <f ca="1">IFERROR(__xludf.DUMMYFUNCTION("""COMPUTED_VALUE"""),"0041-0020")</f>
        <v>0041-0020</v>
      </c>
      <c r="E82" s="32" t="str">
        <f ca="1">IFERROR(__xludf.DUMMYFUNCTION("""COMPUTED_VALUE"""),"1981-2019")</f>
        <v>1981-2019</v>
      </c>
      <c r="F82" s="43" t="str">
        <f ca="1">IFERROR(__xludf.DUMMYFUNCTION("""COMPUTED_VALUE"""),"ESCI, SCOPUS")</f>
        <v>ESCI, SCOPUS</v>
      </c>
      <c r="G82" s="157" t="str">
        <f ca="1">IFERROR(__xludf.DUMMYFUNCTION("""COMPUTED_VALUE"""),"http://www.riss.kr/link?id=S15438")</f>
        <v>http://www.riss.kr/link?id=S15438</v>
      </c>
      <c r="H82" s="24" t="str">
        <f ca="1">IFERROR(__xludf.DUMMYFUNCTION("""COMPUTED_VALUE"""),"X")</f>
        <v>X</v>
      </c>
    </row>
    <row r="83" spans="1:8" ht="26.25" customHeight="1">
      <c r="A83" s="154">
        <f t="shared" ca="1" si="0"/>
        <v>80</v>
      </c>
      <c r="B83" s="19" t="str">
        <f ca="1">IFERROR(__xludf.DUMMYFUNCTION("""COMPUTED_VALUE"""),"Wallpaper")</f>
        <v>Wallpaper</v>
      </c>
      <c r="C83" s="19" t="str">
        <f ca="1">IFERROR(__xludf.DUMMYFUNCTION("""COMPUTED_VALUE"""),"T I Media")</f>
        <v>T I Media</v>
      </c>
      <c r="D83" s="20" t="str">
        <f ca="1">IFERROR(__xludf.DUMMYFUNCTION("""COMPUTED_VALUE"""),"1364-4475")</f>
        <v>1364-4475</v>
      </c>
      <c r="E83" s="32" t="str">
        <f ca="1">IFERROR(__xludf.DUMMYFUNCTION("""COMPUTED_VALUE"""),"2005-2008, 2013-2020")</f>
        <v>2005-2008, 2013-2020</v>
      </c>
      <c r="F83" s="43" t="str">
        <f ca="1">IFERROR(__xludf.DUMMYFUNCTION("""COMPUTED_VALUE"""),"-")</f>
        <v>-</v>
      </c>
      <c r="G83" s="157" t="str">
        <f ca="1">IFERROR(__xludf.DUMMYFUNCTION("""COMPUTED_VALUE"""),"http://www.riss.kr/link?id=S11621370")</f>
        <v>http://www.riss.kr/link?id=S11621370</v>
      </c>
      <c r="H83" s="95" t="str">
        <f ca="1">IFERROR(__xludf.DUMMYFUNCTION("""COMPUTED_VALUE"""),"X")</f>
        <v>X</v>
      </c>
    </row>
    <row r="84" spans="1:8" ht="26.25" customHeight="1">
      <c r="A84" s="154">
        <f t="shared" ca="1" si="0"/>
        <v>81</v>
      </c>
      <c r="B84" s="19" t="str">
        <f ca="1">IFERROR(__xludf.DUMMYFUNCTION("""COMPUTED_VALUE"""),"Wind &amp; Structures")</f>
        <v>Wind &amp; Structures</v>
      </c>
      <c r="C84" s="19" t="str">
        <f ca="1">IFERROR(__xludf.DUMMYFUNCTION("""COMPUTED_VALUE"""),"Techno-Press")</f>
        <v>Techno-Press</v>
      </c>
      <c r="D84" s="20" t="str">
        <f ca="1">IFERROR(__xludf.DUMMYFUNCTION("""COMPUTED_VALUE"""),"1226-6116")</f>
        <v>1226-6116</v>
      </c>
      <c r="E84" s="32" t="str">
        <f ca="1">IFERROR(__xludf.DUMMYFUNCTION("""COMPUTED_VALUE"""),"2010-2021")</f>
        <v>2010-2021</v>
      </c>
      <c r="F84" s="43" t="str">
        <f ca="1">IFERROR(__xludf.DUMMYFUNCTION("""COMPUTED_VALUE"""),"SCIE, SCOPUS")</f>
        <v>SCIE, SCOPUS</v>
      </c>
      <c r="G84" s="157" t="str">
        <f ca="1">IFERROR(__xludf.DUMMYFUNCTION("""COMPUTED_VALUE"""),"http://www.riss.kr/link?id=S29114")</f>
        <v>http://www.riss.kr/link?id=S29114</v>
      </c>
      <c r="H84" s="24" t="str">
        <f ca="1">IFERROR(__xludf.DUMMYFUNCTION("""COMPUTED_VALUE"""),"O")</f>
        <v>O</v>
      </c>
    </row>
    <row r="85" spans="1:8" ht="26.25" customHeight="1">
      <c r="A85" s="154">
        <f t="shared" ca="1" si="0"/>
        <v>82</v>
      </c>
      <c r="B85" s="19" t="str">
        <f ca="1">IFERROR(__xludf.DUMMYFUNCTION("""COMPUTED_VALUE"""),"ZKG. Zement-Kalk-Gips")</f>
        <v>ZKG. Zement-Kalk-Gips</v>
      </c>
      <c r="C85" s="19" t="str">
        <f ca="1">IFERROR(__xludf.DUMMYFUNCTION("""COMPUTED_VALUE"""),"Bauverlag BV GmbH")</f>
        <v>Bauverlag BV GmbH</v>
      </c>
      <c r="D85" s="20" t="str">
        <f ca="1">IFERROR(__xludf.DUMMYFUNCTION("""COMPUTED_VALUE"""),"0949-0205")</f>
        <v>0949-0205</v>
      </c>
      <c r="E85" s="32" t="str">
        <f ca="1">IFERROR(__xludf.DUMMYFUNCTION("""COMPUTED_VALUE"""),"2010-2019")</f>
        <v>2010-2019</v>
      </c>
      <c r="F85" s="43" t="str">
        <f ca="1">IFERROR(__xludf.DUMMYFUNCTION("""COMPUTED_VALUE"""),"-")</f>
        <v>-</v>
      </c>
      <c r="G85" s="157" t="str">
        <f ca="1">IFERROR(__xludf.DUMMYFUNCTION("""COMPUTED_VALUE"""),"http://www.riss.kr/link?id=S11606249")</f>
        <v>http://www.riss.kr/link?id=S11606249</v>
      </c>
      <c r="H85" s="24" t="str">
        <f ca="1">IFERROR(__xludf.DUMMYFUNCTION("""COMPUTED_VALUE"""),"X")</f>
        <v>X</v>
      </c>
    </row>
    <row r="86" spans="1:8" ht="26.25" customHeight="1">
      <c r="A86" s="154">
        <f t="shared" ca="1" si="0"/>
        <v>83</v>
      </c>
      <c r="B86" s="19" t="str">
        <f ca="1">IFERROR(__xludf.DUMMYFUNCTION("""COMPUTED_VALUE"""),"コソクリ-ト工學論文集")</f>
        <v>コソクリ-ト工學論文集</v>
      </c>
      <c r="C86" s="19" t="str">
        <f ca="1">IFERROR(__xludf.DUMMYFUNCTION("""COMPUTED_VALUE"""),"Japan Concrete Institute")</f>
        <v>Japan Concrete Institute</v>
      </c>
      <c r="D86" s="20" t="str">
        <f ca="1">IFERROR(__xludf.DUMMYFUNCTION("""COMPUTED_VALUE"""),"1340-4733")</f>
        <v>1340-4733</v>
      </c>
      <c r="E86" s="32" t="str">
        <f ca="1">IFERROR(__xludf.DUMMYFUNCTION("""COMPUTED_VALUE"""),"2000-2011")</f>
        <v>2000-2011</v>
      </c>
      <c r="F86" s="43" t="str">
        <f ca="1">IFERROR(__xludf.DUMMYFUNCTION("""COMPUTED_VALUE"""),"-")</f>
        <v>-</v>
      </c>
      <c r="G86" s="157" t="str">
        <f ca="1">IFERROR(__xludf.DUMMYFUNCTION("""COMPUTED_VALUE"""),"http://www.riss.kr/link?id=S88228")</f>
        <v>http://www.riss.kr/link?id=S88228</v>
      </c>
      <c r="H86" s="24" t="str">
        <f ca="1">IFERROR(__xludf.DUMMYFUNCTION("""COMPUTED_VALUE"""),"X")</f>
        <v>X</v>
      </c>
    </row>
    <row r="87" spans="1:8" ht="26.25" customHeight="1">
      <c r="A87" s="154">
        <f t="shared" ca="1" si="0"/>
        <v>84</v>
      </c>
      <c r="B87" s="19" t="str">
        <f ca="1">IFERROR(__xludf.DUMMYFUNCTION("""COMPUTED_VALUE"""),"コンクリ－ト工學")</f>
        <v>コンクリ－ト工學</v>
      </c>
      <c r="C87" s="19" t="str">
        <f ca="1">IFERROR(__xludf.DUMMYFUNCTION("""COMPUTED_VALUE"""),"Japan Concrete Institute")</f>
        <v>Japan Concrete Institute</v>
      </c>
      <c r="D87" s="20" t="str">
        <f ca="1">IFERROR(__xludf.DUMMYFUNCTION("""COMPUTED_VALUE"""),"0387-1061")</f>
        <v>0387-1061</v>
      </c>
      <c r="E87" s="32" t="str">
        <f ca="1">IFERROR(__xludf.DUMMYFUNCTION("""COMPUTED_VALUE"""),"1981-2004, 2006-2021")</f>
        <v>1981-2004, 2006-2021</v>
      </c>
      <c r="F87" s="43" t="str">
        <f ca="1">IFERROR(__xludf.DUMMYFUNCTION("""COMPUTED_VALUE"""),"-")</f>
        <v>-</v>
      </c>
      <c r="G87" s="157" t="str">
        <f ca="1">IFERROR(__xludf.DUMMYFUNCTION("""COMPUTED_VALUE"""),"http://www.riss.kr/link?id=S64419")</f>
        <v>http://www.riss.kr/link?id=S64419</v>
      </c>
      <c r="H87" s="24" t="str">
        <f ca="1">IFERROR(__xludf.DUMMYFUNCTION("""COMPUTED_VALUE"""),"O")</f>
        <v>O</v>
      </c>
    </row>
    <row r="88" spans="1:8" ht="26.25" customHeight="1">
      <c r="A88" s="154">
        <f t="shared" ca="1" si="0"/>
        <v>85</v>
      </c>
      <c r="B88" s="19" t="str">
        <f ca="1">IFERROR(__xludf.DUMMYFUNCTION("""COMPUTED_VALUE"""),"セメント.コンクリ-ト")</f>
        <v>セメント.コンクリ-ト</v>
      </c>
      <c r="C88" s="19" t="str">
        <f ca="1">IFERROR(__xludf.DUMMYFUNCTION("""COMPUTED_VALUE"""),"セメント協會")</f>
        <v>セメント協會</v>
      </c>
      <c r="D88" s="20" t="str">
        <f ca="1">IFERROR(__xludf.DUMMYFUNCTION("""COMPUTED_VALUE"""),"0371-0718")</f>
        <v>0371-0718</v>
      </c>
      <c r="E88" s="32" t="str">
        <f ca="1">IFERROR(__xludf.DUMMYFUNCTION("""COMPUTED_VALUE"""),"1971, 1981-2020")</f>
        <v>1971, 1981-2020</v>
      </c>
      <c r="F88" s="43" t="str">
        <f ca="1">IFERROR(__xludf.DUMMYFUNCTION("""COMPUTED_VALUE"""),"-")</f>
        <v>-</v>
      </c>
      <c r="G88" s="157" t="str">
        <f ca="1">IFERROR(__xludf.DUMMYFUNCTION("""COMPUTED_VALUE"""),"http://www.riss.kr/link?id=S25143")</f>
        <v>http://www.riss.kr/link?id=S25143</v>
      </c>
      <c r="H88" s="24" t="str">
        <f ca="1">IFERROR(__xludf.DUMMYFUNCTION("""COMPUTED_VALUE"""),"X")</f>
        <v>X</v>
      </c>
    </row>
    <row r="89" spans="1:8" ht="26.25" customHeight="1">
      <c r="A89" s="154">
        <f t="shared" ca="1" si="0"/>
        <v>86</v>
      </c>
      <c r="B89" s="19" t="str">
        <f ca="1">IFERROR(__xludf.DUMMYFUNCTION("""COMPUTED_VALUE"""),"トンネルと地下")</f>
        <v>トンネルと地下</v>
      </c>
      <c r="C89" s="19" t="str">
        <f ca="1">IFERROR(__xludf.DUMMYFUNCTION("""COMPUTED_VALUE"""),"Doboku Kogakusha")</f>
        <v>Doboku Kogakusha</v>
      </c>
      <c r="D89" s="20" t="str">
        <f ca="1">IFERROR(__xludf.DUMMYFUNCTION("""COMPUTED_VALUE"""),"0285-631X")</f>
        <v>0285-631X</v>
      </c>
      <c r="E89" s="32" t="str">
        <f ca="1">IFERROR(__xludf.DUMMYFUNCTION("""COMPUTED_VALUE"""),"2011-2019")</f>
        <v>2011-2019</v>
      </c>
      <c r="F89" s="43" t="str">
        <f ca="1">IFERROR(__xludf.DUMMYFUNCTION("""COMPUTED_VALUE"""),"-")</f>
        <v>-</v>
      </c>
      <c r="G89" s="157" t="str">
        <f ca="1">IFERROR(__xludf.DUMMYFUNCTION("""COMPUTED_VALUE"""),"http://www.riss.kr/link?id=S20190")</f>
        <v>http://www.riss.kr/link?id=S20190</v>
      </c>
      <c r="H89" s="24" t="str">
        <f ca="1">IFERROR(__xludf.DUMMYFUNCTION("""COMPUTED_VALUE"""),"X")</f>
        <v>X</v>
      </c>
    </row>
    <row r="90" spans="1:8" ht="26.25" customHeight="1">
      <c r="A90" s="154">
        <f t="shared" ca="1" si="0"/>
        <v>87</v>
      </c>
      <c r="B90" s="19" t="str">
        <f ca="1">IFERROR(__xludf.DUMMYFUNCTION("""COMPUTED_VALUE"""),"プレストレスト コンクリ-ト")</f>
        <v>プレストレスト コンクリ-ト</v>
      </c>
      <c r="C90" s="19" t="str">
        <f ca="1">IFERROR(__xludf.DUMMYFUNCTION("""COMPUTED_VALUE"""),"Japan Prestressed Concrete Engineering Association")</f>
        <v>Japan Prestressed Concrete Engineering Association</v>
      </c>
      <c r="D90" s="20" t="str">
        <f ca="1">IFERROR(__xludf.DUMMYFUNCTION("""COMPUTED_VALUE"""),"0387-1983")</f>
        <v>0387-1983</v>
      </c>
      <c r="E90" s="32" t="str">
        <f ca="1">IFERROR(__xludf.DUMMYFUNCTION("""COMPUTED_VALUE"""),"2010-2021")</f>
        <v>2010-2021</v>
      </c>
      <c r="F90" s="43" t="str">
        <f ca="1">IFERROR(__xludf.DUMMYFUNCTION("""COMPUTED_VALUE"""),"-")</f>
        <v>-</v>
      </c>
      <c r="G90" s="157" t="str">
        <f ca="1">IFERROR(__xludf.DUMMYFUNCTION("""COMPUTED_VALUE"""),"http://www.riss.kr/link?id=S48390")</f>
        <v>http://www.riss.kr/link?id=S48390</v>
      </c>
      <c r="H90" s="24" t="str">
        <f ca="1">IFERROR(__xludf.DUMMYFUNCTION("""COMPUTED_VALUE"""),"O")</f>
        <v>O</v>
      </c>
    </row>
    <row r="91" spans="1:8" ht="26.25" customHeight="1">
      <c r="A91" s="154">
        <f t="shared" ca="1" si="0"/>
        <v>88</v>
      </c>
      <c r="B91" s="19" t="str">
        <f ca="1">IFERROR(__xludf.DUMMYFUNCTION("""COMPUTED_VALUE"""),"マイガーデン")</f>
        <v>マイガーデン</v>
      </c>
      <c r="C91" s="19" t="str">
        <f ca="1">IFERROR(__xludf.DUMMYFUNCTION("""COMPUTED_VALUE"""),"マルモ出版")</f>
        <v>マルモ出版</v>
      </c>
      <c r="D91" s="20" t="str">
        <f ca="1">IFERROR(__xludf.DUMMYFUNCTION("""COMPUTED_VALUE"""),"1343-4217")</f>
        <v>1343-4217</v>
      </c>
      <c r="E91" s="32" t="str">
        <f ca="1">IFERROR(__xludf.DUMMYFUNCTION("""COMPUTED_VALUE"""),"2002-2019")</f>
        <v>2002-2019</v>
      </c>
      <c r="F91" s="43" t="str">
        <f ca="1">IFERROR(__xludf.DUMMYFUNCTION("""COMPUTED_VALUE"""),"-")</f>
        <v>-</v>
      </c>
      <c r="G91" s="157" t="str">
        <f ca="1">IFERROR(__xludf.DUMMYFUNCTION("""COMPUTED_VALUE"""),"http://www.riss.kr/link?id=S144775")</f>
        <v>http://www.riss.kr/link?id=S144775</v>
      </c>
      <c r="H91" s="24" t="str">
        <f ca="1">IFERROR(__xludf.DUMMYFUNCTION("""COMPUTED_VALUE"""),"X")</f>
        <v>X</v>
      </c>
    </row>
    <row r="92" spans="1:8" ht="26.25" customHeight="1">
      <c r="A92" s="154">
        <f t="shared" ca="1" si="0"/>
        <v>89</v>
      </c>
      <c r="B92" s="19" t="str">
        <f ca="1">IFERROR(__xludf.DUMMYFUNCTION("""COMPUTED_VALUE"""),"建築と社會")</f>
        <v>建築と社會</v>
      </c>
      <c r="C92" s="19" t="str">
        <f ca="1">IFERROR(__xludf.DUMMYFUNCTION("""COMPUTED_VALUE"""),"日本建築協會")</f>
        <v>日本建築協會</v>
      </c>
      <c r="D92" s="20" t="str">
        <f ca="1">IFERROR(__xludf.DUMMYFUNCTION("""COMPUTED_VALUE"""),"0912-8182")</f>
        <v>0912-8182</v>
      </c>
      <c r="E92" s="32" t="str">
        <f ca="1">IFERROR(__xludf.DUMMYFUNCTION("""COMPUTED_VALUE"""),"2011-2020")</f>
        <v>2011-2020</v>
      </c>
      <c r="F92" s="43" t="str">
        <f ca="1">IFERROR(__xludf.DUMMYFUNCTION("""COMPUTED_VALUE"""),"-")</f>
        <v>-</v>
      </c>
      <c r="G92" s="157" t="str">
        <f ca="1">IFERROR(__xludf.DUMMYFUNCTION("""COMPUTED_VALUE"""),"http://www.riss.kr/link?id=S87980")</f>
        <v>http://www.riss.kr/link?id=S87980</v>
      </c>
      <c r="H92" s="24" t="str">
        <f ca="1">IFERROR(__xludf.DUMMYFUNCTION("""COMPUTED_VALUE"""),"X")</f>
        <v>X</v>
      </c>
    </row>
    <row r="93" spans="1:8" ht="26.25" customHeight="1">
      <c r="A93" s="154">
        <f t="shared" ca="1" si="0"/>
        <v>90</v>
      </c>
      <c r="B93" s="19" t="str">
        <f ca="1">IFERROR(__xludf.DUMMYFUNCTION("""COMPUTED_VALUE"""),"建築と積算")</f>
        <v>建築と積算</v>
      </c>
      <c r="C93" s="19" t="str">
        <f ca="1">IFERROR(__xludf.DUMMYFUNCTION("""COMPUTED_VALUE"""),"日本建築積算協會")</f>
        <v>日本建築積算協會</v>
      </c>
      <c r="D93" s="20" t="str">
        <f ca="1">IFERROR(__xludf.DUMMYFUNCTION("""COMPUTED_VALUE"""),"0389-9721")</f>
        <v>0389-9721</v>
      </c>
      <c r="E93" s="32" t="str">
        <f ca="1">IFERROR(__xludf.DUMMYFUNCTION("""COMPUTED_VALUE"""),"2010-2020")</f>
        <v>2010-2020</v>
      </c>
      <c r="F93" s="43" t="str">
        <f ca="1">IFERROR(__xludf.DUMMYFUNCTION("""COMPUTED_VALUE"""),"-")</f>
        <v>-</v>
      </c>
      <c r="G93" s="157" t="str">
        <f ca="1">IFERROR(__xludf.DUMMYFUNCTION("""COMPUTED_VALUE"""),"http://www.riss.kr/link?id=S80195")</f>
        <v>http://www.riss.kr/link?id=S80195</v>
      </c>
      <c r="H93" s="24" t="str">
        <f ca="1">IFERROR(__xludf.DUMMYFUNCTION("""COMPUTED_VALUE"""),"X")</f>
        <v>X</v>
      </c>
    </row>
    <row r="94" spans="1:8" ht="26.25" customHeight="1">
      <c r="A94" s="154">
        <f t="shared" ca="1" si="0"/>
        <v>91</v>
      </c>
      <c r="B94" s="19" t="str">
        <f ca="1">IFERROR(__xludf.DUMMYFUNCTION("""COMPUTED_VALUE"""),"建築技術")</f>
        <v>建築技術</v>
      </c>
      <c r="C94" s="19" t="str">
        <f ca="1">IFERROR(__xludf.DUMMYFUNCTION("""COMPUTED_VALUE"""),"建築技術社")</f>
        <v>建築技術社</v>
      </c>
      <c r="D94" s="20" t="str">
        <f ca="1">IFERROR(__xludf.DUMMYFUNCTION("""COMPUTED_VALUE"""),"0022-9911")</f>
        <v>0022-9911</v>
      </c>
      <c r="E94" s="32" t="str">
        <f ca="1">IFERROR(__xludf.DUMMYFUNCTION("""COMPUTED_VALUE"""),"1972-1978, 1980, 1982-2021")</f>
        <v>1972-1978, 1980, 1982-2021</v>
      </c>
      <c r="F94" s="43" t="str">
        <f ca="1">IFERROR(__xludf.DUMMYFUNCTION("""COMPUTED_VALUE"""),"-")</f>
        <v>-</v>
      </c>
      <c r="G94" s="157" t="str">
        <f ca="1">IFERROR(__xludf.DUMMYFUNCTION("""COMPUTED_VALUE"""),"http://www.riss.kr/link?id=S30780")</f>
        <v>http://www.riss.kr/link?id=S30780</v>
      </c>
      <c r="H94" s="24" t="str">
        <f ca="1">IFERROR(__xludf.DUMMYFUNCTION("""COMPUTED_VALUE"""),"O")</f>
        <v>O</v>
      </c>
    </row>
    <row r="95" spans="1:8" ht="26.25" customHeight="1">
      <c r="A95" s="154">
        <f t="shared" ca="1" si="0"/>
        <v>92</v>
      </c>
      <c r="B95" s="19" t="str">
        <f ca="1">IFERROR(__xludf.DUMMYFUNCTION("""COMPUTED_VALUE"""),"建築文化")</f>
        <v>建築文化</v>
      </c>
      <c r="C95" s="19" t="str">
        <f ca="1">IFERROR(__xludf.DUMMYFUNCTION("""COMPUTED_VALUE"""),"Shokokusha Publishing Co. Ltd.")</f>
        <v>Shokokusha Publishing Co. Ltd.</v>
      </c>
      <c r="D95" s="20" t="str">
        <f ca="1">IFERROR(__xludf.DUMMYFUNCTION("""COMPUTED_VALUE"""),"0003-8490")</f>
        <v>0003-8490</v>
      </c>
      <c r="E95" s="32" t="str">
        <f ca="1">IFERROR(__xludf.DUMMYFUNCTION("""COMPUTED_VALUE"""),"1976-2004")</f>
        <v>1976-2004</v>
      </c>
      <c r="F95" s="43" t="str">
        <f ca="1">IFERROR(__xludf.DUMMYFUNCTION("""COMPUTED_VALUE"""),"-")</f>
        <v>-</v>
      </c>
      <c r="G95" s="157" t="str">
        <f ca="1">IFERROR(__xludf.DUMMYFUNCTION("""COMPUTED_VALUE"""),"http://www.riss.kr/link?id=S77936")</f>
        <v>http://www.riss.kr/link?id=S77936</v>
      </c>
      <c r="H95" s="24" t="str">
        <f ca="1">IFERROR(__xludf.DUMMYFUNCTION("""COMPUTED_VALUE"""),"X")</f>
        <v>X</v>
      </c>
    </row>
    <row r="96" spans="1:8" ht="26.25" customHeight="1">
      <c r="A96" s="154">
        <f t="shared" ca="1" si="0"/>
        <v>93</v>
      </c>
      <c r="B96" s="19" t="str">
        <f ca="1">IFERROR(__xludf.DUMMYFUNCTION("""COMPUTED_VALUE"""),"建築設備")</f>
        <v>建築設備</v>
      </c>
      <c r="C96" s="19" t="str">
        <f ca="1">IFERROR(__xludf.DUMMYFUNCTION("""COMPUTED_VALUE"""),"建築設備綜合協會")</f>
        <v>建築設備綜合協會</v>
      </c>
      <c r="D96" s="100" t="str">
        <f ca="1">IFERROR(__xludf.DUMMYFUNCTION("""COMPUTED_VALUE"""),"1346-9371")</f>
        <v>1346-9371</v>
      </c>
      <c r="E96" s="32" t="str">
        <f ca="1">IFERROR(__xludf.DUMMYFUNCTION("""COMPUTED_VALUE"""),"1999, 2011-2021")</f>
        <v>1999, 2011-2021</v>
      </c>
      <c r="F96" s="43" t="str">
        <f ca="1">IFERROR(__xludf.DUMMYFUNCTION("""COMPUTED_VALUE"""),"-")</f>
        <v>-</v>
      </c>
      <c r="G96" s="157" t="str">
        <f ca="1">IFERROR(__xludf.DUMMYFUNCTION("""COMPUTED_VALUE"""),"http://www.riss.kr/link?id=S64125")</f>
        <v>http://www.riss.kr/link?id=S64125</v>
      </c>
      <c r="H96" s="24" t="str">
        <f ca="1">IFERROR(__xludf.DUMMYFUNCTION("""COMPUTED_VALUE"""),"O")</f>
        <v>O</v>
      </c>
    </row>
    <row r="97" spans="1:8" ht="26.25" customHeight="1">
      <c r="A97" s="154">
        <f t="shared" ca="1" si="0"/>
        <v>94</v>
      </c>
      <c r="B97" s="19" t="str">
        <f ca="1">IFERROR(__xludf.DUMMYFUNCTION("""COMPUTED_VALUE"""),"建築設備と配管工事")</f>
        <v>建築設備と配管工事</v>
      </c>
      <c r="C97" s="19" t="str">
        <f ca="1">IFERROR(__xludf.DUMMYFUNCTION("""COMPUTED_VALUE"""),"Japan Industrial Publishing Co., Ltd.")</f>
        <v>Japan Industrial Publishing Co., Ltd.</v>
      </c>
      <c r="D97" s="20" t="str">
        <f ca="1">IFERROR(__xludf.DUMMYFUNCTION("""COMPUTED_VALUE"""),"0385-9851")</f>
        <v>0385-9851</v>
      </c>
      <c r="E97" s="32" t="str">
        <f ca="1">IFERROR(__xludf.DUMMYFUNCTION("""COMPUTED_VALUE"""),"2010-2020")</f>
        <v>2010-2020</v>
      </c>
      <c r="F97" s="43" t="str">
        <f ca="1">IFERROR(__xludf.DUMMYFUNCTION("""COMPUTED_VALUE"""),"-")</f>
        <v>-</v>
      </c>
      <c r="G97" s="157" t="str">
        <f ca="1">IFERROR(__xludf.DUMMYFUNCTION("""COMPUTED_VALUE"""),"http://www.riss.kr/link?id=S68575")</f>
        <v>http://www.riss.kr/link?id=S68575</v>
      </c>
      <c r="H97" s="24" t="str">
        <f ca="1">IFERROR(__xludf.DUMMYFUNCTION("""COMPUTED_VALUE"""),"X")</f>
        <v>X</v>
      </c>
    </row>
    <row r="98" spans="1:8" ht="26.25" customHeight="1">
      <c r="A98" s="154">
        <f t="shared" ca="1" si="0"/>
        <v>95</v>
      </c>
      <c r="B98" s="19" t="str">
        <f ca="1">IFERROR(__xludf.DUMMYFUNCTION("""COMPUTED_VALUE"""),"建築雜誌")</f>
        <v>建築雜誌</v>
      </c>
      <c r="C98" s="19" t="str">
        <f ca="1">IFERROR(__xludf.DUMMYFUNCTION("""COMPUTED_VALUE"""),"Architectural Institute of Japan")</f>
        <v>Architectural Institute of Japan</v>
      </c>
      <c r="D98" s="20" t="str">
        <f ca="1">IFERROR(__xludf.DUMMYFUNCTION("""COMPUTED_VALUE"""),"0003-8555")</f>
        <v>0003-8555</v>
      </c>
      <c r="E98" s="32" t="str">
        <f ca="1">IFERROR(__xludf.DUMMYFUNCTION("""COMPUTED_VALUE"""),"1974-1980, 1982-2021")</f>
        <v>1974-1980, 1982-2021</v>
      </c>
      <c r="F98" s="43" t="str">
        <f ca="1">IFERROR(__xludf.DUMMYFUNCTION("""COMPUTED_VALUE"""),"-")</f>
        <v>-</v>
      </c>
      <c r="G98" s="157" t="str">
        <f ca="1">IFERROR(__xludf.DUMMYFUNCTION("""COMPUTED_VALUE"""),"http://www.riss.kr/link?id=S7757")</f>
        <v>http://www.riss.kr/link?id=S7757</v>
      </c>
      <c r="H98" s="24" t="str">
        <f ca="1">IFERROR(__xludf.DUMMYFUNCTION("""COMPUTED_VALUE"""),"O")</f>
        <v>O</v>
      </c>
    </row>
    <row r="99" spans="1:8" ht="26.25" customHeight="1">
      <c r="A99" s="154">
        <f t="shared" ca="1" si="0"/>
        <v>96</v>
      </c>
      <c r="B99" s="19" t="str">
        <f ca="1">IFERROR(__xludf.DUMMYFUNCTION("""COMPUTED_VALUE"""),"公園綠地")</f>
        <v>公園綠地</v>
      </c>
      <c r="C99" s="19" t="str">
        <f ca="1">IFERROR(__xludf.DUMMYFUNCTION("""COMPUTED_VALUE"""),"日本公園綠地協会")</f>
        <v>日本公園綠地協会</v>
      </c>
      <c r="D99" s="20" t="str">
        <f ca="1">IFERROR(__xludf.DUMMYFUNCTION("""COMPUTED_VALUE"""),"0287-9034")</f>
        <v>0287-9034</v>
      </c>
      <c r="E99" s="32" t="str">
        <f ca="1">IFERROR(__xludf.DUMMYFUNCTION("""COMPUTED_VALUE"""),"2003-2017")</f>
        <v>2003-2017</v>
      </c>
      <c r="F99" s="43" t="str">
        <f ca="1">IFERROR(__xludf.DUMMYFUNCTION("""COMPUTED_VALUE"""),"-")</f>
        <v>-</v>
      </c>
      <c r="G99" s="157" t="str">
        <f ca="1">IFERROR(__xludf.DUMMYFUNCTION("""COMPUTED_VALUE"""),"http://www.riss.kr/link?id=S36945")</f>
        <v>http://www.riss.kr/link?id=S36945</v>
      </c>
      <c r="H99" s="24" t="str">
        <f ca="1">IFERROR(__xludf.DUMMYFUNCTION("""COMPUTED_VALUE"""),"X")</f>
        <v>X</v>
      </c>
    </row>
    <row r="100" spans="1:8" ht="26.25" customHeight="1">
      <c r="A100" s="154">
        <f t="shared" ca="1" si="0"/>
        <v>97</v>
      </c>
      <c r="B100" s="19" t="str">
        <f ca="1">IFERROR(__xludf.DUMMYFUNCTION("""COMPUTED_VALUE"""),"橋梁")</f>
        <v>橋梁</v>
      </c>
      <c r="C100" s="19" t="str">
        <f ca="1">IFERROR(__xludf.DUMMYFUNCTION("""COMPUTED_VALUE"""),"橋梁編纂會")</f>
        <v>橋梁編纂會</v>
      </c>
      <c r="D100" s="20" t="str">
        <f ca="1">IFERROR(__xludf.DUMMYFUNCTION("""COMPUTED_VALUE"""),"0287-0991")</f>
        <v>0287-0991</v>
      </c>
      <c r="E100" s="32" t="str">
        <f ca="1">IFERROR(__xludf.DUMMYFUNCTION("""COMPUTED_VALUE"""),"1980-1998")</f>
        <v>1980-1998</v>
      </c>
      <c r="F100" s="43" t="str">
        <f ca="1">IFERROR(__xludf.DUMMYFUNCTION("""COMPUTED_VALUE"""),"-")</f>
        <v>-</v>
      </c>
      <c r="G100" s="157" t="str">
        <f ca="1">IFERROR(__xludf.DUMMYFUNCTION("""COMPUTED_VALUE"""),"http://www.riss.kr/link?id=S60897")</f>
        <v>http://www.riss.kr/link?id=S60897</v>
      </c>
      <c r="H100" s="24" t="str">
        <f ca="1">IFERROR(__xludf.DUMMYFUNCTION("""COMPUTED_VALUE"""),"X")</f>
        <v>X</v>
      </c>
    </row>
    <row r="101" spans="1:8" ht="26.25" customHeight="1">
      <c r="A101" s="154">
        <f t="shared" ca="1" si="0"/>
        <v>98</v>
      </c>
      <c r="B101" s="19" t="str">
        <f ca="1">IFERROR(__xludf.DUMMYFUNCTION("""COMPUTED_VALUE"""),"橋梁 &amp; 都市 project")</f>
        <v>橋梁 &amp; 都市 project</v>
      </c>
      <c r="C101" s="19" t="str">
        <f ca="1">IFERROR(__xludf.DUMMYFUNCTION("""COMPUTED_VALUE"""),"Kyoryo Hensan-iinkai")</f>
        <v>Kyoryo Hensan-iinkai</v>
      </c>
      <c r="D101" s="20" t="str">
        <f ca="1">IFERROR(__xludf.DUMMYFUNCTION("""COMPUTED_VALUE"""),"1344-7084")</f>
        <v>1344-7084</v>
      </c>
      <c r="E101" s="32" t="str">
        <f ca="1">IFERROR(__xludf.DUMMYFUNCTION("""COMPUTED_VALUE"""),"1999-2010")</f>
        <v>1999-2010</v>
      </c>
      <c r="F101" s="43" t="str">
        <f ca="1">IFERROR(__xludf.DUMMYFUNCTION("""COMPUTED_VALUE"""),"-")</f>
        <v>-</v>
      </c>
      <c r="G101" s="157" t="str">
        <f ca="1">IFERROR(__xludf.DUMMYFUNCTION("""COMPUTED_VALUE"""),"http://www.riss.kr/link?id=S27654")</f>
        <v>http://www.riss.kr/link?id=S27654</v>
      </c>
      <c r="H101" s="24" t="str">
        <f ca="1">IFERROR(__xludf.DUMMYFUNCTION("""COMPUTED_VALUE"""),"X")</f>
        <v>X</v>
      </c>
    </row>
    <row r="102" spans="1:8" ht="26.25" customHeight="1">
      <c r="A102" s="154">
        <f t="shared" ca="1" si="0"/>
        <v>99</v>
      </c>
      <c r="B102" s="19" t="str">
        <f ca="1">IFERROR(__xludf.DUMMYFUNCTION("""COMPUTED_VALUE"""),"橋梁と基礎")</f>
        <v>橋梁と基礎</v>
      </c>
      <c r="C102" s="19" t="str">
        <f ca="1">IFERROR(__xludf.DUMMYFUNCTION("""COMPUTED_VALUE"""),"Kensetsu Tosho")</f>
        <v>Kensetsu Tosho</v>
      </c>
      <c r="D102" s="20" t="str">
        <f ca="1">IFERROR(__xludf.DUMMYFUNCTION("""COMPUTED_VALUE"""),"0287-170X")</f>
        <v>0287-170X</v>
      </c>
      <c r="E102" s="32" t="str">
        <f ca="1">IFERROR(__xludf.DUMMYFUNCTION("""COMPUTED_VALUE"""),"1981-2021")</f>
        <v>1981-2021</v>
      </c>
      <c r="F102" s="43" t="str">
        <f ca="1">IFERROR(__xludf.DUMMYFUNCTION("""COMPUTED_VALUE"""),"-")</f>
        <v>-</v>
      </c>
      <c r="G102" s="157" t="str">
        <f ca="1">IFERROR(__xludf.DUMMYFUNCTION("""COMPUTED_VALUE"""),"http://www.riss.kr/link?id=S27803")</f>
        <v>http://www.riss.kr/link?id=S27803</v>
      </c>
      <c r="H102" s="24" t="str">
        <f ca="1">IFERROR(__xludf.DUMMYFUNCTION("""COMPUTED_VALUE"""),"O")</f>
        <v>O</v>
      </c>
    </row>
    <row r="103" spans="1:8" ht="26.25" customHeight="1">
      <c r="A103" s="154">
        <f t="shared" ca="1" si="0"/>
        <v>100</v>
      </c>
      <c r="B103" s="19" t="str">
        <f ca="1">IFERROR(__xludf.DUMMYFUNCTION("""COMPUTED_VALUE"""),"近代建築")</f>
        <v>近代建築</v>
      </c>
      <c r="C103" s="19" t="str">
        <f ca="1">IFERROR(__xludf.DUMMYFUNCTION("""COMPUTED_VALUE"""),"Kindai Kenchikusha")</f>
        <v>Kindai Kenchikusha</v>
      </c>
      <c r="D103" s="20" t="str">
        <f ca="1">IFERROR(__xludf.DUMMYFUNCTION("""COMPUTED_VALUE"""),"0023-1479")</f>
        <v>0023-1479</v>
      </c>
      <c r="E103" s="32" t="str">
        <f ca="1">IFERROR(__xludf.DUMMYFUNCTION("""COMPUTED_VALUE"""),"2011-2021")</f>
        <v>2011-2021</v>
      </c>
      <c r="F103" s="43" t="str">
        <f ca="1">IFERROR(__xludf.DUMMYFUNCTION("""COMPUTED_VALUE"""),"-")</f>
        <v>-</v>
      </c>
      <c r="G103" s="157" t="str">
        <f ca="1">IFERROR(__xludf.DUMMYFUNCTION("""COMPUTED_VALUE"""),"http://www.riss.kr/link?id=S19603")</f>
        <v>http://www.riss.kr/link?id=S19603</v>
      </c>
      <c r="H103" s="24" t="str">
        <f ca="1">IFERROR(__xludf.DUMMYFUNCTION("""COMPUTED_VALUE"""),"O")</f>
        <v>O</v>
      </c>
    </row>
    <row r="104" spans="1:8" ht="26.25" customHeight="1">
      <c r="A104" s="154">
        <f t="shared" ca="1" si="0"/>
        <v>101</v>
      </c>
      <c r="B104" s="19" t="str">
        <f ca="1">IFERROR(__xludf.DUMMYFUNCTION("""COMPUTED_VALUE"""),"基礎工, 第1卷")</f>
        <v>基礎工, 第1卷</v>
      </c>
      <c r="C104" s="19" t="str">
        <f ca="1">IFERROR(__xludf.DUMMYFUNCTION("""COMPUTED_VALUE"""),"Sogo Doboku Kenkyujo")</f>
        <v>Sogo Doboku Kenkyujo</v>
      </c>
      <c r="D104" s="20" t="str">
        <f ca="1">IFERROR(__xludf.DUMMYFUNCTION("""COMPUTED_VALUE"""),"0285-5356")</f>
        <v>0285-5356</v>
      </c>
      <c r="E104" s="32" t="str">
        <f ca="1">IFERROR(__xludf.DUMMYFUNCTION("""COMPUTED_VALUE"""),"1981-2020")</f>
        <v>1981-2020</v>
      </c>
      <c r="F104" s="43" t="str">
        <f ca="1">IFERROR(__xludf.DUMMYFUNCTION("""COMPUTED_VALUE"""),"-")</f>
        <v>-</v>
      </c>
      <c r="G104" s="157" t="str">
        <f ca="1">IFERROR(__xludf.DUMMYFUNCTION("""COMPUTED_VALUE"""),"http://www.riss.kr/link?id=S67352")</f>
        <v>http://www.riss.kr/link?id=S67352</v>
      </c>
      <c r="H104" s="24" t="str">
        <f ca="1">IFERROR(__xludf.DUMMYFUNCTION("""COMPUTED_VALUE"""),"X")</f>
        <v>X</v>
      </c>
    </row>
    <row r="105" spans="1:8" ht="26.25" customHeight="1">
      <c r="A105" s="154">
        <f t="shared" ca="1" si="0"/>
        <v>102</v>
      </c>
      <c r="B105" s="19" t="str">
        <f ca="1">IFERROR(__xludf.DUMMYFUNCTION("""COMPUTED_VALUE"""),"都市計劃")</f>
        <v>都市計劃</v>
      </c>
      <c r="C105" s="19" t="str">
        <f ca="1">IFERROR(__xludf.DUMMYFUNCTION("""COMPUTED_VALUE"""),"City Planning Institute of Japan")</f>
        <v>City Planning Institute of Japan</v>
      </c>
      <c r="D105" s="20" t="str">
        <f ca="1">IFERROR(__xludf.DUMMYFUNCTION("""COMPUTED_VALUE"""),"0495-9280")</f>
        <v>0495-9280</v>
      </c>
      <c r="E105" s="32" t="str">
        <f ca="1">IFERROR(__xludf.DUMMYFUNCTION("""COMPUTED_VALUE"""),"1983-2021")</f>
        <v>1983-2021</v>
      </c>
      <c r="F105" s="43" t="str">
        <f ca="1">IFERROR(__xludf.DUMMYFUNCTION("""COMPUTED_VALUE"""),"-")</f>
        <v>-</v>
      </c>
      <c r="G105" s="157" t="str">
        <f ca="1">IFERROR(__xludf.DUMMYFUNCTION("""COMPUTED_VALUE"""),"http://www.riss.kr/link?id=S45160")</f>
        <v>http://www.riss.kr/link?id=S45160</v>
      </c>
      <c r="H105" s="24" t="str">
        <f ca="1">IFERROR(__xludf.DUMMYFUNCTION("""COMPUTED_VALUE"""),"O")</f>
        <v>O</v>
      </c>
    </row>
    <row r="106" spans="1:8" ht="26.25" customHeight="1">
      <c r="A106" s="154">
        <f t="shared" ca="1" si="0"/>
        <v>103</v>
      </c>
      <c r="B106" s="19" t="str">
        <f ca="1">IFERROR(__xludf.DUMMYFUNCTION("""COMPUTED_VALUE"""),"商店建築")</f>
        <v>商店建築</v>
      </c>
      <c r="C106" s="19" t="str">
        <f ca="1">IFERROR(__xludf.DUMMYFUNCTION("""COMPUTED_VALUE"""),"商店建築社")</f>
        <v>商店建築社</v>
      </c>
      <c r="D106" s="100" t="str">
        <f ca="1">IFERROR(__xludf.DUMMYFUNCTION("""COMPUTED_VALUE"""),"0385-3195")</f>
        <v>0385-3195</v>
      </c>
      <c r="E106" s="32" t="str">
        <f ca="1">IFERROR(__xludf.DUMMYFUNCTION("""COMPUTED_VALUE"""),"2013-2021")</f>
        <v>2013-2021</v>
      </c>
      <c r="F106" s="43" t="str">
        <f ca="1">IFERROR(__xludf.DUMMYFUNCTION("""COMPUTED_VALUE"""),"-")</f>
        <v>-</v>
      </c>
      <c r="G106" s="157" t="str">
        <f ca="1">IFERROR(__xludf.DUMMYFUNCTION("""COMPUTED_VALUE"""),"http://www.riss.kr/link?id=S67972")</f>
        <v>http://www.riss.kr/link?id=S67972</v>
      </c>
      <c r="H106" s="24" t="str">
        <f ca="1">IFERROR(__xludf.DUMMYFUNCTION("""COMPUTED_VALUE"""),"O")</f>
        <v>O</v>
      </c>
    </row>
    <row r="107" spans="1:8" ht="26.25" customHeight="1">
      <c r="A107" s="154">
        <f t="shared" ca="1" si="0"/>
        <v>104</v>
      </c>
      <c r="B107" s="19" t="str">
        <f ca="1">IFERROR(__xludf.DUMMYFUNCTION("""COMPUTED_VALUE"""),"施設 と 園藝")</f>
        <v>施設 と 園藝</v>
      </c>
      <c r="C107" s="19" t="str">
        <f ca="1">IFERROR(__xludf.DUMMYFUNCTION("""COMPUTED_VALUE"""),"日本施設園藝協會")</f>
        <v>日本施設園藝協會</v>
      </c>
      <c r="D107" s="20" t="str">
        <f ca="1">IFERROR(__xludf.DUMMYFUNCTION("""COMPUTED_VALUE"""),"0912-666X")</f>
        <v>0912-666X</v>
      </c>
      <c r="E107" s="32" t="str">
        <f ca="1">IFERROR(__xludf.DUMMYFUNCTION("""COMPUTED_VALUE"""),"2010-2019")</f>
        <v>2010-2019</v>
      </c>
      <c r="F107" s="43" t="str">
        <f ca="1">IFERROR(__xludf.DUMMYFUNCTION("""COMPUTED_VALUE"""),"-")</f>
        <v>-</v>
      </c>
      <c r="G107" s="157" t="str">
        <f ca="1">IFERROR(__xludf.DUMMYFUNCTION("""COMPUTED_VALUE"""),"http://www.riss.kr/link?id=S87108")</f>
        <v>http://www.riss.kr/link?id=S87108</v>
      </c>
      <c r="H107" s="24" t="str">
        <f ca="1">IFERROR(__xludf.DUMMYFUNCTION("""COMPUTED_VALUE"""),"X")</f>
        <v>X</v>
      </c>
    </row>
    <row r="108" spans="1:8" ht="26.25" customHeight="1">
      <c r="A108" s="154">
        <f t="shared" ca="1" si="0"/>
        <v>105</v>
      </c>
      <c r="B108" s="19" t="str">
        <f ca="1">IFERROR(__xludf.DUMMYFUNCTION("""COMPUTED_VALUE"""),"新しい住まいの設計")</f>
        <v>新しい住まいの設計</v>
      </c>
      <c r="C108" s="19" t="str">
        <f ca="1">IFERROR(__xludf.DUMMYFUNCTION("""COMPUTED_VALUE"""),"Sankei Publishing Ltd.(扶桑社)")</f>
        <v>Sankei Publishing Ltd.(扶桑社)</v>
      </c>
      <c r="D108" s="103" t="str">
        <f ca="1">IFERROR(__xludf.DUMMYFUNCTION("""COMPUTED_VALUE"""),"4000-2000")</f>
        <v>4000-2000</v>
      </c>
      <c r="E108" s="32" t="str">
        <f ca="1">IFERROR(__xludf.DUMMYFUNCTION("""COMPUTED_VALUE"""),"1982-2021")</f>
        <v>1982-2021</v>
      </c>
      <c r="F108" s="43" t="str">
        <f ca="1">IFERROR(__xludf.DUMMYFUNCTION("""COMPUTED_VALUE"""),"-")</f>
        <v>-</v>
      </c>
      <c r="G108" s="157" t="str">
        <f ca="1">IFERROR(__xludf.DUMMYFUNCTION("""COMPUTED_VALUE"""),"http://www.riss.kr/link?id=S63709")</f>
        <v>http://www.riss.kr/link?id=S63709</v>
      </c>
      <c r="H108" s="24" t="str">
        <f ca="1">IFERROR(__xludf.DUMMYFUNCTION("""COMPUTED_VALUE"""),"O")</f>
        <v>O</v>
      </c>
    </row>
    <row r="109" spans="1:8" ht="26.25" customHeight="1">
      <c r="A109" s="154">
        <f t="shared" ca="1" si="0"/>
        <v>106</v>
      </c>
      <c r="B109" s="19" t="str">
        <f ca="1">IFERROR(__xludf.DUMMYFUNCTION("""COMPUTED_VALUE"""),"新建築")</f>
        <v>新建築</v>
      </c>
      <c r="C109" s="19" t="str">
        <f ca="1">IFERROR(__xludf.DUMMYFUNCTION("""COMPUTED_VALUE"""),"Japan Architect Co., Ltd.")</f>
        <v>Japan Architect Co., Ltd.</v>
      </c>
      <c r="D109" s="20" t="str">
        <f ca="1">IFERROR(__xludf.DUMMYFUNCTION("""COMPUTED_VALUE"""),"1342-5447")</f>
        <v>1342-5447</v>
      </c>
      <c r="E109" s="32" t="str">
        <f ca="1">IFERROR(__xludf.DUMMYFUNCTION("""COMPUTED_VALUE"""),"1968-1970, 1976, 1991, 1994-2001, 2010-2021")</f>
        <v>1968-1970, 1976, 1991, 1994-2001, 2010-2021</v>
      </c>
      <c r="F109" s="43" t="str">
        <f ca="1">IFERROR(__xludf.DUMMYFUNCTION("""COMPUTED_VALUE"""),"-")</f>
        <v>-</v>
      </c>
      <c r="G109" s="157" t="str">
        <f ca="1">IFERROR(__xludf.DUMMYFUNCTION("""COMPUTED_VALUE"""),"http://www.riss.kr/link?id=S19595")</f>
        <v>http://www.riss.kr/link?id=S19595</v>
      </c>
      <c r="H109" s="24" t="str">
        <f ca="1">IFERROR(__xludf.DUMMYFUNCTION("""COMPUTED_VALUE"""),"O")</f>
        <v>O</v>
      </c>
    </row>
    <row r="110" spans="1:8" ht="26.25" customHeight="1">
      <c r="A110" s="154">
        <f t="shared" ca="1" si="0"/>
        <v>107</v>
      </c>
      <c r="B110" s="19" t="str">
        <f ca="1">IFERROR(__xludf.DUMMYFUNCTION("""COMPUTED_VALUE"""),"日本建築學會計劃系論文集")</f>
        <v>日本建築學會計劃系論文集</v>
      </c>
      <c r="C110" s="19" t="str">
        <f ca="1">IFERROR(__xludf.DUMMYFUNCTION("""COMPUTED_VALUE"""),"Architectural Institute of Japan")</f>
        <v>Architectural Institute of Japan</v>
      </c>
      <c r="D110" s="20" t="str">
        <f ca="1">IFERROR(__xludf.DUMMYFUNCTION("""COMPUTED_VALUE"""),"1340-4210")</f>
        <v>1340-4210</v>
      </c>
      <c r="E110" s="32" t="str">
        <f ca="1">IFERROR(__xludf.DUMMYFUNCTION("""COMPUTED_VALUE"""),"1990, 2000-2001, 2010-2020")</f>
        <v>1990, 2000-2001, 2010-2020</v>
      </c>
      <c r="F110" s="43" t="str">
        <f ca="1">IFERROR(__xludf.DUMMYFUNCTION("""COMPUTED_VALUE"""),"-")</f>
        <v>-</v>
      </c>
      <c r="G110" s="157" t="str">
        <f ca="1">IFERROR(__xludf.DUMMYFUNCTION("""COMPUTED_VALUE"""),"http://www.riss.kr/link?id=S72786")</f>
        <v>http://www.riss.kr/link?id=S72786</v>
      </c>
      <c r="H110" s="24" t="str">
        <f ca="1">IFERROR(__xludf.DUMMYFUNCTION("""COMPUTED_VALUE"""),"X")</f>
        <v>X</v>
      </c>
    </row>
    <row r="111" spans="1:8" ht="26.25" customHeight="1">
      <c r="A111" s="154">
        <f t="shared" ca="1" si="0"/>
        <v>108</v>
      </c>
      <c r="B111" s="19" t="str">
        <f ca="1">IFERROR(__xludf.DUMMYFUNCTION("""COMPUTED_VALUE"""),"日本建築學會構造系論文集")</f>
        <v>日本建築學會構造系論文集</v>
      </c>
      <c r="C111" s="19" t="str">
        <f ca="1">IFERROR(__xludf.DUMMYFUNCTION("""COMPUTED_VALUE"""),"Architectural Institute of Japan")</f>
        <v>Architectural Institute of Japan</v>
      </c>
      <c r="D111" s="20" t="str">
        <f ca="1">IFERROR(__xludf.DUMMYFUNCTION("""COMPUTED_VALUE"""),"1340-4202")</f>
        <v>1340-4202</v>
      </c>
      <c r="E111" s="32" t="str">
        <f ca="1">IFERROR(__xludf.DUMMYFUNCTION("""COMPUTED_VALUE"""),"2000-2001, 2010-2020")</f>
        <v>2000-2001, 2010-2020</v>
      </c>
      <c r="F111" s="43" t="str">
        <f ca="1">IFERROR(__xludf.DUMMYFUNCTION("""COMPUTED_VALUE"""),"SCOPUS")</f>
        <v>SCOPUS</v>
      </c>
      <c r="G111" s="157" t="str">
        <f ca="1">IFERROR(__xludf.DUMMYFUNCTION("""COMPUTED_VALUE"""),"http://www.riss.kr/link?id=S69646")</f>
        <v>http://www.riss.kr/link?id=S69646</v>
      </c>
      <c r="H111" s="24" t="str">
        <f ca="1">IFERROR(__xludf.DUMMYFUNCTION("""COMPUTED_VALUE"""),"X")</f>
        <v>X</v>
      </c>
    </row>
    <row r="112" spans="1:8" ht="26.25" customHeight="1">
      <c r="A112" s="154">
        <f t="shared" ca="1" si="0"/>
        <v>109</v>
      </c>
      <c r="B112" s="19" t="str">
        <f ca="1">IFERROR(__xludf.DUMMYFUNCTION("""COMPUTED_VALUE"""),"日本建築學會環境系論文集")</f>
        <v>日本建築學會環境系論文集</v>
      </c>
      <c r="C112" s="19" t="str">
        <f ca="1">IFERROR(__xludf.DUMMYFUNCTION("""COMPUTED_VALUE"""),"Architectural Institute of Japan")</f>
        <v>Architectural Institute of Japan</v>
      </c>
      <c r="D112" s="20" t="str">
        <f ca="1">IFERROR(__xludf.DUMMYFUNCTION("""COMPUTED_VALUE"""),"1348-0685")</f>
        <v>1348-0685</v>
      </c>
      <c r="E112" s="32" t="str">
        <f ca="1">IFERROR(__xludf.DUMMYFUNCTION("""COMPUTED_VALUE"""),"2010-2020")</f>
        <v>2010-2020</v>
      </c>
      <c r="F112" s="43" t="str">
        <f ca="1">IFERROR(__xludf.DUMMYFUNCTION("""COMPUTED_VALUE"""),"SCOPUS")</f>
        <v>SCOPUS</v>
      </c>
      <c r="G112" s="157" t="str">
        <f ca="1">IFERROR(__xludf.DUMMYFUNCTION("""COMPUTED_VALUE"""),"http://www.riss.kr/link?id=S20084641")</f>
        <v>http://www.riss.kr/link?id=S20084641</v>
      </c>
      <c r="H112" s="24" t="str">
        <f ca="1">IFERROR(__xludf.DUMMYFUNCTION("""COMPUTED_VALUE"""),"X")</f>
        <v>X</v>
      </c>
    </row>
    <row r="113" spans="1:8" ht="26.25" customHeight="1">
      <c r="A113" s="154">
        <f t="shared" ca="1" si="0"/>
        <v>110</v>
      </c>
      <c r="B113" s="19" t="str">
        <f ca="1">IFERROR(__xludf.DUMMYFUNCTION("""COMPUTED_VALUE"""),"庭")</f>
        <v>庭</v>
      </c>
      <c r="C113" s="42" t="str">
        <f ca="1">IFERROR(__xludf.DUMMYFUNCTION("""COMPUTED_VALUE"""),"建築資料研究社")</f>
        <v>建築資料研究社</v>
      </c>
      <c r="D113" s="104" t="str">
        <f ca="1">IFERROR(__xludf.DUMMYFUNCTION("""COMPUTED_VALUE"""),"0389-6374")</f>
        <v>0389-6374</v>
      </c>
      <c r="E113" s="32" t="str">
        <f ca="1">IFERROR(__xludf.DUMMYFUNCTION("""COMPUTED_VALUE"""),"2002-2019")</f>
        <v>2002-2019</v>
      </c>
      <c r="F113" s="43" t="str">
        <f ca="1">IFERROR(__xludf.DUMMYFUNCTION("""COMPUTED_VALUE"""),"-")</f>
        <v>-</v>
      </c>
      <c r="G113" s="157" t="str">
        <f ca="1">IFERROR(__xludf.DUMMYFUNCTION("""COMPUTED_VALUE"""),"http://www.riss.kr/link?id=S91440")</f>
        <v>http://www.riss.kr/link?id=S91440</v>
      </c>
      <c r="H113" s="24" t="str">
        <f ca="1">IFERROR(__xludf.DUMMYFUNCTION("""COMPUTED_VALUE"""),"X")</f>
        <v>X</v>
      </c>
    </row>
    <row r="114" spans="1:8" ht="26.25" customHeight="1">
      <c r="A114" s="154">
        <f t="shared" ca="1" si="0"/>
        <v>111</v>
      </c>
      <c r="B114" s="19" t="str">
        <f ca="1">IFERROR(__xludf.DUMMYFUNCTION("""COMPUTED_VALUE"""),"住宅建築")</f>
        <v>住宅建築</v>
      </c>
      <c r="C114" s="19" t="str">
        <f ca="1">IFERROR(__xludf.DUMMYFUNCTION("""COMPUTED_VALUE"""),"建築資料硏究所")</f>
        <v>建築資料硏究所</v>
      </c>
      <c r="D114" s="20" t="str">
        <f ca="1">IFERROR(__xludf.DUMMYFUNCTION("""COMPUTED_VALUE"""),"0389-6358")</f>
        <v>0389-6358</v>
      </c>
      <c r="E114" s="32" t="str">
        <f ca="1">IFERROR(__xludf.DUMMYFUNCTION("""COMPUTED_VALUE"""),"1981-2021")</f>
        <v>1981-2021</v>
      </c>
      <c r="F114" s="43" t="str">
        <f ca="1">IFERROR(__xludf.DUMMYFUNCTION("""COMPUTED_VALUE"""),"-")</f>
        <v>-</v>
      </c>
      <c r="G114" s="157" t="str">
        <f ca="1">IFERROR(__xludf.DUMMYFUNCTION("""COMPUTED_VALUE"""),"http://www.riss.kr/link?id=S60986")</f>
        <v>http://www.riss.kr/link?id=S60986</v>
      </c>
      <c r="H114" s="24" t="str">
        <f ca="1">IFERROR(__xludf.DUMMYFUNCTION("""COMPUTED_VALUE"""),"O")</f>
        <v>O</v>
      </c>
    </row>
    <row r="115" spans="1:8" ht="26.25" customHeight="1">
      <c r="A115" s="154">
        <f t="shared" ca="1" si="0"/>
        <v>112</v>
      </c>
      <c r="B115" s="19" t="str">
        <f ca="1">IFERROR(__xludf.DUMMYFUNCTION("""COMPUTED_VALUE"""),"地盤工學會論文報告集")</f>
        <v>地盤工學會論文報告集</v>
      </c>
      <c r="C115" s="19" t="str">
        <f ca="1">IFERROR(__xludf.DUMMYFUNCTION("""COMPUTED_VALUE"""),"Japanese Geotechnical Society")</f>
        <v>Japanese Geotechnical Society</v>
      </c>
      <c r="D115" s="20" t="str">
        <f ca="1">IFERROR(__xludf.DUMMYFUNCTION("""COMPUTED_VALUE"""),"1341-7452")</f>
        <v>1341-7452</v>
      </c>
      <c r="E115" s="32" t="str">
        <f ca="1">IFERROR(__xludf.DUMMYFUNCTION("""COMPUTED_VALUE"""),"1995-2011")</f>
        <v>1995-2011</v>
      </c>
      <c r="F115" s="43" t="str">
        <f ca="1">IFERROR(__xludf.DUMMYFUNCTION("""COMPUTED_VALUE"""),"-")</f>
        <v>-</v>
      </c>
      <c r="G115" s="157" t="str">
        <f ca="1">IFERROR(__xludf.DUMMYFUNCTION("""COMPUTED_VALUE"""),"http://www.riss.kr/link?id=S61212")</f>
        <v>http://www.riss.kr/link?id=S61212</v>
      </c>
      <c r="H115" s="24" t="str">
        <f ca="1">IFERROR(__xludf.DUMMYFUNCTION("""COMPUTED_VALUE"""),"X")</f>
        <v>X</v>
      </c>
    </row>
    <row r="116" spans="1:8" ht="26.25" customHeight="1">
      <c r="A116" s="154">
        <f t="shared" ca="1" si="0"/>
        <v>113</v>
      </c>
      <c r="B116" s="19" t="str">
        <f ca="1">IFERROR(__xludf.DUMMYFUNCTION("""COMPUTED_VALUE"""),"地盤工學會誌")</f>
        <v>地盤工學會誌</v>
      </c>
      <c r="C116" s="19" t="str">
        <f ca="1">IFERROR(__xludf.DUMMYFUNCTION("""COMPUTED_VALUE"""),"Japanese Geotechnical Society")</f>
        <v>Japanese Geotechnical Society</v>
      </c>
      <c r="D116" s="20" t="str">
        <f ca="1">IFERROR(__xludf.DUMMYFUNCTION("""COMPUTED_VALUE"""),"1882-7276")</f>
        <v>1882-7276</v>
      </c>
      <c r="E116" s="32" t="str">
        <f ca="1">IFERROR(__xludf.DUMMYFUNCTION("""COMPUTED_VALUE"""),"1980-2020")</f>
        <v>1980-2020</v>
      </c>
      <c r="F116" s="43" t="str">
        <f ca="1">IFERROR(__xludf.DUMMYFUNCTION("""COMPUTED_VALUE"""),"-")</f>
        <v>-</v>
      </c>
      <c r="G116" s="157" t="str">
        <f ca="1">IFERROR(__xludf.DUMMYFUNCTION("""COMPUTED_VALUE"""),"http://www.riss.kr/link?id=S143626")</f>
        <v>http://www.riss.kr/link?id=S143626</v>
      </c>
      <c r="H116" s="24" t="str">
        <f ca="1">IFERROR(__xludf.DUMMYFUNCTION("""COMPUTED_VALUE"""),"X")</f>
        <v>X</v>
      </c>
    </row>
    <row r="117" spans="1:8" ht="26.25" customHeight="1">
      <c r="A117" s="154">
        <f t="shared" ca="1" si="0"/>
        <v>114</v>
      </c>
      <c r="B117" s="19" t="str">
        <f ca="1">IFERROR(__xludf.DUMMYFUNCTION("""COMPUTED_VALUE"""),"土木技術")</f>
        <v>土木技術</v>
      </c>
      <c r="C117" s="19" t="str">
        <f ca="1">IFERROR(__xludf.DUMMYFUNCTION("""COMPUTED_VALUE"""),"Doboku Gijutsusha")</f>
        <v>Doboku Gijutsusha</v>
      </c>
      <c r="D117" s="20" t="str">
        <f ca="1">IFERROR(__xludf.DUMMYFUNCTION("""COMPUTED_VALUE"""),"0285-5046")</f>
        <v>0285-5046</v>
      </c>
      <c r="E117" s="32" t="str">
        <f ca="1">IFERROR(__xludf.DUMMYFUNCTION("""COMPUTED_VALUE"""),"1946, 1948-1949, 1951-1960, 1972-2021")</f>
        <v>1946, 1948-1949, 1951-1960, 1972-2021</v>
      </c>
      <c r="F117" s="43" t="str">
        <f ca="1">IFERROR(__xludf.DUMMYFUNCTION("""COMPUTED_VALUE"""),"-")</f>
        <v>-</v>
      </c>
      <c r="G117" s="157" t="str">
        <f ca="1">IFERROR(__xludf.DUMMYFUNCTION("""COMPUTED_VALUE"""),"http://www.riss.kr/link?id=S43977")</f>
        <v>http://www.riss.kr/link?id=S43977</v>
      </c>
      <c r="H117" s="24" t="str">
        <f ca="1">IFERROR(__xludf.DUMMYFUNCTION("""COMPUTED_VALUE"""),"O")</f>
        <v>O</v>
      </c>
    </row>
    <row r="118" spans="1:8" ht="26.25" customHeight="1">
      <c r="A118" s="154">
        <f t="shared" ca="1" si="0"/>
        <v>115</v>
      </c>
      <c r="B118" s="19" t="str">
        <f ca="1">IFERROR(__xludf.DUMMYFUNCTION("""COMPUTED_VALUE"""),"土木技術資料")</f>
        <v>土木技術資料</v>
      </c>
      <c r="C118" s="19" t="str">
        <f ca="1">IFERROR(__xludf.DUMMYFUNCTION("""COMPUTED_VALUE"""),"Public Works Research Center")</f>
        <v>Public Works Research Center</v>
      </c>
      <c r="D118" s="20" t="str">
        <f ca="1">IFERROR(__xludf.DUMMYFUNCTION("""COMPUTED_VALUE"""),"0386-5886")</f>
        <v>0386-5886</v>
      </c>
      <c r="E118" s="32" t="str">
        <f ca="1">IFERROR(__xludf.DUMMYFUNCTION("""COMPUTED_VALUE"""),"2010-2021")</f>
        <v>2010-2021</v>
      </c>
      <c r="F118" s="43" t="str">
        <f ca="1">IFERROR(__xludf.DUMMYFUNCTION("""COMPUTED_VALUE"""),"-")</f>
        <v>-</v>
      </c>
      <c r="G118" s="157" t="str">
        <f ca="1">IFERROR(__xludf.DUMMYFUNCTION("""COMPUTED_VALUE"""),"http://www.riss.kr/link?id=S80251")</f>
        <v>http://www.riss.kr/link?id=S80251</v>
      </c>
      <c r="H118" s="24" t="str">
        <f ca="1">IFERROR(__xludf.DUMMYFUNCTION("""COMPUTED_VALUE"""),"O")</f>
        <v>O</v>
      </c>
    </row>
    <row r="119" spans="1:8" ht="26.25" customHeight="1">
      <c r="A119" s="154">
        <f t="shared" ca="1" si="0"/>
        <v>116</v>
      </c>
      <c r="B119" s="19" t="str">
        <f ca="1">IFERROR(__xludf.DUMMYFUNCTION("""COMPUTED_VALUE"""),"土木施工")</f>
        <v>土木施工</v>
      </c>
      <c r="C119" s="19" t="str">
        <f ca="1">IFERROR(__xludf.DUMMYFUNCTION("""COMPUTED_VALUE"""),"Ofisu Supesu")</f>
        <v>Ofisu Supesu</v>
      </c>
      <c r="D119" s="20" t="str">
        <f ca="1">IFERROR(__xludf.DUMMYFUNCTION("""COMPUTED_VALUE"""),"0387-0790")</f>
        <v>0387-0790</v>
      </c>
      <c r="E119" s="32" t="str">
        <f ca="1">IFERROR(__xludf.DUMMYFUNCTION("""COMPUTED_VALUE"""),"1970-2008")</f>
        <v>1970-2008</v>
      </c>
      <c r="F119" s="43" t="str">
        <f ca="1">IFERROR(__xludf.DUMMYFUNCTION("""COMPUTED_VALUE"""),"-")</f>
        <v>-</v>
      </c>
      <c r="G119" s="157" t="str">
        <f ca="1">IFERROR(__xludf.DUMMYFUNCTION("""COMPUTED_VALUE"""),"http://www.riss.kr/link?id=S40249")</f>
        <v>http://www.riss.kr/link?id=S40249</v>
      </c>
      <c r="H119" s="24" t="str">
        <f ca="1">IFERROR(__xludf.DUMMYFUNCTION("""COMPUTED_VALUE"""),"X")</f>
        <v>X</v>
      </c>
    </row>
    <row r="120" spans="1:8" ht="26.25" customHeight="1">
      <c r="A120" s="154">
        <f t="shared" ca="1" si="0"/>
        <v>117</v>
      </c>
      <c r="B120" s="19" t="str">
        <f ca="1">IFERROR(__xludf.DUMMYFUNCTION("""COMPUTED_VALUE"""),"土木學會論文報告集")</f>
        <v>土木學會論文報告集</v>
      </c>
      <c r="C120" s="19" t="str">
        <f ca="1">IFERROR(__xludf.DUMMYFUNCTION("""COMPUTED_VALUE"""),"Japan Society of Civil Engineers")</f>
        <v>Japan Society of Civil Engineers</v>
      </c>
      <c r="D120" s="20" t="str">
        <f ca="1">IFERROR(__xludf.DUMMYFUNCTION("""COMPUTED_VALUE"""),"0289-7806")</f>
        <v>0289-7806</v>
      </c>
      <c r="E120" s="32" t="str">
        <f ca="1">IFERROR(__xludf.DUMMYFUNCTION("""COMPUTED_VALUE"""),"1973, 1984-2007, 2009-2012")</f>
        <v>1973, 1984-2007, 2009-2012</v>
      </c>
      <c r="F120" s="43" t="str">
        <f ca="1">IFERROR(__xludf.DUMMYFUNCTION("""COMPUTED_VALUE"""),"-")</f>
        <v>-</v>
      </c>
      <c r="G120" s="157" t="str">
        <f ca="1">IFERROR(__xludf.DUMMYFUNCTION("""COMPUTED_VALUE"""),"http://www.riss.kr/link?id=S27656")</f>
        <v>http://www.riss.kr/link?id=S27656</v>
      </c>
      <c r="H120" s="24" t="str">
        <f ca="1">IFERROR(__xludf.DUMMYFUNCTION("""COMPUTED_VALUE"""),"X")</f>
        <v>X</v>
      </c>
    </row>
    <row r="121" spans="1:8" ht="26.25" customHeight="1">
      <c r="A121" s="154">
        <f t="shared" ca="1" si="0"/>
        <v>118</v>
      </c>
      <c r="B121" s="19" t="str">
        <f ca="1">IFERROR(__xludf.DUMMYFUNCTION("""COMPUTED_VALUE"""),"土木學會論文集 B2, 海岸工學")</f>
        <v>土木學會論文集 B2, 海岸工學</v>
      </c>
      <c r="C121" s="19" t="str">
        <f ca="1">IFERROR(__xludf.DUMMYFUNCTION("""COMPUTED_VALUE"""),"Japan Society of Civil Engineers")</f>
        <v>Japan Society of Civil Engineers</v>
      </c>
      <c r="D121" s="20" t="str">
        <f ca="1">IFERROR(__xludf.DUMMYFUNCTION("""COMPUTED_VALUE"""),"1884-2399")</f>
        <v>1884-2399</v>
      </c>
      <c r="E121" s="32" t="str">
        <f ca="1">IFERROR(__xludf.DUMMYFUNCTION("""COMPUTED_VALUE"""),"2013, 2014")</f>
        <v>2013, 2014</v>
      </c>
      <c r="F121" s="43" t="str">
        <f ca="1">IFERROR(__xludf.DUMMYFUNCTION("""COMPUTED_VALUE"""),"-")</f>
        <v>-</v>
      </c>
      <c r="G121" s="157" t="str">
        <f ca="1">IFERROR(__xludf.DUMMYFUNCTION("""COMPUTED_VALUE"""),"http://www.riss.kr/link?id=S144142")</f>
        <v>http://www.riss.kr/link?id=S144142</v>
      </c>
      <c r="H121" s="24" t="str">
        <f ca="1">IFERROR(__xludf.DUMMYFUNCTION("""COMPUTED_VALUE"""),"X")</f>
        <v>X</v>
      </c>
    </row>
    <row r="122" spans="1:8" ht="26.25" customHeight="1">
      <c r="A122" s="154">
        <f t="shared" ca="1" si="0"/>
        <v>119</v>
      </c>
      <c r="B122" s="19" t="str">
        <f ca="1">IFERROR(__xludf.DUMMYFUNCTION("""COMPUTED_VALUE"""),"土木學會誌")</f>
        <v>土木學會誌</v>
      </c>
      <c r="C122" s="19" t="str">
        <f ca="1">IFERROR(__xludf.DUMMYFUNCTION("""COMPUTED_VALUE"""),"Japan Society of Civil Engineers")</f>
        <v>Japan Society of Civil Engineers</v>
      </c>
      <c r="D122" s="20" t="str">
        <f ca="1">IFERROR(__xludf.DUMMYFUNCTION("""COMPUTED_VALUE"""),"0021-468X")</f>
        <v>0021-468X</v>
      </c>
      <c r="E122" s="32" t="str">
        <f ca="1">IFERROR(__xludf.DUMMYFUNCTION("""COMPUTED_VALUE"""),"1981, 1992, 1999, 2013-2021")</f>
        <v>1981, 1992, 1999, 2013-2021</v>
      </c>
      <c r="F122" s="43" t="str">
        <f ca="1">IFERROR(__xludf.DUMMYFUNCTION("""COMPUTED_VALUE"""),"-")</f>
        <v>-</v>
      </c>
      <c r="G122" s="157" t="str">
        <f ca="1">IFERROR(__xludf.DUMMYFUNCTION("""COMPUTED_VALUE"""),"http://www.riss.kr/link?id=S19719")</f>
        <v>http://www.riss.kr/link?id=S19719</v>
      </c>
      <c r="H122" s="24" t="str">
        <f ca="1">IFERROR(__xludf.DUMMYFUNCTION("""COMPUTED_VALUE"""),"O")</f>
        <v>O</v>
      </c>
    </row>
    <row r="123" spans="1:8" ht="26.25" customHeight="1">
      <c r="A123" s="154">
        <f t="shared" ca="1" si="0"/>
        <v>120</v>
      </c>
      <c r="B123" s="19" t="str">
        <f ca="1">IFERROR(__xludf.DUMMYFUNCTION("""COMPUTED_VALUE"""),"學術講梗槪集(C-1); 構造 III : 木質構造 鐵筋構造 鋼 コンクリ―ト合成構造")</f>
        <v>學術講梗槪集(C-1); 構造 III : 木質構造 鐵筋構造 鋼 コンクリ―ト合成構造</v>
      </c>
      <c r="C123" s="19" t="str">
        <f ca="1">IFERROR(__xludf.DUMMYFUNCTION("""COMPUTED_VALUE"""),"日本建築學會")</f>
        <v>日本建築學會</v>
      </c>
      <c r="D123" s="20" t="str">
        <f ca="1">IFERROR(__xludf.DUMMYFUNCTION("""COMPUTED_VALUE"""),"1341-447X")</f>
        <v>1341-447X</v>
      </c>
      <c r="E123" s="32" t="str">
        <f ca="1">IFERROR(__xludf.DUMMYFUNCTION("""COMPUTED_VALUE"""),"1995-2005")</f>
        <v>1995-2005</v>
      </c>
      <c r="F123" s="43" t="str">
        <f ca="1">IFERROR(__xludf.DUMMYFUNCTION("""COMPUTED_VALUE"""),"-")</f>
        <v>-</v>
      </c>
      <c r="G123" s="157" t="str">
        <f ca="1">IFERROR(__xludf.DUMMYFUNCTION("""COMPUTED_VALUE"""),"http://www.riss.kr/link?id=S104123")</f>
        <v>http://www.riss.kr/link?id=S104123</v>
      </c>
      <c r="H123" s="24" t="str">
        <f ca="1">IFERROR(__xludf.DUMMYFUNCTION("""COMPUTED_VALUE"""),"X")</f>
        <v>X</v>
      </c>
    </row>
    <row r="124" spans="1:8" ht="26.25" customHeight="1">
      <c r="A124" s="154">
        <f t="shared" ca="1" si="0"/>
        <v>121</v>
      </c>
      <c r="B124" s="19" t="str">
        <f ca="1">IFERROR(__xludf.DUMMYFUNCTION("""COMPUTED_VALUE"""),"學術講梗槪集(D-1) ; 環境工學 1")</f>
        <v>學術講梗槪集(D-1) ; 環境工學 1</v>
      </c>
      <c r="C124" s="19" t="str">
        <f ca="1">IFERROR(__xludf.DUMMYFUNCTION("""COMPUTED_VALUE"""),"日本建築學會")</f>
        <v>日本建築學會</v>
      </c>
      <c r="D124" s="20" t="str">
        <f ca="1">IFERROR(__xludf.DUMMYFUNCTION("""COMPUTED_VALUE"""),"1341-4496")</f>
        <v>1341-4496</v>
      </c>
      <c r="E124" s="32" t="str">
        <f ca="1">IFERROR(__xludf.DUMMYFUNCTION("""COMPUTED_VALUE"""),"1995-2005")</f>
        <v>1995-2005</v>
      </c>
      <c r="F124" s="43" t="str">
        <f ca="1">IFERROR(__xludf.DUMMYFUNCTION("""COMPUTED_VALUE"""),"-")</f>
        <v>-</v>
      </c>
      <c r="G124" s="157" t="str">
        <f ca="1">IFERROR(__xludf.DUMMYFUNCTION("""COMPUTED_VALUE"""),"http://www.riss.kr/link?id=S104124")</f>
        <v>http://www.riss.kr/link?id=S104124</v>
      </c>
      <c r="H124" s="24" t="str">
        <f ca="1">IFERROR(__xludf.DUMMYFUNCTION("""COMPUTED_VALUE"""),"X")</f>
        <v>X</v>
      </c>
    </row>
    <row r="125" spans="1:8" ht="26.25" customHeight="1">
      <c r="A125" s="154">
        <f t="shared" ca="1" si="0"/>
        <v>122</v>
      </c>
      <c r="B125" s="19" t="str">
        <f ca="1">IFERROR(__xludf.DUMMYFUNCTION("""COMPUTED_VALUE"""),"學術講梗槪集(D-2) ; 環境工學 2")</f>
        <v>學術講梗槪集(D-2) ; 環境工學 2</v>
      </c>
      <c r="C125" s="19" t="str">
        <f ca="1">IFERROR(__xludf.DUMMYFUNCTION("""COMPUTED_VALUE"""),"日本建築學會")</f>
        <v>日本建築學會</v>
      </c>
      <c r="D125" s="20" t="str">
        <f ca="1">IFERROR(__xludf.DUMMYFUNCTION("""COMPUTED_VALUE"""),"1341-450X")</f>
        <v>1341-450X</v>
      </c>
      <c r="E125" s="32" t="str">
        <f ca="1">IFERROR(__xludf.DUMMYFUNCTION("""COMPUTED_VALUE"""),"1995-2005")</f>
        <v>1995-2005</v>
      </c>
      <c r="F125" s="43" t="str">
        <f ca="1">IFERROR(__xludf.DUMMYFUNCTION("""COMPUTED_VALUE"""),"-")</f>
        <v>-</v>
      </c>
      <c r="G125" s="157" t="str">
        <f ca="1">IFERROR(__xludf.DUMMYFUNCTION("""COMPUTED_VALUE"""),"http://www.riss.kr/link?id=S104125")</f>
        <v>http://www.riss.kr/link?id=S104125</v>
      </c>
      <c r="H125" s="24" t="str">
        <f ca="1">IFERROR(__xludf.DUMMYFUNCTION("""COMPUTED_VALUE"""),"X")</f>
        <v>X</v>
      </c>
    </row>
    <row r="126" spans="1:8" ht="26.25" customHeight="1">
      <c r="A126" s="154">
        <f t="shared" ca="1" si="0"/>
        <v>123</v>
      </c>
      <c r="B126" s="19" t="str">
        <f ca="1">IFERROR(__xludf.DUMMYFUNCTION("""COMPUTED_VALUE"""),"學術講梗槪集(E-1) ; 建築計劃 1")</f>
        <v>學術講梗槪集(E-1) ; 建築計劃 1</v>
      </c>
      <c r="C126" s="19" t="str">
        <f ca="1">IFERROR(__xludf.DUMMYFUNCTION("""COMPUTED_VALUE"""),"日本建築學會")</f>
        <v>日本建築學會</v>
      </c>
      <c r="D126" s="20" t="str">
        <f ca="1">IFERROR(__xludf.DUMMYFUNCTION("""COMPUTED_VALUE"""),"1341-4518")</f>
        <v>1341-4518</v>
      </c>
      <c r="E126" s="32" t="str">
        <f ca="1">IFERROR(__xludf.DUMMYFUNCTION("""COMPUTED_VALUE"""),"1995-2005")</f>
        <v>1995-2005</v>
      </c>
      <c r="F126" s="43" t="str">
        <f ca="1">IFERROR(__xludf.DUMMYFUNCTION("""COMPUTED_VALUE"""),"-")</f>
        <v>-</v>
      </c>
      <c r="G126" s="157" t="str">
        <f ca="1">IFERROR(__xludf.DUMMYFUNCTION("""COMPUTED_VALUE"""),"http://www.riss.kr/link?id=S104126")</f>
        <v>http://www.riss.kr/link?id=S104126</v>
      </c>
      <c r="H126" s="24" t="str">
        <f ca="1">IFERROR(__xludf.DUMMYFUNCTION("""COMPUTED_VALUE"""),"X")</f>
        <v>X</v>
      </c>
    </row>
    <row r="127" spans="1:8" ht="26.25" customHeight="1">
      <c r="A127" s="154">
        <f t="shared" ca="1" si="0"/>
        <v>124</v>
      </c>
      <c r="B127" s="19" t="str">
        <f ca="1">IFERROR(__xludf.DUMMYFUNCTION("""COMPUTED_VALUE"""),"學術講演梗槪集")</f>
        <v>學術講演梗槪集</v>
      </c>
      <c r="C127" s="19" t="str">
        <f ca="1">IFERROR(__xludf.DUMMYFUNCTION("""COMPUTED_VALUE"""),"日本建築學會")</f>
        <v>日本建築學會</v>
      </c>
      <c r="D127" s="20" t="str">
        <f ca="1">IFERROR(__xludf.DUMMYFUNCTION("""COMPUTED_VALUE"""),"0915-0161")</f>
        <v>0915-0161</v>
      </c>
      <c r="E127" s="32" t="str">
        <f ca="1">IFERROR(__xludf.DUMMYFUNCTION("""COMPUTED_VALUE"""),"1982, 1985-1989, 1991, 1994")</f>
        <v>1982, 1985-1989, 1991, 1994</v>
      </c>
      <c r="F127" s="43" t="str">
        <f ca="1">IFERROR(__xludf.DUMMYFUNCTION("""COMPUTED_VALUE"""),"-")</f>
        <v>-</v>
      </c>
      <c r="G127" s="157" t="str">
        <f ca="1">IFERROR(__xludf.DUMMYFUNCTION("""COMPUTED_VALUE"""),"http://www.riss.kr/link?id=S104262")</f>
        <v>http://www.riss.kr/link?id=S104262</v>
      </c>
      <c r="H127" s="24" t="str">
        <f ca="1">IFERROR(__xludf.DUMMYFUNCTION("""COMPUTED_VALUE"""),"X")</f>
        <v>X</v>
      </c>
    </row>
    <row r="128" spans="1:8" ht="26.25" customHeight="1">
      <c r="A128" s="154">
        <f t="shared" ca="1" si="0"/>
        <v>125</v>
      </c>
      <c r="B128" s="19" t="str">
        <f ca="1">IFERROR(__xludf.DUMMYFUNCTION("""COMPUTED_VALUE"""),"學術講演梗槪集 E-2")</f>
        <v>學術講演梗槪集 E-2</v>
      </c>
      <c r="C128" s="19" t="str">
        <f ca="1">IFERROR(__xludf.DUMMYFUNCTION("""COMPUTED_VALUE"""),"日本建築學會")</f>
        <v>日本建築學會</v>
      </c>
      <c r="D128" s="20" t="str">
        <f ca="1">IFERROR(__xludf.DUMMYFUNCTION("""COMPUTED_VALUE"""),"1341-4526")</f>
        <v>1341-4526</v>
      </c>
      <c r="E128" s="32" t="str">
        <f ca="1">IFERROR(__xludf.DUMMYFUNCTION("""COMPUTED_VALUE"""),"1995-2005")</f>
        <v>1995-2005</v>
      </c>
      <c r="F128" s="43" t="str">
        <f ca="1">IFERROR(__xludf.DUMMYFUNCTION("""COMPUTED_VALUE"""),"-")</f>
        <v>-</v>
      </c>
      <c r="G128" s="157" t="str">
        <f ca="1">IFERROR(__xludf.DUMMYFUNCTION("""COMPUTED_VALUE"""),"http://www.riss.kr/link?id=S104127")</f>
        <v>http://www.riss.kr/link?id=S104127</v>
      </c>
      <c r="H128" s="24" t="str">
        <f ca="1">IFERROR(__xludf.DUMMYFUNCTION("""COMPUTED_VALUE"""),"X")</f>
        <v>X</v>
      </c>
    </row>
    <row r="129" spans="1:9" ht="26.25" customHeight="1">
      <c r="A129" s="154">
        <f t="shared" ca="1" si="0"/>
        <v>126</v>
      </c>
      <c r="B129" s="19" t="str">
        <f ca="1">IFERROR(__xludf.DUMMYFUNCTION("""COMPUTED_VALUE"""),"學術講演梗槪集 F-1")</f>
        <v>學術講演梗槪集 F-1</v>
      </c>
      <c r="C129" s="19" t="str">
        <f ca="1">IFERROR(__xludf.DUMMYFUNCTION("""COMPUTED_VALUE"""),"日本建築學會")</f>
        <v>日本建築學會</v>
      </c>
      <c r="D129" s="20" t="str">
        <f ca="1">IFERROR(__xludf.DUMMYFUNCTION("""COMPUTED_VALUE"""),"1341-4534")</f>
        <v>1341-4534</v>
      </c>
      <c r="E129" s="32" t="str">
        <f ca="1">IFERROR(__xludf.DUMMYFUNCTION("""COMPUTED_VALUE"""),"1995-2005")</f>
        <v>1995-2005</v>
      </c>
      <c r="F129" s="43" t="str">
        <f ca="1">IFERROR(__xludf.DUMMYFUNCTION("""COMPUTED_VALUE"""),"-")</f>
        <v>-</v>
      </c>
      <c r="G129" s="157" t="str">
        <f ca="1">IFERROR(__xludf.DUMMYFUNCTION("""COMPUTED_VALUE"""),"http://www.riss.kr/link?id=S104203")</f>
        <v>http://www.riss.kr/link?id=S104203</v>
      </c>
      <c r="H129" s="24" t="str">
        <f ca="1">IFERROR(__xludf.DUMMYFUNCTION("""COMPUTED_VALUE"""),"X")</f>
        <v>X</v>
      </c>
    </row>
    <row r="130" spans="1:9" ht="26.25" customHeight="1">
      <c r="A130" s="154">
        <f t="shared" ca="1" si="0"/>
        <v>127</v>
      </c>
      <c r="B130" s="19" t="str">
        <f ca="1">IFERROR(__xludf.DUMMYFUNCTION("""COMPUTED_VALUE"""),"學術講演梗槪集 F-2")</f>
        <v>學術講演梗槪集 F-2</v>
      </c>
      <c r="C130" s="19" t="str">
        <f ca="1">IFERROR(__xludf.DUMMYFUNCTION("""COMPUTED_VALUE"""),"日本建築學會")</f>
        <v>日本建築學會</v>
      </c>
      <c r="D130" s="20" t="str">
        <f ca="1">IFERROR(__xludf.DUMMYFUNCTION("""COMPUTED_VALUE"""),"1341-4542")</f>
        <v>1341-4542</v>
      </c>
      <c r="E130" s="32" t="str">
        <f ca="1">IFERROR(__xludf.DUMMYFUNCTION("""COMPUTED_VALUE"""),"1982, 1995-2005")</f>
        <v>1982, 1995-2005</v>
      </c>
      <c r="F130" s="43" t="str">
        <f ca="1">IFERROR(__xludf.DUMMYFUNCTION("""COMPUTED_VALUE"""),"-")</f>
        <v>-</v>
      </c>
      <c r="G130" s="157" t="str">
        <f ca="1">IFERROR(__xludf.DUMMYFUNCTION("""COMPUTED_VALUE"""),"http://www.riss.kr/link?id=S104204")</f>
        <v>http://www.riss.kr/link?id=S104204</v>
      </c>
      <c r="H130" s="24" t="str">
        <f ca="1">IFERROR(__xludf.DUMMYFUNCTION("""COMPUTED_VALUE"""),"X")</f>
        <v>X</v>
      </c>
    </row>
    <row r="131" spans="1:9" ht="26.25" customHeight="1">
      <c r="A131" s="154">
        <f t="shared" ca="1" si="0"/>
        <v>128</v>
      </c>
      <c r="B131" s="19" t="str">
        <f ca="1">IFERROR(__xludf.DUMMYFUNCTION("""COMPUTED_VALUE"""),"學術講演梗槪集 材料施工")</f>
        <v>學術講演梗槪集 材料施工</v>
      </c>
      <c r="C131" s="19" t="str">
        <f ca="1">IFERROR(__xludf.DUMMYFUNCTION("""COMPUTED_VALUE"""),"日本建築學會")</f>
        <v>日本建築學會</v>
      </c>
      <c r="D131" s="20" t="str">
        <f ca="1">IFERROR(__xludf.DUMMYFUNCTION("""COMPUTED_VALUE"""),"1341-4437")</f>
        <v>1341-4437</v>
      </c>
      <c r="E131" s="32" t="str">
        <f ca="1">IFERROR(__xludf.DUMMYFUNCTION("""COMPUTED_VALUE"""),"1995-2005")</f>
        <v>1995-2005</v>
      </c>
      <c r="F131" s="43" t="str">
        <f ca="1">IFERROR(__xludf.DUMMYFUNCTION("""COMPUTED_VALUE"""),"-")</f>
        <v>-</v>
      </c>
      <c r="G131" s="157" t="str">
        <f ca="1">IFERROR(__xludf.DUMMYFUNCTION("""COMPUTED_VALUE"""),"http://www.riss.kr/link?id=S79477")</f>
        <v>http://www.riss.kr/link?id=S79477</v>
      </c>
      <c r="H131" s="24" t="str">
        <f ca="1">IFERROR(__xludf.DUMMYFUNCTION("""COMPUTED_VALUE"""),"X")</f>
        <v>X</v>
      </c>
    </row>
    <row r="132" spans="1:9" ht="26.25" customHeight="1">
      <c r="A132" s="154">
        <f t="shared" ca="1" si="0"/>
        <v>129</v>
      </c>
      <c r="B132" s="19" t="str">
        <f ca="1">IFERROR(__xludf.DUMMYFUNCTION("""COMPUTED_VALUE"""),"學術講演梗槪集(A-2);防火 海洋 情報システム技術")</f>
        <v>學術講演梗槪集(A-2);防火 海洋 情報システム技術</v>
      </c>
      <c r="C132" s="19" t="str">
        <f ca="1">IFERROR(__xludf.DUMMYFUNCTION("""COMPUTED_VALUE"""),"日本建築學會")</f>
        <v>日本建築學會</v>
      </c>
      <c r="D132" s="20" t="str">
        <f ca="1">IFERROR(__xludf.DUMMYFUNCTION("""COMPUTED_VALUE"""),"1341-4445")</f>
        <v>1341-4445</v>
      </c>
      <c r="E132" s="32" t="str">
        <f ca="1">IFERROR(__xludf.DUMMYFUNCTION("""COMPUTED_VALUE"""),"1995-2012")</f>
        <v>1995-2012</v>
      </c>
      <c r="F132" s="43" t="str">
        <f ca="1">IFERROR(__xludf.DUMMYFUNCTION("""COMPUTED_VALUE"""),"-")</f>
        <v>-</v>
      </c>
      <c r="G132" s="157" t="str">
        <f ca="1">IFERROR(__xludf.DUMMYFUNCTION("""COMPUTED_VALUE"""),"http://www.riss.kr/link?id=S104122")</f>
        <v>http://www.riss.kr/link?id=S104122</v>
      </c>
      <c r="H132" s="24" t="str">
        <f ca="1">IFERROR(__xludf.DUMMYFUNCTION("""COMPUTED_VALUE"""),"X")</f>
        <v>X</v>
      </c>
    </row>
    <row r="133" spans="1:9" ht="26.25" customHeight="1">
      <c r="A133" s="154">
        <f t="shared" ca="1" si="0"/>
        <v>130</v>
      </c>
      <c r="B133" s="19" t="str">
        <f ca="1">IFERROR(__xludf.DUMMYFUNCTION("""COMPUTED_VALUE"""),"學術講演梗槪集(B-1);構造 1")</f>
        <v>學術講演梗槪集(B-1);構造 1</v>
      </c>
      <c r="C133" s="19" t="str">
        <f ca="1">IFERROR(__xludf.DUMMYFUNCTION("""COMPUTED_VALUE"""),"日本建築學會")</f>
        <v>日本建築學會</v>
      </c>
      <c r="D133" s="20" t="str">
        <f ca="1">IFERROR(__xludf.DUMMYFUNCTION("""COMPUTED_VALUE"""),"1341-4453")</f>
        <v>1341-4453</v>
      </c>
      <c r="E133" s="32" t="str">
        <f ca="1">IFERROR(__xludf.DUMMYFUNCTION("""COMPUTED_VALUE"""),"1995-2005")</f>
        <v>1995-2005</v>
      </c>
      <c r="F133" s="43" t="str">
        <f ca="1">IFERROR(__xludf.DUMMYFUNCTION("""COMPUTED_VALUE"""),"-")</f>
        <v>-</v>
      </c>
      <c r="G133" s="157" t="str">
        <f ca="1">IFERROR(__xludf.DUMMYFUNCTION("""COMPUTED_VALUE"""),"http://www.riss.kr/link?id=S104180")</f>
        <v>http://www.riss.kr/link?id=S104180</v>
      </c>
      <c r="H133" s="24" t="str">
        <f ca="1">IFERROR(__xludf.DUMMYFUNCTION("""COMPUTED_VALUE"""),"X")</f>
        <v>X</v>
      </c>
    </row>
    <row r="134" spans="1:9" ht="26.25" customHeight="1">
      <c r="A134" s="159">
        <f t="shared" ca="1" si="0"/>
        <v>131</v>
      </c>
      <c r="B134" s="19" t="str">
        <f ca="1">IFERROR(__xludf.DUMMYFUNCTION("""COMPUTED_VALUE"""),"學術講演梗槪集(B-2);構造 2")</f>
        <v>學術講演梗槪集(B-2);構造 2</v>
      </c>
      <c r="C134" s="160" t="str">
        <f ca="1">IFERROR(__xludf.DUMMYFUNCTION("""COMPUTED_VALUE"""),"日本建築學會")</f>
        <v>日本建築學會</v>
      </c>
      <c r="D134" s="113" t="str">
        <f ca="1">IFERROR(__xludf.DUMMYFUNCTION("""COMPUTED_VALUE"""),"1341-4461")</f>
        <v>1341-4461</v>
      </c>
      <c r="E134" s="105" t="str">
        <f ca="1">IFERROR(__xludf.DUMMYFUNCTION("""COMPUTED_VALUE"""),"1995-2005")</f>
        <v>1995-2005</v>
      </c>
      <c r="F134" s="43" t="str">
        <f ca="1">IFERROR(__xludf.DUMMYFUNCTION("""COMPUTED_VALUE"""),"-")</f>
        <v>-</v>
      </c>
      <c r="G134" s="157" t="str">
        <f ca="1">IFERROR(__xludf.DUMMYFUNCTION("""COMPUTED_VALUE"""),"http://www.riss.kr/link?id=S104181")</f>
        <v>http://www.riss.kr/link?id=S104181</v>
      </c>
      <c r="H134" s="24" t="str">
        <f ca="1">IFERROR(__xludf.DUMMYFUNCTION("""COMPUTED_VALUE"""),"X")</f>
        <v>X</v>
      </c>
    </row>
    <row r="135" spans="1:9" ht="26.25" customHeight="1">
      <c r="A135" s="161">
        <f t="shared" ca="1" si="0"/>
        <v>132</v>
      </c>
      <c r="B135" s="118" t="str">
        <f ca="1">IFERROR(__xludf.DUMMYFUNCTION("""COMPUTED_VALUE"""),"學術講演梗槪集(C-2);構造 4")</f>
        <v>學術講演梗槪集(C-2);構造 4</v>
      </c>
      <c r="C135" s="118" t="str">
        <f ca="1">IFERROR(__xludf.DUMMYFUNCTION("""COMPUTED_VALUE"""),"日本建築學會")</f>
        <v>日本建築學會</v>
      </c>
      <c r="D135" s="119" t="str">
        <f ca="1">IFERROR(__xludf.DUMMYFUNCTION("""COMPUTED_VALUE"""),"1341-4488")</f>
        <v>1341-4488</v>
      </c>
      <c r="E135" s="162" t="str">
        <f ca="1">IFERROR(__xludf.DUMMYFUNCTION("""COMPUTED_VALUE"""),"1995-2005")</f>
        <v>1995-2005</v>
      </c>
      <c r="F135" s="163" t="str">
        <f ca="1">IFERROR(__xludf.DUMMYFUNCTION("""COMPUTED_VALUE"""),"-")</f>
        <v>-</v>
      </c>
      <c r="G135" s="164" t="str">
        <f ca="1">IFERROR(__xludf.DUMMYFUNCTION("""COMPUTED_VALUE"""),"http://www.riss.kr/link?id=S104177")</f>
        <v>http://www.riss.kr/link?id=S104177</v>
      </c>
      <c r="H135" s="165" t="str">
        <f ca="1">IFERROR(__xludf.DUMMYFUNCTION("""COMPUTED_VALUE"""),"X")</f>
        <v>X</v>
      </c>
    </row>
    <row r="136" spans="1:9" ht="16.5" customHeight="1">
      <c r="A136" s="46"/>
      <c r="B136" s="6"/>
      <c r="C136" s="166"/>
      <c r="D136" s="167"/>
      <c r="E136" s="168"/>
      <c r="F136" s="169"/>
      <c r="G136" s="170"/>
      <c r="H136" s="171"/>
      <c r="I136" s="5"/>
    </row>
    <row r="137" spans="1:9" ht="16.5" customHeight="1">
      <c r="A137" s="46"/>
      <c r="B137" s="172"/>
      <c r="C137" s="173"/>
      <c r="D137" s="171"/>
      <c r="E137" s="168"/>
      <c r="F137" s="174"/>
      <c r="G137" s="175"/>
      <c r="H137" s="171"/>
      <c r="I137" s="5"/>
    </row>
    <row r="138" spans="1:9" ht="16.5" customHeight="1">
      <c r="A138" s="46"/>
      <c r="D138" s="176"/>
      <c r="E138" s="5"/>
      <c r="F138" s="177"/>
      <c r="G138" s="167"/>
      <c r="H138" s="176"/>
    </row>
    <row r="139" spans="1:9" ht="16.5" customHeight="1">
      <c r="A139" s="46"/>
      <c r="D139" s="176"/>
      <c r="E139" s="5"/>
      <c r="F139" s="177"/>
      <c r="G139" s="167"/>
      <c r="H139" s="176"/>
    </row>
    <row r="140" spans="1:9" ht="16.5" customHeight="1">
      <c r="A140" s="46"/>
      <c r="D140" s="176"/>
      <c r="E140" s="5"/>
      <c r="F140" s="167"/>
      <c r="G140" s="167"/>
      <c r="H140" s="176"/>
    </row>
    <row r="141" spans="1:9" ht="16.5" customHeight="1">
      <c r="A141" s="46"/>
      <c r="D141" s="176"/>
      <c r="E141" s="5"/>
      <c r="F141" s="167"/>
      <c r="G141" s="167"/>
      <c r="H141" s="176"/>
    </row>
    <row r="142" spans="1:9" ht="16.5" customHeight="1">
      <c r="A142" s="46"/>
      <c r="D142" s="176"/>
      <c r="F142" s="167"/>
      <c r="G142" s="176"/>
      <c r="H142" s="176"/>
    </row>
    <row r="143" spans="1:9" ht="16.5" customHeight="1">
      <c r="A143" s="46"/>
      <c r="D143" s="176"/>
      <c r="F143" s="167"/>
      <c r="G143" s="176"/>
      <c r="H143" s="176"/>
    </row>
    <row r="144" spans="1:9" ht="16.5" customHeight="1">
      <c r="A144" s="46"/>
      <c r="D144" s="176"/>
      <c r="F144" s="167"/>
      <c r="G144" s="176"/>
      <c r="H144" s="176"/>
    </row>
    <row r="145" spans="1:8" ht="16.5" customHeight="1">
      <c r="A145" s="46"/>
      <c r="D145" s="176"/>
      <c r="F145" s="167"/>
      <c r="G145" s="176"/>
      <c r="H145" s="176"/>
    </row>
    <row r="146" spans="1:8" ht="16.5" customHeight="1">
      <c r="A146" s="46"/>
      <c r="D146" s="176"/>
      <c r="F146" s="167"/>
      <c r="G146" s="176"/>
      <c r="H146" s="176"/>
    </row>
    <row r="147" spans="1:8" ht="16.5" customHeight="1">
      <c r="A147" s="46"/>
      <c r="D147" s="176"/>
      <c r="F147" s="167"/>
      <c r="G147" s="176"/>
      <c r="H147" s="176"/>
    </row>
    <row r="148" spans="1:8" ht="16.5" customHeight="1">
      <c r="A148" s="46"/>
      <c r="D148" s="176"/>
      <c r="F148" s="167"/>
      <c r="G148" s="176"/>
      <c r="H148" s="176"/>
    </row>
    <row r="149" spans="1:8" ht="16.5" customHeight="1">
      <c r="A149" s="46"/>
      <c r="D149" s="176"/>
      <c r="F149" s="167"/>
      <c r="G149" s="176"/>
      <c r="H149" s="176"/>
    </row>
    <row r="150" spans="1:8" ht="16.5" customHeight="1">
      <c r="A150" s="46"/>
      <c r="D150" s="176"/>
      <c r="F150" s="167"/>
      <c r="G150" s="176"/>
      <c r="H150" s="176"/>
    </row>
    <row r="151" spans="1:8" ht="16.5" customHeight="1">
      <c r="A151" s="46"/>
      <c r="D151" s="176"/>
      <c r="F151" s="167"/>
      <c r="G151" s="176"/>
      <c r="H151" s="176"/>
    </row>
    <row r="152" spans="1:8" ht="16.5" customHeight="1">
      <c r="A152" s="46"/>
      <c r="D152" s="176"/>
      <c r="F152" s="167"/>
      <c r="G152" s="176"/>
      <c r="H152" s="176"/>
    </row>
    <row r="153" spans="1:8" ht="16.5" customHeight="1">
      <c r="A153" s="46"/>
      <c r="D153" s="176"/>
      <c r="F153" s="167"/>
      <c r="G153" s="176"/>
      <c r="H153" s="176"/>
    </row>
    <row r="154" spans="1:8" ht="16.5" customHeight="1">
      <c r="A154" s="46"/>
      <c r="D154" s="176"/>
      <c r="F154" s="167"/>
      <c r="G154" s="176"/>
      <c r="H154" s="176"/>
    </row>
    <row r="155" spans="1:8" ht="16.5" customHeight="1">
      <c r="A155" s="46"/>
      <c r="D155" s="176"/>
      <c r="F155" s="167"/>
      <c r="G155" s="176"/>
      <c r="H155" s="176"/>
    </row>
    <row r="156" spans="1:8" ht="16.5" customHeight="1">
      <c r="A156" s="46"/>
      <c r="D156" s="176"/>
      <c r="F156" s="167"/>
      <c r="G156" s="176"/>
      <c r="H156" s="176"/>
    </row>
    <row r="157" spans="1:8" ht="16.5" customHeight="1">
      <c r="A157" s="46"/>
      <c r="D157" s="176"/>
      <c r="F157" s="167"/>
      <c r="G157" s="176"/>
      <c r="H157" s="176"/>
    </row>
    <row r="158" spans="1:8" ht="16.5" customHeight="1">
      <c r="A158" s="46"/>
      <c r="D158" s="176"/>
      <c r="F158" s="167"/>
      <c r="G158" s="176"/>
      <c r="H158" s="176"/>
    </row>
    <row r="159" spans="1:8" ht="16.5" customHeight="1">
      <c r="A159" s="46"/>
      <c r="D159" s="176"/>
      <c r="F159" s="167"/>
      <c r="G159" s="176"/>
      <c r="H159" s="176"/>
    </row>
    <row r="160" spans="1:8" ht="16.5" customHeight="1">
      <c r="A160" s="46"/>
      <c r="D160" s="176"/>
      <c r="F160" s="167"/>
      <c r="G160" s="176"/>
      <c r="H160" s="176"/>
    </row>
    <row r="161" spans="1:8" ht="16.5" customHeight="1">
      <c r="A161" s="46"/>
      <c r="D161" s="176"/>
      <c r="F161" s="167"/>
      <c r="G161" s="176"/>
      <c r="H161" s="176"/>
    </row>
    <row r="162" spans="1:8" ht="16.5" customHeight="1">
      <c r="A162" s="46"/>
      <c r="D162" s="176"/>
      <c r="F162" s="167"/>
      <c r="G162" s="176"/>
      <c r="H162" s="176"/>
    </row>
    <row r="163" spans="1:8" ht="16.5" customHeight="1">
      <c r="A163" s="46"/>
      <c r="D163" s="176"/>
      <c r="F163" s="167"/>
      <c r="G163" s="176"/>
      <c r="H163" s="176"/>
    </row>
    <row r="164" spans="1:8" ht="16.5" customHeight="1">
      <c r="A164" s="46"/>
      <c r="D164" s="176"/>
      <c r="F164" s="167"/>
      <c r="G164" s="176"/>
      <c r="H164" s="176"/>
    </row>
    <row r="165" spans="1:8" ht="16.5" customHeight="1">
      <c r="A165" s="46"/>
      <c r="D165" s="176"/>
      <c r="F165" s="167"/>
      <c r="G165" s="176"/>
      <c r="H165" s="176"/>
    </row>
    <row r="166" spans="1:8" ht="16.5" customHeight="1">
      <c r="A166" s="46"/>
      <c r="D166" s="176"/>
      <c r="F166" s="167"/>
      <c r="G166" s="176"/>
      <c r="H166" s="176"/>
    </row>
    <row r="167" spans="1:8" ht="16.5" customHeight="1">
      <c r="A167" s="46"/>
      <c r="D167" s="176"/>
      <c r="F167" s="167"/>
      <c r="G167" s="176"/>
      <c r="H167" s="176"/>
    </row>
    <row r="168" spans="1:8" ht="16.5" customHeight="1">
      <c r="A168" s="46"/>
      <c r="D168" s="176"/>
      <c r="F168" s="167"/>
      <c r="G168" s="176"/>
      <c r="H168" s="176"/>
    </row>
    <row r="169" spans="1:8" ht="16.5" customHeight="1">
      <c r="A169" s="46"/>
      <c r="D169" s="176"/>
      <c r="F169" s="167"/>
      <c r="G169" s="176"/>
      <c r="H169" s="176"/>
    </row>
    <row r="170" spans="1:8" ht="16.5" customHeight="1">
      <c r="A170" s="46"/>
      <c r="D170" s="176"/>
      <c r="F170" s="167"/>
      <c r="G170" s="176"/>
      <c r="H170" s="176"/>
    </row>
    <row r="171" spans="1:8" ht="16.5" customHeight="1">
      <c r="A171" s="46"/>
      <c r="D171" s="176"/>
      <c r="F171" s="167"/>
      <c r="G171" s="176"/>
      <c r="H171" s="176"/>
    </row>
    <row r="172" spans="1:8" ht="16.5" customHeight="1">
      <c r="A172" s="46"/>
      <c r="D172" s="176"/>
      <c r="F172" s="167"/>
      <c r="G172" s="176"/>
      <c r="H172" s="176"/>
    </row>
    <row r="173" spans="1:8" ht="16.5" customHeight="1">
      <c r="A173" s="46"/>
      <c r="D173" s="176"/>
      <c r="F173" s="167"/>
      <c r="G173" s="176"/>
      <c r="H173" s="176"/>
    </row>
    <row r="174" spans="1:8" ht="16.5" customHeight="1">
      <c r="A174" s="46"/>
      <c r="D174" s="176"/>
      <c r="F174" s="167"/>
      <c r="G174" s="176"/>
      <c r="H174" s="176"/>
    </row>
    <row r="175" spans="1:8" ht="16.5" customHeight="1">
      <c r="A175" s="46"/>
      <c r="D175" s="176"/>
      <c r="F175" s="167"/>
      <c r="G175" s="176"/>
      <c r="H175" s="176"/>
    </row>
    <row r="176" spans="1:8" ht="16.5" customHeight="1">
      <c r="A176" s="46"/>
      <c r="D176" s="176"/>
      <c r="F176" s="167"/>
      <c r="G176" s="176"/>
      <c r="H176" s="176"/>
    </row>
    <row r="177" spans="1:8" ht="16.5" customHeight="1">
      <c r="A177" s="46"/>
      <c r="D177" s="176"/>
      <c r="F177" s="167"/>
      <c r="G177" s="176"/>
      <c r="H177" s="176"/>
    </row>
    <row r="178" spans="1:8" ht="16.5" customHeight="1">
      <c r="A178" s="46"/>
      <c r="D178" s="176"/>
      <c r="F178" s="167"/>
      <c r="G178" s="176"/>
      <c r="H178" s="176"/>
    </row>
    <row r="179" spans="1:8" ht="16.5" customHeight="1">
      <c r="A179" s="46"/>
      <c r="D179" s="176"/>
      <c r="F179" s="167"/>
      <c r="G179" s="176"/>
      <c r="H179" s="176"/>
    </row>
    <row r="180" spans="1:8" ht="16.5" customHeight="1">
      <c r="A180" s="46"/>
      <c r="D180" s="176"/>
      <c r="F180" s="167"/>
      <c r="G180" s="176"/>
      <c r="H180" s="176"/>
    </row>
    <row r="181" spans="1:8" ht="16.5" customHeight="1">
      <c r="A181" s="46"/>
      <c r="D181" s="176"/>
      <c r="F181" s="167"/>
      <c r="G181" s="176"/>
      <c r="H181" s="176"/>
    </row>
    <row r="182" spans="1:8" ht="16.5" customHeight="1">
      <c r="A182" s="46"/>
      <c r="D182" s="176"/>
      <c r="F182" s="167"/>
      <c r="G182" s="176"/>
      <c r="H182" s="176"/>
    </row>
    <row r="183" spans="1:8" ht="16.5" customHeight="1">
      <c r="A183" s="46"/>
      <c r="D183" s="176"/>
      <c r="F183" s="167"/>
      <c r="G183" s="176"/>
      <c r="H183" s="176"/>
    </row>
    <row r="184" spans="1:8" ht="16.5" customHeight="1">
      <c r="A184" s="46"/>
      <c r="D184" s="176"/>
      <c r="F184" s="167"/>
      <c r="G184" s="176"/>
      <c r="H184" s="176"/>
    </row>
    <row r="185" spans="1:8" ht="16.5" customHeight="1">
      <c r="A185" s="46"/>
      <c r="D185" s="176"/>
      <c r="F185" s="167"/>
      <c r="G185" s="176"/>
      <c r="H185" s="176"/>
    </row>
    <row r="186" spans="1:8" ht="16.5" customHeight="1">
      <c r="A186" s="46"/>
      <c r="D186" s="176"/>
      <c r="F186" s="167"/>
      <c r="G186" s="176"/>
      <c r="H186" s="176"/>
    </row>
    <row r="187" spans="1:8" ht="16.5" customHeight="1">
      <c r="A187" s="46"/>
      <c r="D187" s="176"/>
      <c r="F187" s="167"/>
      <c r="G187" s="176"/>
      <c r="H187" s="176"/>
    </row>
    <row r="188" spans="1:8" ht="16.5" customHeight="1">
      <c r="A188" s="46"/>
      <c r="D188" s="176"/>
      <c r="F188" s="167"/>
      <c r="G188" s="176"/>
      <c r="H188" s="176"/>
    </row>
    <row r="189" spans="1:8" ht="16.5" customHeight="1">
      <c r="A189" s="46"/>
      <c r="D189" s="176"/>
      <c r="F189" s="167"/>
      <c r="G189" s="176"/>
      <c r="H189" s="176"/>
    </row>
    <row r="190" spans="1:8" ht="16.5" customHeight="1">
      <c r="A190" s="46"/>
      <c r="D190" s="176"/>
      <c r="F190" s="167"/>
      <c r="G190" s="176"/>
      <c r="H190" s="176"/>
    </row>
    <row r="191" spans="1:8" ht="16.5" customHeight="1">
      <c r="A191" s="46"/>
      <c r="D191" s="176"/>
      <c r="F191" s="167"/>
      <c r="G191" s="176"/>
      <c r="H191" s="176"/>
    </row>
    <row r="192" spans="1:8" ht="16.5" customHeight="1">
      <c r="A192" s="46"/>
      <c r="D192" s="176"/>
      <c r="F192" s="167"/>
      <c r="G192" s="176"/>
      <c r="H192" s="176"/>
    </row>
    <row r="193" spans="1:8" ht="16.5" customHeight="1">
      <c r="A193" s="46"/>
      <c r="D193" s="176"/>
      <c r="F193" s="167"/>
      <c r="G193" s="176"/>
      <c r="H193" s="176"/>
    </row>
    <row r="194" spans="1:8" ht="16.5" customHeight="1">
      <c r="A194" s="46"/>
      <c r="D194" s="176"/>
      <c r="F194" s="167"/>
      <c r="G194" s="176"/>
      <c r="H194" s="176"/>
    </row>
    <row r="195" spans="1:8" ht="16.5" customHeight="1">
      <c r="A195" s="46"/>
      <c r="D195" s="176"/>
      <c r="F195" s="167"/>
      <c r="G195" s="176"/>
      <c r="H195" s="176"/>
    </row>
    <row r="196" spans="1:8" ht="16.5" customHeight="1">
      <c r="A196" s="46"/>
      <c r="D196" s="176"/>
      <c r="F196" s="167"/>
      <c r="G196" s="176"/>
      <c r="H196" s="176"/>
    </row>
    <row r="197" spans="1:8" ht="16.5" customHeight="1">
      <c r="A197" s="46"/>
      <c r="D197" s="176"/>
      <c r="F197" s="167"/>
      <c r="G197" s="176"/>
      <c r="H197" s="176"/>
    </row>
    <row r="198" spans="1:8" ht="16.5" customHeight="1">
      <c r="A198" s="46"/>
      <c r="D198" s="176"/>
      <c r="F198" s="167"/>
      <c r="G198" s="176"/>
      <c r="H198" s="176"/>
    </row>
    <row r="199" spans="1:8" ht="16.5" customHeight="1">
      <c r="A199" s="46"/>
      <c r="D199" s="176"/>
      <c r="F199" s="167"/>
      <c r="G199" s="176"/>
      <c r="H199" s="176"/>
    </row>
    <row r="200" spans="1:8" ht="16.5" customHeight="1">
      <c r="A200" s="46"/>
      <c r="D200" s="176"/>
      <c r="F200" s="167"/>
      <c r="G200" s="176"/>
      <c r="H200" s="176"/>
    </row>
    <row r="201" spans="1:8" ht="16.5" customHeight="1">
      <c r="A201" s="46"/>
      <c r="D201" s="176"/>
      <c r="F201" s="167"/>
      <c r="G201" s="176"/>
      <c r="H201" s="176"/>
    </row>
    <row r="202" spans="1:8" ht="16.5" customHeight="1">
      <c r="A202" s="46"/>
      <c r="D202" s="176"/>
      <c r="F202" s="167"/>
      <c r="G202" s="176"/>
      <c r="H202" s="176"/>
    </row>
    <row r="203" spans="1:8" ht="16.5" customHeight="1">
      <c r="A203" s="46"/>
      <c r="D203" s="176"/>
      <c r="F203" s="167"/>
      <c r="G203" s="176"/>
      <c r="H203" s="176"/>
    </row>
    <row r="204" spans="1:8" ht="16.5" customHeight="1">
      <c r="A204" s="46"/>
      <c r="D204" s="176"/>
      <c r="F204" s="167"/>
      <c r="G204" s="176"/>
      <c r="H204" s="176"/>
    </row>
    <row r="205" spans="1:8" ht="16.5" customHeight="1">
      <c r="A205" s="46"/>
      <c r="D205" s="176"/>
      <c r="F205" s="167"/>
      <c r="G205" s="176"/>
      <c r="H205" s="176"/>
    </row>
    <row r="206" spans="1:8" ht="16.5" customHeight="1">
      <c r="A206" s="46"/>
      <c r="D206" s="176"/>
      <c r="F206" s="167"/>
      <c r="G206" s="176"/>
      <c r="H206" s="176"/>
    </row>
    <row r="207" spans="1:8" ht="16.5" customHeight="1">
      <c r="A207" s="46"/>
      <c r="D207" s="176"/>
      <c r="F207" s="167"/>
      <c r="G207" s="176"/>
      <c r="H207" s="176"/>
    </row>
    <row r="208" spans="1:8" ht="16.5" customHeight="1">
      <c r="A208" s="46"/>
      <c r="D208" s="176"/>
      <c r="F208" s="167"/>
      <c r="G208" s="176"/>
      <c r="H208" s="176"/>
    </row>
    <row r="209" spans="1:8" ht="16.5" customHeight="1">
      <c r="A209" s="46"/>
      <c r="D209" s="176"/>
      <c r="F209" s="167"/>
      <c r="G209" s="176"/>
      <c r="H209" s="176"/>
    </row>
    <row r="210" spans="1:8" ht="16.5" customHeight="1">
      <c r="A210" s="46"/>
      <c r="D210" s="176"/>
      <c r="F210" s="167"/>
      <c r="G210" s="176"/>
      <c r="H210" s="176"/>
    </row>
    <row r="211" spans="1:8" ht="16.5" customHeight="1">
      <c r="A211" s="46"/>
      <c r="D211" s="176"/>
      <c r="F211" s="167"/>
      <c r="G211" s="176"/>
      <c r="H211" s="176"/>
    </row>
    <row r="212" spans="1:8" ht="16.5" customHeight="1">
      <c r="A212" s="46"/>
      <c r="D212" s="176"/>
      <c r="F212" s="167"/>
      <c r="G212" s="176"/>
      <c r="H212" s="176"/>
    </row>
    <row r="213" spans="1:8" ht="16.5" customHeight="1">
      <c r="A213" s="46"/>
      <c r="D213" s="176"/>
      <c r="F213" s="167"/>
      <c r="G213" s="176"/>
      <c r="H213" s="176"/>
    </row>
    <row r="214" spans="1:8" ht="16.5" customHeight="1">
      <c r="A214" s="46"/>
      <c r="D214" s="176"/>
      <c r="F214" s="167"/>
      <c r="G214" s="176"/>
      <c r="H214" s="176"/>
    </row>
    <row r="215" spans="1:8" ht="16.5" customHeight="1">
      <c r="A215" s="46"/>
      <c r="D215" s="176"/>
      <c r="F215" s="167"/>
      <c r="G215" s="176"/>
      <c r="H215" s="176"/>
    </row>
    <row r="216" spans="1:8" ht="16.5" customHeight="1">
      <c r="A216" s="46"/>
      <c r="D216" s="176"/>
      <c r="F216" s="167"/>
      <c r="G216" s="176"/>
      <c r="H216" s="176"/>
    </row>
    <row r="217" spans="1:8" ht="16.5" customHeight="1">
      <c r="A217" s="46"/>
      <c r="D217" s="176"/>
      <c r="F217" s="167"/>
      <c r="G217" s="176"/>
      <c r="H217" s="176"/>
    </row>
    <row r="218" spans="1:8" ht="16.5" customHeight="1">
      <c r="A218" s="46"/>
      <c r="D218" s="176"/>
      <c r="F218" s="167"/>
      <c r="G218" s="176"/>
      <c r="H218" s="176"/>
    </row>
    <row r="219" spans="1:8" ht="16.5" customHeight="1">
      <c r="A219" s="46"/>
      <c r="D219" s="176"/>
      <c r="F219" s="167"/>
      <c r="G219" s="176"/>
      <c r="H219" s="176"/>
    </row>
    <row r="220" spans="1:8" ht="16.5" customHeight="1">
      <c r="A220" s="46"/>
      <c r="D220" s="176"/>
      <c r="F220" s="167"/>
      <c r="G220" s="176"/>
      <c r="H220" s="176"/>
    </row>
    <row r="221" spans="1:8" ht="16.5" customHeight="1">
      <c r="A221" s="46"/>
      <c r="D221" s="176"/>
      <c r="F221" s="167"/>
      <c r="G221" s="176"/>
      <c r="H221" s="176"/>
    </row>
    <row r="222" spans="1:8" ht="16.5" customHeight="1">
      <c r="A222" s="46"/>
      <c r="D222" s="176"/>
      <c r="F222" s="167"/>
      <c r="G222" s="176"/>
      <c r="H222" s="176"/>
    </row>
    <row r="223" spans="1:8" ht="16.5" customHeight="1">
      <c r="A223" s="46"/>
      <c r="D223" s="176"/>
      <c r="F223" s="167"/>
      <c r="G223" s="176"/>
      <c r="H223" s="176"/>
    </row>
    <row r="224" spans="1:8" ht="16.5" customHeight="1">
      <c r="A224" s="46"/>
      <c r="D224" s="176"/>
      <c r="F224" s="167"/>
      <c r="G224" s="176"/>
      <c r="H224" s="176"/>
    </row>
    <row r="225" spans="1:8" ht="16.5" customHeight="1">
      <c r="A225" s="46"/>
      <c r="D225" s="176"/>
      <c r="F225" s="167"/>
      <c r="G225" s="176"/>
      <c r="H225" s="176"/>
    </row>
    <row r="226" spans="1:8" ht="16.5" customHeight="1">
      <c r="A226" s="46"/>
      <c r="D226" s="176"/>
      <c r="F226" s="167"/>
      <c r="G226" s="176"/>
      <c r="H226" s="176"/>
    </row>
    <row r="227" spans="1:8" ht="16.5" customHeight="1">
      <c r="A227" s="46"/>
      <c r="D227" s="176"/>
      <c r="F227" s="167"/>
      <c r="G227" s="176"/>
      <c r="H227" s="176"/>
    </row>
    <row r="228" spans="1:8" ht="16.5" customHeight="1">
      <c r="A228" s="46"/>
      <c r="D228" s="176"/>
      <c r="F228" s="167"/>
      <c r="G228" s="176"/>
      <c r="H228" s="176"/>
    </row>
    <row r="229" spans="1:8" ht="16.5" customHeight="1">
      <c r="A229" s="46"/>
      <c r="D229" s="176"/>
      <c r="F229" s="167"/>
      <c r="G229" s="176"/>
      <c r="H229" s="176"/>
    </row>
    <row r="230" spans="1:8" ht="16.5" customHeight="1">
      <c r="A230" s="46"/>
      <c r="D230" s="176"/>
      <c r="F230" s="167"/>
      <c r="G230" s="176"/>
      <c r="H230" s="176"/>
    </row>
    <row r="231" spans="1:8" ht="16.5" customHeight="1">
      <c r="A231" s="46"/>
      <c r="D231" s="176"/>
      <c r="F231" s="167"/>
      <c r="G231" s="176"/>
      <c r="H231" s="176"/>
    </row>
    <row r="232" spans="1:8" ht="16.5" customHeight="1">
      <c r="A232" s="46"/>
      <c r="D232" s="176"/>
      <c r="F232" s="167"/>
      <c r="G232" s="176"/>
      <c r="H232" s="176"/>
    </row>
    <row r="233" spans="1:8" ht="16.5" customHeight="1">
      <c r="A233" s="46"/>
      <c r="D233" s="176"/>
      <c r="F233" s="167"/>
      <c r="G233" s="176"/>
      <c r="H233" s="176"/>
    </row>
    <row r="234" spans="1:8" ht="16.5" customHeight="1">
      <c r="A234" s="46"/>
      <c r="D234" s="176"/>
      <c r="F234" s="167"/>
      <c r="G234" s="176"/>
      <c r="H234" s="176"/>
    </row>
    <row r="235" spans="1:8" ht="16.5" customHeight="1">
      <c r="A235" s="46"/>
      <c r="D235" s="176"/>
      <c r="F235" s="167"/>
      <c r="G235" s="176"/>
      <c r="H235" s="176"/>
    </row>
    <row r="236" spans="1:8" ht="16.5" customHeight="1">
      <c r="A236" s="46"/>
      <c r="D236" s="176"/>
      <c r="F236" s="167"/>
      <c r="G236" s="176"/>
      <c r="H236" s="176"/>
    </row>
    <row r="237" spans="1:8" ht="16.5" customHeight="1">
      <c r="A237" s="46"/>
      <c r="D237" s="176"/>
      <c r="F237" s="167"/>
      <c r="G237" s="176"/>
      <c r="H237" s="176"/>
    </row>
    <row r="238" spans="1:8" ht="16.5" customHeight="1">
      <c r="A238" s="46"/>
      <c r="D238" s="176"/>
      <c r="F238" s="167"/>
      <c r="G238" s="176"/>
      <c r="H238" s="176"/>
    </row>
    <row r="239" spans="1:8" ht="16.5" customHeight="1">
      <c r="A239" s="46"/>
      <c r="D239" s="176"/>
      <c r="F239" s="167"/>
      <c r="G239" s="176"/>
      <c r="H239" s="176"/>
    </row>
    <row r="240" spans="1:8" ht="16.5" customHeight="1">
      <c r="A240" s="46"/>
      <c r="D240" s="176"/>
      <c r="F240" s="167"/>
      <c r="G240" s="176"/>
      <c r="H240" s="176"/>
    </row>
    <row r="241" spans="1:8" ht="16.5" customHeight="1">
      <c r="A241" s="46"/>
      <c r="D241" s="176"/>
      <c r="F241" s="167"/>
      <c r="G241" s="176"/>
      <c r="H241" s="176"/>
    </row>
    <row r="242" spans="1:8" ht="16.5" customHeight="1">
      <c r="A242" s="46"/>
      <c r="D242" s="176"/>
      <c r="F242" s="167"/>
      <c r="G242" s="176"/>
      <c r="H242" s="176"/>
    </row>
    <row r="243" spans="1:8" ht="16.5" customHeight="1">
      <c r="A243" s="46"/>
      <c r="D243" s="176"/>
      <c r="F243" s="167"/>
      <c r="G243" s="176"/>
      <c r="H243" s="176"/>
    </row>
    <row r="244" spans="1:8" ht="16.5" customHeight="1">
      <c r="A244" s="46"/>
      <c r="D244" s="176"/>
      <c r="F244" s="167"/>
      <c r="G244" s="176"/>
      <c r="H244" s="176"/>
    </row>
    <row r="245" spans="1:8" ht="16.5" customHeight="1">
      <c r="A245" s="46"/>
      <c r="D245" s="176"/>
      <c r="F245" s="167"/>
      <c r="G245" s="176"/>
      <c r="H245" s="176"/>
    </row>
    <row r="246" spans="1:8" ht="16.5" customHeight="1">
      <c r="A246" s="46"/>
      <c r="D246" s="176"/>
      <c r="F246" s="167"/>
      <c r="G246" s="176"/>
      <c r="H246" s="176"/>
    </row>
    <row r="247" spans="1:8" ht="16.5" customHeight="1">
      <c r="A247" s="46"/>
      <c r="D247" s="176"/>
      <c r="F247" s="167"/>
      <c r="G247" s="176"/>
      <c r="H247" s="176"/>
    </row>
    <row r="248" spans="1:8" ht="16.5" customHeight="1">
      <c r="A248" s="46"/>
      <c r="D248" s="176"/>
      <c r="F248" s="167"/>
      <c r="G248" s="176"/>
      <c r="H248" s="176"/>
    </row>
    <row r="249" spans="1:8" ht="16.5" customHeight="1">
      <c r="A249" s="46"/>
      <c r="D249" s="176"/>
      <c r="F249" s="167"/>
      <c r="G249" s="176"/>
      <c r="H249" s="176"/>
    </row>
    <row r="250" spans="1:8" ht="16.5" customHeight="1">
      <c r="A250" s="46"/>
      <c r="D250" s="176"/>
      <c r="F250" s="167"/>
      <c r="G250" s="176"/>
      <c r="H250" s="176"/>
    </row>
    <row r="251" spans="1:8" ht="16.5" customHeight="1">
      <c r="A251" s="46"/>
      <c r="D251" s="176"/>
      <c r="F251" s="167"/>
      <c r="G251" s="176"/>
      <c r="H251" s="176"/>
    </row>
    <row r="252" spans="1:8" ht="16.5" customHeight="1">
      <c r="A252" s="46"/>
      <c r="D252" s="176"/>
      <c r="F252" s="167"/>
      <c r="G252" s="176"/>
      <c r="H252" s="176"/>
    </row>
    <row r="253" spans="1:8" ht="16.5" customHeight="1">
      <c r="A253" s="46"/>
      <c r="D253" s="176"/>
      <c r="F253" s="167"/>
      <c r="G253" s="176"/>
      <c r="H253" s="176"/>
    </row>
    <row r="254" spans="1:8" ht="16.5" customHeight="1">
      <c r="A254" s="46"/>
      <c r="D254" s="176"/>
      <c r="F254" s="167"/>
      <c r="G254" s="176"/>
      <c r="H254" s="176"/>
    </row>
    <row r="255" spans="1:8" ht="16.5" customHeight="1">
      <c r="A255" s="46"/>
      <c r="D255" s="176"/>
      <c r="F255" s="167"/>
      <c r="G255" s="176"/>
      <c r="H255" s="176"/>
    </row>
    <row r="256" spans="1:8" ht="16.5" customHeight="1">
      <c r="A256" s="46"/>
      <c r="D256" s="176"/>
      <c r="F256" s="167"/>
      <c r="G256" s="176"/>
      <c r="H256" s="176"/>
    </row>
    <row r="257" spans="1:8" ht="16.5" customHeight="1">
      <c r="A257" s="46"/>
      <c r="D257" s="176"/>
      <c r="F257" s="167"/>
      <c r="G257" s="176"/>
      <c r="H257" s="176"/>
    </row>
    <row r="258" spans="1:8" ht="16.5" customHeight="1">
      <c r="A258" s="46"/>
      <c r="D258" s="176"/>
      <c r="F258" s="167"/>
      <c r="G258" s="176"/>
      <c r="H258" s="176"/>
    </row>
    <row r="259" spans="1:8" ht="16.5" customHeight="1">
      <c r="A259" s="46"/>
      <c r="D259" s="176"/>
      <c r="F259" s="167"/>
      <c r="G259" s="176"/>
      <c r="H259" s="176"/>
    </row>
    <row r="260" spans="1:8" ht="16.5" customHeight="1">
      <c r="A260" s="46"/>
      <c r="D260" s="176"/>
      <c r="F260" s="167"/>
      <c r="G260" s="176"/>
      <c r="H260" s="176"/>
    </row>
    <row r="261" spans="1:8" ht="16.5" customHeight="1">
      <c r="A261" s="46"/>
      <c r="D261" s="176"/>
      <c r="F261" s="167"/>
      <c r="G261" s="176"/>
      <c r="H261" s="176"/>
    </row>
    <row r="262" spans="1:8" ht="16.5" customHeight="1">
      <c r="A262" s="46"/>
      <c r="D262" s="176"/>
      <c r="F262" s="167"/>
      <c r="G262" s="176"/>
      <c r="H262" s="176"/>
    </row>
    <row r="263" spans="1:8" ht="16.5" customHeight="1">
      <c r="A263" s="46"/>
      <c r="D263" s="176"/>
      <c r="F263" s="167"/>
      <c r="G263" s="176"/>
      <c r="H263" s="176"/>
    </row>
    <row r="264" spans="1:8" ht="16.5" customHeight="1">
      <c r="A264" s="46"/>
      <c r="D264" s="176"/>
      <c r="F264" s="167"/>
      <c r="G264" s="176"/>
      <c r="H264" s="176"/>
    </row>
    <row r="265" spans="1:8" ht="16.5" customHeight="1">
      <c r="A265" s="46"/>
      <c r="D265" s="176"/>
      <c r="F265" s="167"/>
      <c r="G265" s="176"/>
      <c r="H265" s="176"/>
    </row>
    <row r="266" spans="1:8" ht="16.5" customHeight="1">
      <c r="A266" s="46"/>
      <c r="D266" s="176"/>
      <c r="F266" s="167"/>
      <c r="G266" s="176"/>
      <c r="H266" s="176"/>
    </row>
    <row r="267" spans="1:8" ht="16.5" customHeight="1">
      <c r="A267" s="46"/>
      <c r="D267" s="176"/>
      <c r="F267" s="167"/>
      <c r="G267" s="176"/>
      <c r="H267" s="176"/>
    </row>
    <row r="268" spans="1:8" ht="16.5" customHeight="1">
      <c r="A268" s="46"/>
      <c r="D268" s="176"/>
      <c r="F268" s="167"/>
      <c r="G268" s="176"/>
      <c r="H268" s="176"/>
    </row>
    <row r="269" spans="1:8" ht="16.5" customHeight="1">
      <c r="A269" s="46"/>
      <c r="D269" s="176"/>
      <c r="F269" s="167"/>
      <c r="G269" s="176"/>
      <c r="H269" s="176"/>
    </row>
    <row r="270" spans="1:8" ht="16.5" customHeight="1">
      <c r="A270" s="46"/>
      <c r="D270" s="176"/>
      <c r="F270" s="167"/>
      <c r="G270" s="176"/>
      <c r="H270" s="176"/>
    </row>
    <row r="271" spans="1:8" ht="16.5" customHeight="1">
      <c r="A271" s="46"/>
      <c r="D271" s="176"/>
      <c r="F271" s="167"/>
      <c r="G271" s="176"/>
      <c r="H271" s="176"/>
    </row>
    <row r="272" spans="1:8" ht="16.5" customHeight="1">
      <c r="A272" s="46"/>
      <c r="D272" s="176"/>
      <c r="F272" s="167"/>
      <c r="G272" s="176"/>
      <c r="H272" s="176"/>
    </row>
    <row r="273" spans="1:8" ht="16.5" customHeight="1">
      <c r="A273" s="46"/>
      <c r="D273" s="176"/>
      <c r="F273" s="167"/>
      <c r="G273" s="176"/>
      <c r="H273" s="176"/>
    </row>
    <row r="274" spans="1:8" ht="16.5" customHeight="1">
      <c r="A274" s="46"/>
      <c r="D274" s="176"/>
      <c r="F274" s="167"/>
      <c r="G274" s="176"/>
      <c r="H274" s="176"/>
    </row>
    <row r="275" spans="1:8" ht="16.5" customHeight="1">
      <c r="A275" s="46"/>
      <c r="D275" s="176"/>
      <c r="F275" s="167"/>
      <c r="G275" s="176"/>
      <c r="H275" s="176"/>
    </row>
    <row r="276" spans="1:8" ht="16.5" customHeight="1">
      <c r="A276" s="46"/>
      <c r="D276" s="176"/>
      <c r="F276" s="167"/>
      <c r="G276" s="176"/>
      <c r="H276" s="176"/>
    </row>
    <row r="277" spans="1:8" ht="16.5" customHeight="1">
      <c r="A277" s="46"/>
      <c r="D277" s="176"/>
      <c r="F277" s="167"/>
      <c r="G277" s="176"/>
      <c r="H277" s="176"/>
    </row>
    <row r="278" spans="1:8" ht="16.5" customHeight="1">
      <c r="A278" s="46"/>
      <c r="D278" s="176"/>
      <c r="F278" s="167"/>
      <c r="G278" s="176"/>
      <c r="H278" s="176"/>
    </row>
    <row r="279" spans="1:8" ht="16.5" customHeight="1">
      <c r="A279" s="46"/>
      <c r="D279" s="176"/>
      <c r="F279" s="167"/>
      <c r="G279" s="176"/>
      <c r="H279" s="176"/>
    </row>
    <row r="280" spans="1:8" ht="16.5" customHeight="1">
      <c r="A280" s="46"/>
      <c r="D280" s="176"/>
      <c r="F280" s="167"/>
      <c r="G280" s="176"/>
      <c r="H280" s="176"/>
    </row>
    <row r="281" spans="1:8" ht="16.5" customHeight="1">
      <c r="A281" s="46"/>
      <c r="D281" s="176"/>
      <c r="F281" s="167"/>
      <c r="G281" s="176"/>
      <c r="H281" s="176"/>
    </row>
    <row r="282" spans="1:8" ht="16.5" customHeight="1">
      <c r="A282" s="46"/>
      <c r="D282" s="176"/>
      <c r="F282" s="167"/>
      <c r="G282" s="176"/>
      <c r="H282" s="176"/>
    </row>
    <row r="283" spans="1:8" ht="16.5" customHeight="1">
      <c r="A283" s="46"/>
      <c r="D283" s="176"/>
      <c r="F283" s="167"/>
      <c r="G283" s="176"/>
      <c r="H283" s="176"/>
    </row>
    <row r="284" spans="1:8" ht="16.5" customHeight="1">
      <c r="A284" s="46"/>
      <c r="D284" s="176"/>
      <c r="F284" s="167"/>
      <c r="G284" s="176"/>
      <c r="H284" s="176"/>
    </row>
    <row r="285" spans="1:8" ht="16.5" customHeight="1">
      <c r="A285" s="46"/>
      <c r="D285" s="176"/>
      <c r="F285" s="167"/>
      <c r="G285" s="176"/>
      <c r="H285" s="176"/>
    </row>
    <row r="286" spans="1:8" ht="16.5" customHeight="1">
      <c r="A286" s="46"/>
      <c r="D286" s="176"/>
      <c r="F286" s="167"/>
      <c r="G286" s="176"/>
      <c r="H286" s="176"/>
    </row>
    <row r="287" spans="1:8" ht="16.5" customHeight="1">
      <c r="A287" s="46"/>
      <c r="D287" s="176"/>
      <c r="F287" s="167"/>
      <c r="G287" s="176"/>
      <c r="H287" s="176"/>
    </row>
    <row r="288" spans="1:8" ht="16.5" customHeight="1">
      <c r="A288" s="46"/>
      <c r="D288" s="176"/>
      <c r="F288" s="167"/>
      <c r="G288" s="176"/>
      <c r="H288" s="176"/>
    </row>
    <row r="289" spans="1:8" ht="16.5" customHeight="1">
      <c r="A289" s="46"/>
      <c r="D289" s="176"/>
      <c r="F289" s="167"/>
      <c r="G289" s="176"/>
      <c r="H289" s="176"/>
    </row>
    <row r="290" spans="1:8" ht="16.5" customHeight="1">
      <c r="A290" s="46"/>
      <c r="D290" s="176"/>
      <c r="F290" s="167"/>
      <c r="G290" s="176"/>
      <c r="H290" s="176"/>
    </row>
    <row r="291" spans="1:8" ht="16.5" customHeight="1">
      <c r="A291" s="46"/>
      <c r="D291" s="176"/>
      <c r="F291" s="167"/>
      <c r="G291" s="176"/>
      <c r="H291" s="176"/>
    </row>
    <row r="292" spans="1:8" ht="16.5" customHeight="1">
      <c r="A292" s="46"/>
      <c r="D292" s="176"/>
      <c r="F292" s="167"/>
      <c r="G292" s="176"/>
      <c r="H292" s="176"/>
    </row>
    <row r="293" spans="1:8" ht="16.5" customHeight="1">
      <c r="A293" s="46"/>
      <c r="D293" s="176"/>
      <c r="F293" s="167"/>
      <c r="G293" s="176"/>
      <c r="H293" s="176"/>
    </row>
    <row r="294" spans="1:8" ht="16.5" customHeight="1">
      <c r="A294" s="46"/>
      <c r="D294" s="176"/>
      <c r="F294" s="167"/>
      <c r="G294" s="176"/>
      <c r="H294" s="176"/>
    </row>
    <row r="295" spans="1:8" ht="16.5" customHeight="1">
      <c r="A295" s="46"/>
      <c r="D295" s="176"/>
      <c r="F295" s="167"/>
      <c r="G295" s="176"/>
      <c r="H295" s="176"/>
    </row>
    <row r="296" spans="1:8" ht="16.5" customHeight="1">
      <c r="A296" s="46"/>
      <c r="D296" s="176"/>
      <c r="F296" s="167"/>
      <c r="G296" s="176"/>
      <c r="H296" s="176"/>
    </row>
    <row r="297" spans="1:8" ht="16.5" customHeight="1">
      <c r="A297" s="46"/>
      <c r="D297" s="176"/>
      <c r="F297" s="167"/>
      <c r="G297" s="176"/>
      <c r="H297" s="176"/>
    </row>
    <row r="298" spans="1:8" ht="16.5" customHeight="1">
      <c r="A298" s="46"/>
      <c r="D298" s="176"/>
      <c r="F298" s="167"/>
      <c r="G298" s="176"/>
      <c r="H298" s="176"/>
    </row>
    <row r="299" spans="1:8" ht="16.5" customHeight="1">
      <c r="A299" s="46"/>
      <c r="D299" s="176"/>
      <c r="F299" s="167"/>
      <c r="G299" s="176"/>
      <c r="H299" s="176"/>
    </row>
    <row r="300" spans="1:8" ht="16.5" customHeight="1">
      <c r="A300" s="46"/>
      <c r="D300" s="176"/>
      <c r="F300" s="167"/>
      <c r="G300" s="176"/>
      <c r="H300" s="176"/>
    </row>
    <row r="301" spans="1:8" ht="16.5" customHeight="1">
      <c r="A301" s="46"/>
      <c r="D301" s="176"/>
      <c r="F301" s="167"/>
      <c r="G301" s="176"/>
      <c r="H301" s="176"/>
    </row>
    <row r="302" spans="1:8" ht="16.5" customHeight="1">
      <c r="A302" s="46"/>
      <c r="D302" s="176"/>
      <c r="F302" s="167"/>
      <c r="G302" s="176"/>
      <c r="H302" s="176"/>
    </row>
    <row r="303" spans="1:8" ht="16.5" customHeight="1">
      <c r="A303" s="46"/>
      <c r="D303" s="176"/>
      <c r="F303" s="167"/>
      <c r="G303" s="176"/>
      <c r="H303" s="176"/>
    </row>
    <row r="304" spans="1:8" ht="16.5" customHeight="1">
      <c r="A304" s="46"/>
      <c r="D304" s="176"/>
      <c r="F304" s="167"/>
      <c r="G304" s="176"/>
      <c r="H304" s="176"/>
    </row>
    <row r="305" spans="1:8" ht="16.5" customHeight="1">
      <c r="A305" s="46"/>
      <c r="D305" s="176"/>
      <c r="F305" s="167"/>
      <c r="G305" s="176"/>
      <c r="H305" s="176"/>
    </row>
    <row r="306" spans="1:8" ht="16.5" customHeight="1">
      <c r="A306" s="46"/>
      <c r="D306" s="176"/>
      <c r="F306" s="167"/>
      <c r="G306" s="176"/>
      <c r="H306" s="176"/>
    </row>
    <row r="307" spans="1:8" ht="16.5" customHeight="1">
      <c r="A307" s="46"/>
      <c r="D307" s="176"/>
      <c r="F307" s="167"/>
      <c r="G307" s="176"/>
      <c r="H307" s="176"/>
    </row>
    <row r="308" spans="1:8" ht="16.5" customHeight="1">
      <c r="A308" s="46"/>
      <c r="D308" s="176"/>
      <c r="F308" s="167"/>
      <c r="G308" s="176"/>
      <c r="H308" s="176"/>
    </row>
    <row r="309" spans="1:8" ht="16.5" customHeight="1">
      <c r="A309" s="46"/>
      <c r="D309" s="176"/>
      <c r="F309" s="167"/>
      <c r="G309" s="176"/>
      <c r="H309" s="176"/>
    </row>
    <row r="310" spans="1:8" ht="16.5" customHeight="1">
      <c r="A310" s="46"/>
      <c r="D310" s="176"/>
      <c r="F310" s="167"/>
      <c r="G310" s="176"/>
      <c r="H310" s="176"/>
    </row>
    <row r="311" spans="1:8" ht="16.5" customHeight="1">
      <c r="A311" s="46"/>
      <c r="D311" s="176"/>
      <c r="F311" s="167"/>
      <c r="G311" s="176"/>
      <c r="H311" s="176"/>
    </row>
    <row r="312" spans="1:8" ht="16.5" customHeight="1">
      <c r="A312" s="46"/>
      <c r="D312" s="176"/>
      <c r="F312" s="167"/>
      <c r="G312" s="176"/>
      <c r="H312" s="176"/>
    </row>
    <row r="313" spans="1:8" ht="16.5" customHeight="1">
      <c r="A313" s="46"/>
      <c r="D313" s="176"/>
      <c r="F313" s="167"/>
      <c r="G313" s="176"/>
      <c r="H313" s="176"/>
    </row>
    <row r="314" spans="1:8" ht="16.5" customHeight="1">
      <c r="A314" s="46"/>
      <c r="D314" s="176"/>
      <c r="F314" s="167"/>
      <c r="G314" s="176"/>
      <c r="H314" s="176"/>
    </row>
    <row r="315" spans="1:8" ht="16.5" customHeight="1">
      <c r="A315" s="46"/>
      <c r="D315" s="176"/>
      <c r="F315" s="167"/>
      <c r="G315" s="176"/>
      <c r="H315" s="176"/>
    </row>
    <row r="316" spans="1:8" ht="16.5" customHeight="1">
      <c r="A316" s="46"/>
      <c r="D316" s="176"/>
      <c r="F316" s="167"/>
      <c r="G316" s="176"/>
      <c r="H316" s="176"/>
    </row>
    <row r="317" spans="1:8" ht="16.5" customHeight="1">
      <c r="A317" s="46"/>
      <c r="D317" s="176"/>
      <c r="F317" s="167"/>
      <c r="G317" s="176"/>
      <c r="H317" s="176"/>
    </row>
    <row r="318" spans="1:8" ht="16.5" customHeight="1">
      <c r="A318" s="46"/>
      <c r="D318" s="176"/>
      <c r="F318" s="167"/>
      <c r="G318" s="176"/>
      <c r="H318" s="176"/>
    </row>
    <row r="319" spans="1:8" ht="16.5" customHeight="1">
      <c r="A319" s="46"/>
      <c r="D319" s="176"/>
      <c r="F319" s="167"/>
      <c r="G319" s="176"/>
      <c r="H319" s="176"/>
    </row>
    <row r="320" spans="1:8" ht="16.5" customHeight="1">
      <c r="A320" s="46"/>
      <c r="D320" s="176"/>
      <c r="F320" s="167"/>
      <c r="G320" s="176"/>
      <c r="H320" s="176"/>
    </row>
    <row r="321" spans="1:8" ht="16.5" customHeight="1">
      <c r="A321" s="46"/>
      <c r="D321" s="176"/>
      <c r="F321" s="167"/>
      <c r="G321" s="176"/>
      <c r="H321" s="176"/>
    </row>
    <row r="322" spans="1:8" ht="16.5" customHeight="1">
      <c r="A322" s="46"/>
      <c r="D322" s="176"/>
      <c r="F322" s="167"/>
      <c r="G322" s="176"/>
      <c r="H322" s="176"/>
    </row>
    <row r="323" spans="1:8" ht="16.5" customHeight="1">
      <c r="A323" s="46"/>
      <c r="D323" s="176"/>
      <c r="F323" s="167"/>
      <c r="G323" s="176"/>
      <c r="H323" s="176"/>
    </row>
    <row r="324" spans="1:8" ht="16.5" customHeight="1">
      <c r="A324" s="46"/>
      <c r="D324" s="176"/>
      <c r="F324" s="167"/>
      <c r="G324" s="176"/>
      <c r="H324" s="176"/>
    </row>
    <row r="325" spans="1:8" ht="16.5" customHeight="1">
      <c r="A325" s="46"/>
      <c r="D325" s="176"/>
      <c r="F325" s="167"/>
      <c r="G325" s="176"/>
      <c r="H325" s="176"/>
    </row>
    <row r="326" spans="1:8" ht="16.5" customHeight="1">
      <c r="A326" s="46"/>
      <c r="D326" s="176"/>
      <c r="F326" s="167"/>
      <c r="G326" s="176"/>
      <c r="H326" s="176"/>
    </row>
    <row r="327" spans="1:8" ht="16.5" customHeight="1">
      <c r="A327" s="46"/>
      <c r="D327" s="176"/>
      <c r="F327" s="167"/>
      <c r="G327" s="176"/>
      <c r="H327" s="176"/>
    </row>
    <row r="328" spans="1:8" ht="16.5" customHeight="1">
      <c r="A328" s="46"/>
      <c r="D328" s="176"/>
      <c r="F328" s="167"/>
      <c r="G328" s="176"/>
      <c r="H328" s="176"/>
    </row>
    <row r="329" spans="1:8" ht="16.5" customHeight="1">
      <c r="A329" s="46"/>
      <c r="D329" s="176"/>
      <c r="F329" s="167"/>
      <c r="G329" s="176"/>
      <c r="H329" s="176"/>
    </row>
    <row r="330" spans="1:8" ht="16.5" customHeight="1">
      <c r="A330" s="46"/>
      <c r="D330" s="176"/>
      <c r="F330" s="167"/>
      <c r="G330" s="176"/>
      <c r="H330" s="176"/>
    </row>
    <row r="331" spans="1:8" ht="16.5" customHeight="1">
      <c r="A331" s="46"/>
      <c r="D331" s="176"/>
      <c r="F331" s="167"/>
      <c r="G331" s="176"/>
      <c r="H331" s="176"/>
    </row>
    <row r="332" spans="1:8" ht="16.5" customHeight="1">
      <c r="A332" s="46"/>
      <c r="D332" s="176"/>
      <c r="F332" s="167"/>
      <c r="G332" s="176"/>
      <c r="H332" s="176"/>
    </row>
    <row r="333" spans="1:8" ht="16.5" customHeight="1">
      <c r="A333" s="46"/>
      <c r="D333" s="176"/>
      <c r="F333" s="167"/>
      <c r="G333" s="176"/>
      <c r="H333" s="176"/>
    </row>
    <row r="334" spans="1:8" ht="16.5" customHeight="1">
      <c r="A334" s="46"/>
      <c r="D334" s="176"/>
      <c r="F334" s="167"/>
      <c r="G334" s="176"/>
      <c r="H334" s="176"/>
    </row>
    <row r="335" spans="1:8" ht="16.5" customHeight="1">
      <c r="A335" s="46"/>
      <c r="D335" s="176"/>
      <c r="F335" s="167"/>
      <c r="G335" s="176"/>
      <c r="H335" s="176"/>
    </row>
    <row r="336" spans="1:8" ht="16.5" customHeight="1">
      <c r="A336" s="46"/>
      <c r="D336" s="176"/>
      <c r="F336" s="167"/>
      <c r="G336" s="176"/>
      <c r="H336" s="176"/>
    </row>
    <row r="337" spans="1:8" ht="16.5" customHeight="1">
      <c r="A337" s="46"/>
      <c r="D337" s="176"/>
      <c r="F337" s="167"/>
      <c r="G337" s="176"/>
      <c r="H337" s="176"/>
    </row>
    <row r="338" spans="1:8" ht="16.5" customHeight="1">
      <c r="A338" s="46"/>
      <c r="D338" s="176"/>
      <c r="F338" s="167"/>
      <c r="G338" s="176"/>
      <c r="H338" s="176"/>
    </row>
    <row r="339" spans="1:8" ht="16.5" customHeight="1">
      <c r="A339" s="46"/>
      <c r="D339" s="176"/>
      <c r="F339" s="167"/>
      <c r="G339" s="176"/>
      <c r="H339" s="176"/>
    </row>
    <row r="340" spans="1:8" ht="16.5" customHeight="1">
      <c r="A340" s="46"/>
      <c r="D340" s="176"/>
      <c r="F340" s="167"/>
      <c r="G340" s="176"/>
      <c r="H340" s="176"/>
    </row>
    <row r="341" spans="1:8" ht="16.5" customHeight="1">
      <c r="A341" s="46"/>
      <c r="D341" s="176"/>
      <c r="F341" s="167"/>
      <c r="G341" s="176"/>
      <c r="H341" s="176"/>
    </row>
    <row r="342" spans="1:8" ht="16.5" customHeight="1">
      <c r="A342" s="46"/>
      <c r="D342" s="176"/>
      <c r="F342" s="167"/>
      <c r="G342" s="176"/>
      <c r="H342" s="176"/>
    </row>
    <row r="343" spans="1:8" ht="16.5" customHeight="1">
      <c r="A343" s="46"/>
      <c r="D343" s="176"/>
      <c r="F343" s="167"/>
      <c r="G343" s="176"/>
      <c r="H343" s="176"/>
    </row>
    <row r="344" spans="1:8" ht="16.5" customHeight="1">
      <c r="A344" s="46"/>
      <c r="D344" s="176"/>
      <c r="F344" s="167"/>
      <c r="G344" s="176"/>
      <c r="H344" s="176"/>
    </row>
    <row r="345" spans="1:8" ht="16.5" customHeight="1">
      <c r="A345" s="46"/>
      <c r="D345" s="176"/>
      <c r="F345" s="167"/>
      <c r="G345" s="176"/>
      <c r="H345" s="176"/>
    </row>
    <row r="346" spans="1:8" ht="16.5" customHeight="1">
      <c r="A346" s="46"/>
      <c r="D346" s="176"/>
      <c r="F346" s="167"/>
      <c r="G346" s="176"/>
      <c r="H346" s="176"/>
    </row>
    <row r="347" spans="1:8" ht="16.5" customHeight="1">
      <c r="A347" s="46"/>
      <c r="D347" s="176"/>
      <c r="F347" s="167"/>
      <c r="G347" s="176"/>
      <c r="H347" s="176"/>
    </row>
    <row r="348" spans="1:8" ht="16.5" customHeight="1">
      <c r="A348" s="46"/>
      <c r="D348" s="176"/>
      <c r="F348" s="167"/>
      <c r="G348" s="176"/>
      <c r="H348" s="176"/>
    </row>
    <row r="349" spans="1:8" ht="16.5" customHeight="1">
      <c r="A349" s="46"/>
      <c r="D349" s="176"/>
      <c r="F349" s="167"/>
      <c r="G349" s="176"/>
      <c r="H349" s="176"/>
    </row>
    <row r="350" spans="1:8" ht="16.5" customHeight="1">
      <c r="A350" s="46"/>
      <c r="D350" s="176"/>
      <c r="F350" s="167"/>
      <c r="G350" s="176"/>
      <c r="H350" s="176"/>
    </row>
    <row r="351" spans="1:8" ht="16.5" customHeight="1">
      <c r="A351" s="46"/>
      <c r="D351" s="176"/>
      <c r="F351" s="167"/>
      <c r="G351" s="176"/>
      <c r="H351" s="176"/>
    </row>
    <row r="352" spans="1:8" ht="16.5" customHeight="1">
      <c r="A352" s="46"/>
      <c r="D352" s="176"/>
      <c r="F352" s="167"/>
      <c r="G352" s="176"/>
      <c r="H352" s="176"/>
    </row>
    <row r="353" spans="1:8" ht="16.5" customHeight="1">
      <c r="A353" s="46"/>
      <c r="D353" s="176"/>
      <c r="F353" s="167"/>
      <c r="G353" s="176"/>
      <c r="H353" s="176"/>
    </row>
    <row r="354" spans="1:8" ht="16.5" customHeight="1">
      <c r="A354" s="46"/>
      <c r="D354" s="176"/>
      <c r="F354" s="167"/>
      <c r="G354" s="176"/>
      <c r="H354" s="176"/>
    </row>
    <row r="355" spans="1:8" ht="16.5" customHeight="1">
      <c r="A355" s="46"/>
      <c r="D355" s="176"/>
      <c r="F355" s="167"/>
      <c r="G355" s="176"/>
      <c r="H355" s="176"/>
    </row>
    <row r="356" spans="1:8" ht="16.5" customHeight="1">
      <c r="A356" s="46"/>
      <c r="D356" s="176"/>
      <c r="F356" s="167"/>
      <c r="G356" s="176"/>
      <c r="H356" s="176"/>
    </row>
    <row r="357" spans="1:8" ht="16.5" customHeight="1">
      <c r="A357" s="46"/>
      <c r="D357" s="176"/>
      <c r="F357" s="167"/>
      <c r="G357" s="176"/>
      <c r="H357" s="176"/>
    </row>
    <row r="358" spans="1:8" ht="16.5" customHeight="1">
      <c r="A358" s="46"/>
      <c r="D358" s="176"/>
      <c r="F358" s="167"/>
      <c r="G358" s="176"/>
      <c r="H358" s="176"/>
    </row>
    <row r="359" spans="1:8" ht="16.5" customHeight="1">
      <c r="A359" s="46"/>
      <c r="D359" s="176"/>
      <c r="F359" s="167"/>
      <c r="G359" s="176"/>
      <c r="H359" s="176"/>
    </row>
    <row r="360" spans="1:8" ht="16.5" customHeight="1">
      <c r="A360" s="46"/>
      <c r="D360" s="176"/>
      <c r="F360" s="167"/>
      <c r="G360" s="176"/>
      <c r="H360" s="176"/>
    </row>
    <row r="361" spans="1:8" ht="16.5" customHeight="1">
      <c r="A361" s="46"/>
      <c r="D361" s="176"/>
      <c r="F361" s="167"/>
      <c r="G361" s="176"/>
      <c r="H361" s="176"/>
    </row>
    <row r="362" spans="1:8" ht="16.5" customHeight="1">
      <c r="A362" s="46"/>
      <c r="D362" s="176"/>
      <c r="F362" s="167"/>
      <c r="G362" s="176"/>
      <c r="H362" s="176"/>
    </row>
    <row r="363" spans="1:8" ht="16.5" customHeight="1">
      <c r="A363" s="46"/>
      <c r="D363" s="176"/>
      <c r="F363" s="167"/>
      <c r="G363" s="176"/>
      <c r="H363" s="176"/>
    </row>
    <row r="364" spans="1:8" ht="16.5" customHeight="1">
      <c r="A364" s="46"/>
      <c r="D364" s="176"/>
      <c r="F364" s="167"/>
      <c r="G364" s="176"/>
      <c r="H364" s="176"/>
    </row>
    <row r="365" spans="1:8" ht="16.5" customHeight="1">
      <c r="A365" s="46"/>
      <c r="D365" s="176"/>
      <c r="F365" s="167"/>
      <c r="G365" s="176"/>
      <c r="H365" s="176"/>
    </row>
    <row r="366" spans="1:8" ht="16.5" customHeight="1">
      <c r="A366" s="46"/>
      <c r="D366" s="176"/>
      <c r="F366" s="167"/>
      <c r="G366" s="176"/>
      <c r="H366" s="176"/>
    </row>
    <row r="367" spans="1:8" ht="16.5" customHeight="1">
      <c r="A367" s="46"/>
      <c r="D367" s="176"/>
      <c r="F367" s="167"/>
      <c r="G367" s="176"/>
      <c r="H367" s="176"/>
    </row>
    <row r="368" spans="1:8" ht="16.5" customHeight="1">
      <c r="A368" s="46"/>
      <c r="D368" s="176"/>
      <c r="F368" s="167"/>
      <c r="G368" s="176"/>
      <c r="H368" s="176"/>
    </row>
    <row r="369" spans="1:8" ht="16.5" customHeight="1">
      <c r="A369" s="46"/>
      <c r="D369" s="176"/>
      <c r="F369" s="167"/>
      <c r="G369" s="176"/>
      <c r="H369" s="176"/>
    </row>
    <row r="370" spans="1:8" ht="16.5" customHeight="1">
      <c r="A370" s="46"/>
      <c r="D370" s="176"/>
      <c r="F370" s="167"/>
      <c r="G370" s="176"/>
      <c r="H370" s="176"/>
    </row>
    <row r="371" spans="1:8" ht="16.5" customHeight="1">
      <c r="A371" s="46"/>
      <c r="D371" s="176"/>
      <c r="F371" s="167"/>
      <c r="G371" s="176"/>
      <c r="H371" s="176"/>
    </row>
    <row r="372" spans="1:8" ht="16.5" customHeight="1">
      <c r="A372" s="46"/>
      <c r="D372" s="176"/>
      <c r="F372" s="167"/>
      <c r="G372" s="176"/>
      <c r="H372" s="176"/>
    </row>
    <row r="373" spans="1:8" ht="16.5" customHeight="1">
      <c r="A373" s="46"/>
      <c r="D373" s="176"/>
      <c r="F373" s="167"/>
      <c r="G373" s="176"/>
      <c r="H373" s="176"/>
    </row>
    <row r="374" spans="1:8" ht="16.5" customHeight="1">
      <c r="A374" s="46"/>
      <c r="D374" s="176"/>
      <c r="F374" s="167"/>
      <c r="G374" s="176"/>
      <c r="H374" s="176"/>
    </row>
    <row r="375" spans="1:8" ht="16.5" customHeight="1">
      <c r="A375" s="46"/>
      <c r="D375" s="176"/>
      <c r="F375" s="167"/>
      <c r="G375" s="176"/>
      <c r="H375" s="176"/>
    </row>
    <row r="376" spans="1:8" ht="16.5" customHeight="1">
      <c r="A376" s="46"/>
      <c r="D376" s="176"/>
      <c r="F376" s="167"/>
      <c r="G376" s="176"/>
      <c r="H376" s="176"/>
    </row>
    <row r="377" spans="1:8" ht="16.5" customHeight="1">
      <c r="A377" s="46"/>
      <c r="D377" s="176"/>
      <c r="F377" s="167"/>
      <c r="G377" s="176"/>
      <c r="H377" s="176"/>
    </row>
    <row r="378" spans="1:8" ht="16.5" customHeight="1">
      <c r="A378" s="46"/>
      <c r="D378" s="176"/>
      <c r="F378" s="167"/>
      <c r="G378" s="176"/>
      <c r="H378" s="176"/>
    </row>
    <row r="379" spans="1:8" ht="16.5" customHeight="1">
      <c r="A379" s="46"/>
      <c r="D379" s="176"/>
      <c r="F379" s="167"/>
      <c r="G379" s="176"/>
      <c r="H379" s="176"/>
    </row>
    <row r="380" spans="1:8" ht="16.5" customHeight="1">
      <c r="A380" s="46"/>
      <c r="D380" s="176"/>
      <c r="F380" s="167"/>
      <c r="G380" s="176"/>
      <c r="H380" s="176"/>
    </row>
    <row r="381" spans="1:8" ht="16.5" customHeight="1">
      <c r="A381" s="46"/>
      <c r="D381" s="176"/>
      <c r="F381" s="167"/>
      <c r="G381" s="176"/>
      <c r="H381" s="176"/>
    </row>
    <row r="382" spans="1:8" ht="16.5" customHeight="1">
      <c r="A382" s="46"/>
      <c r="D382" s="176"/>
      <c r="F382" s="167"/>
      <c r="G382" s="176"/>
      <c r="H382" s="176"/>
    </row>
    <row r="383" spans="1:8" ht="16.5" customHeight="1">
      <c r="A383" s="46"/>
      <c r="D383" s="176"/>
      <c r="F383" s="167"/>
      <c r="G383" s="176"/>
      <c r="H383" s="176"/>
    </row>
    <row r="384" spans="1:8" ht="16.5" customHeight="1">
      <c r="A384" s="46"/>
      <c r="D384" s="176"/>
      <c r="F384" s="167"/>
      <c r="G384" s="176"/>
      <c r="H384" s="176"/>
    </row>
    <row r="385" spans="1:8" ht="16.5" customHeight="1">
      <c r="A385" s="46"/>
      <c r="D385" s="176"/>
      <c r="F385" s="167"/>
      <c r="G385" s="176"/>
      <c r="H385" s="176"/>
    </row>
    <row r="386" spans="1:8" ht="16.5" customHeight="1">
      <c r="A386" s="46"/>
      <c r="D386" s="176"/>
      <c r="F386" s="167"/>
      <c r="G386" s="176"/>
      <c r="H386" s="176"/>
    </row>
    <row r="387" spans="1:8" ht="16.5" customHeight="1">
      <c r="A387" s="46"/>
      <c r="D387" s="176"/>
      <c r="F387" s="167"/>
      <c r="G387" s="176"/>
      <c r="H387" s="176"/>
    </row>
    <row r="388" spans="1:8" ht="16.5" customHeight="1">
      <c r="A388" s="46"/>
      <c r="D388" s="176"/>
      <c r="F388" s="167"/>
      <c r="G388" s="176"/>
      <c r="H388" s="176"/>
    </row>
    <row r="389" spans="1:8" ht="16.5" customHeight="1">
      <c r="A389" s="46"/>
      <c r="D389" s="176"/>
      <c r="F389" s="167"/>
      <c r="G389" s="176"/>
      <c r="H389" s="176"/>
    </row>
    <row r="390" spans="1:8" ht="16.5" customHeight="1">
      <c r="A390" s="46"/>
      <c r="D390" s="176"/>
      <c r="F390" s="167"/>
      <c r="G390" s="176"/>
      <c r="H390" s="176"/>
    </row>
    <row r="391" spans="1:8" ht="16.5" customHeight="1">
      <c r="A391" s="46"/>
      <c r="D391" s="176"/>
      <c r="F391" s="167"/>
      <c r="G391" s="176"/>
      <c r="H391" s="176"/>
    </row>
    <row r="392" spans="1:8" ht="16.5" customHeight="1">
      <c r="A392" s="46"/>
      <c r="D392" s="176"/>
      <c r="F392" s="167"/>
      <c r="G392" s="176"/>
      <c r="H392" s="176"/>
    </row>
    <row r="393" spans="1:8" ht="16.5" customHeight="1">
      <c r="A393" s="46"/>
      <c r="D393" s="176"/>
      <c r="F393" s="167"/>
      <c r="G393" s="176"/>
      <c r="H393" s="176"/>
    </row>
    <row r="394" spans="1:8" ht="16.5" customHeight="1">
      <c r="A394" s="46"/>
      <c r="D394" s="176"/>
      <c r="F394" s="167"/>
      <c r="G394" s="176"/>
      <c r="H394" s="176"/>
    </row>
    <row r="395" spans="1:8" ht="16.5" customHeight="1">
      <c r="A395" s="46"/>
      <c r="D395" s="176"/>
      <c r="F395" s="167"/>
      <c r="G395" s="176"/>
      <c r="H395" s="176"/>
    </row>
    <row r="396" spans="1:8" ht="16.5" customHeight="1">
      <c r="A396" s="46"/>
      <c r="D396" s="176"/>
      <c r="F396" s="167"/>
      <c r="G396" s="176"/>
      <c r="H396" s="176"/>
    </row>
    <row r="397" spans="1:8" ht="16.5" customHeight="1">
      <c r="A397" s="46"/>
      <c r="D397" s="176"/>
      <c r="F397" s="167"/>
      <c r="G397" s="176"/>
      <c r="H397" s="176"/>
    </row>
    <row r="398" spans="1:8" ht="16.5" customHeight="1">
      <c r="A398" s="46"/>
      <c r="D398" s="176"/>
      <c r="F398" s="167"/>
      <c r="G398" s="176"/>
      <c r="H398" s="176"/>
    </row>
    <row r="399" spans="1:8" ht="16.5" customHeight="1">
      <c r="A399" s="46"/>
      <c r="D399" s="176"/>
      <c r="F399" s="167"/>
      <c r="G399" s="176"/>
      <c r="H399" s="176"/>
    </row>
    <row r="400" spans="1:8" ht="16.5" customHeight="1">
      <c r="A400" s="46"/>
      <c r="D400" s="176"/>
      <c r="F400" s="167"/>
      <c r="G400" s="176"/>
      <c r="H400" s="176"/>
    </row>
    <row r="401" spans="1:8" ht="16.5" customHeight="1">
      <c r="A401" s="46"/>
      <c r="D401" s="176"/>
      <c r="F401" s="167"/>
      <c r="G401" s="176"/>
      <c r="H401" s="176"/>
    </row>
    <row r="402" spans="1:8" ht="16.5" customHeight="1">
      <c r="A402" s="46"/>
      <c r="D402" s="176"/>
      <c r="F402" s="167"/>
      <c r="G402" s="176"/>
      <c r="H402" s="176"/>
    </row>
    <row r="403" spans="1:8" ht="16.5" customHeight="1">
      <c r="A403" s="46"/>
      <c r="D403" s="176"/>
      <c r="F403" s="167"/>
      <c r="G403" s="176"/>
      <c r="H403" s="176"/>
    </row>
    <row r="404" spans="1:8" ht="16.5" customHeight="1">
      <c r="A404" s="46"/>
      <c r="D404" s="176"/>
      <c r="F404" s="167"/>
      <c r="G404" s="176"/>
      <c r="H404" s="176"/>
    </row>
    <row r="405" spans="1:8" ht="16.5" customHeight="1">
      <c r="A405" s="46"/>
      <c r="D405" s="176"/>
      <c r="F405" s="167"/>
      <c r="G405" s="176"/>
      <c r="H405" s="176"/>
    </row>
    <row r="406" spans="1:8" ht="16.5" customHeight="1">
      <c r="A406" s="46"/>
      <c r="D406" s="176"/>
      <c r="F406" s="167"/>
      <c r="G406" s="176"/>
      <c r="H406" s="176"/>
    </row>
    <row r="407" spans="1:8" ht="16.5" customHeight="1">
      <c r="A407" s="46"/>
      <c r="D407" s="176"/>
      <c r="F407" s="167"/>
      <c r="G407" s="176"/>
      <c r="H407" s="176"/>
    </row>
    <row r="408" spans="1:8" ht="16.5" customHeight="1">
      <c r="A408" s="46"/>
      <c r="D408" s="176"/>
      <c r="F408" s="167"/>
      <c r="G408" s="176"/>
      <c r="H408" s="176"/>
    </row>
    <row r="409" spans="1:8" ht="16.5" customHeight="1">
      <c r="A409" s="46"/>
      <c r="D409" s="176"/>
      <c r="F409" s="167"/>
      <c r="G409" s="176"/>
      <c r="H409" s="176"/>
    </row>
    <row r="410" spans="1:8" ht="16.5" customHeight="1">
      <c r="A410" s="46"/>
      <c r="D410" s="176"/>
      <c r="F410" s="167"/>
      <c r="G410" s="176"/>
      <c r="H410" s="176"/>
    </row>
    <row r="411" spans="1:8" ht="16.5" customHeight="1">
      <c r="A411" s="46"/>
      <c r="D411" s="176"/>
      <c r="F411" s="167"/>
      <c r="G411" s="176"/>
      <c r="H411" s="176"/>
    </row>
    <row r="412" spans="1:8" ht="16.5" customHeight="1">
      <c r="A412" s="46"/>
      <c r="D412" s="176"/>
      <c r="F412" s="167"/>
      <c r="G412" s="176"/>
      <c r="H412" s="176"/>
    </row>
    <row r="413" spans="1:8" ht="16.5" customHeight="1">
      <c r="A413" s="46"/>
      <c r="D413" s="176"/>
      <c r="F413" s="167"/>
      <c r="G413" s="176"/>
      <c r="H413" s="176"/>
    </row>
    <row r="414" spans="1:8" ht="16.5" customHeight="1">
      <c r="A414" s="46"/>
      <c r="D414" s="176"/>
      <c r="F414" s="167"/>
      <c r="G414" s="176"/>
      <c r="H414" s="176"/>
    </row>
    <row r="415" spans="1:8" ht="16.5" customHeight="1">
      <c r="A415" s="46"/>
      <c r="D415" s="176"/>
      <c r="F415" s="167"/>
      <c r="G415" s="176"/>
      <c r="H415" s="176"/>
    </row>
    <row r="416" spans="1:8" ht="16.5" customHeight="1">
      <c r="A416" s="46"/>
      <c r="D416" s="176"/>
      <c r="F416" s="167"/>
      <c r="G416" s="176"/>
      <c r="H416" s="176"/>
    </row>
    <row r="417" spans="1:8" ht="16.5" customHeight="1">
      <c r="A417" s="46"/>
      <c r="D417" s="176"/>
      <c r="F417" s="167"/>
      <c r="G417" s="176"/>
      <c r="H417" s="176"/>
    </row>
    <row r="418" spans="1:8" ht="16.5" customHeight="1">
      <c r="A418" s="46"/>
      <c r="D418" s="176"/>
      <c r="F418" s="167"/>
      <c r="G418" s="176"/>
      <c r="H418" s="176"/>
    </row>
    <row r="419" spans="1:8" ht="16.5" customHeight="1">
      <c r="A419" s="46"/>
      <c r="D419" s="176"/>
      <c r="F419" s="167"/>
      <c r="G419" s="176"/>
      <c r="H419" s="176"/>
    </row>
    <row r="420" spans="1:8" ht="16.5" customHeight="1">
      <c r="A420" s="46"/>
      <c r="D420" s="176"/>
      <c r="F420" s="167"/>
      <c r="G420" s="176"/>
      <c r="H420" s="176"/>
    </row>
    <row r="421" spans="1:8" ht="16.5" customHeight="1">
      <c r="A421" s="46"/>
      <c r="D421" s="176"/>
      <c r="F421" s="167"/>
      <c r="G421" s="176"/>
      <c r="H421" s="176"/>
    </row>
    <row r="422" spans="1:8" ht="16.5" customHeight="1">
      <c r="A422" s="46"/>
      <c r="D422" s="176"/>
      <c r="F422" s="167"/>
      <c r="G422" s="176"/>
      <c r="H422" s="176"/>
    </row>
    <row r="423" spans="1:8" ht="16.5" customHeight="1">
      <c r="A423" s="46"/>
      <c r="D423" s="176"/>
      <c r="F423" s="167"/>
      <c r="G423" s="176"/>
      <c r="H423" s="176"/>
    </row>
    <row r="424" spans="1:8" ht="16.5" customHeight="1">
      <c r="A424" s="46"/>
      <c r="D424" s="176"/>
      <c r="F424" s="167"/>
      <c r="G424" s="176"/>
      <c r="H424" s="176"/>
    </row>
    <row r="425" spans="1:8" ht="16.5" customHeight="1">
      <c r="A425" s="46"/>
      <c r="D425" s="176"/>
      <c r="F425" s="167"/>
      <c r="G425" s="176"/>
      <c r="H425" s="176"/>
    </row>
    <row r="426" spans="1:8" ht="16.5" customHeight="1">
      <c r="A426" s="46"/>
      <c r="D426" s="176"/>
      <c r="F426" s="167"/>
      <c r="G426" s="176"/>
      <c r="H426" s="176"/>
    </row>
    <row r="427" spans="1:8" ht="16.5" customHeight="1">
      <c r="A427" s="46"/>
      <c r="D427" s="176"/>
      <c r="F427" s="167"/>
      <c r="G427" s="176"/>
      <c r="H427" s="176"/>
    </row>
    <row r="428" spans="1:8" ht="16.5" customHeight="1">
      <c r="A428" s="46"/>
      <c r="D428" s="176"/>
      <c r="F428" s="167"/>
      <c r="G428" s="176"/>
      <c r="H428" s="176"/>
    </row>
    <row r="429" spans="1:8" ht="16.5" customHeight="1">
      <c r="A429" s="46"/>
      <c r="D429" s="176"/>
      <c r="F429" s="167"/>
      <c r="G429" s="176"/>
      <c r="H429" s="176"/>
    </row>
    <row r="430" spans="1:8" ht="16.5" customHeight="1">
      <c r="A430" s="46"/>
      <c r="D430" s="176"/>
      <c r="F430" s="167"/>
      <c r="G430" s="176"/>
      <c r="H430" s="176"/>
    </row>
    <row r="431" spans="1:8" ht="16.5" customHeight="1">
      <c r="A431" s="46"/>
      <c r="D431" s="176"/>
      <c r="F431" s="167"/>
      <c r="G431" s="176"/>
      <c r="H431" s="176"/>
    </row>
    <row r="432" spans="1:8" ht="16.5" customHeight="1">
      <c r="A432" s="46"/>
      <c r="D432" s="176"/>
      <c r="F432" s="167"/>
      <c r="G432" s="176"/>
      <c r="H432" s="176"/>
    </row>
    <row r="433" spans="1:8" ht="16.5" customHeight="1">
      <c r="A433" s="46"/>
      <c r="D433" s="176"/>
      <c r="F433" s="167"/>
      <c r="G433" s="176"/>
      <c r="H433" s="176"/>
    </row>
    <row r="434" spans="1:8" ht="16.5" customHeight="1">
      <c r="A434" s="46"/>
      <c r="D434" s="176"/>
      <c r="F434" s="167"/>
      <c r="G434" s="176"/>
      <c r="H434" s="176"/>
    </row>
    <row r="435" spans="1:8" ht="16.5" customHeight="1">
      <c r="A435" s="46"/>
      <c r="D435" s="176"/>
      <c r="F435" s="167"/>
      <c r="G435" s="176"/>
      <c r="H435" s="176"/>
    </row>
    <row r="436" spans="1:8" ht="16.5" customHeight="1">
      <c r="A436" s="46"/>
      <c r="D436" s="176"/>
      <c r="F436" s="167"/>
      <c r="G436" s="176"/>
      <c r="H436" s="176"/>
    </row>
    <row r="437" spans="1:8" ht="16.5" customHeight="1">
      <c r="A437" s="46"/>
      <c r="D437" s="176"/>
      <c r="F437" s="167"/>
      <c r="G437" s="176"/>
      <c r="H437" s="176"/>
    </row>
    <row r="438" spans="1:8" ht="16.5" customHeight="1">
      <c r="A438" s="46"/>
      <c r="D438" s="176"/>
      <c r="F438" s="167"/>
      <c r="G438" s="176"/>
      <c r="H438" s="176"/>
    </row>
    <row r="439" spans="1:8" ht="16.5" customHeight="1">
      <c r="A439" s="46"/>
      <c r="D439" s="176"/>
      <c r="F439" s="167"/>
      <c r="G439" s="176"/>
      <c r="H439" s="176"/>
    </row>
    <row r="440" spans="1:8" ht="16.5" customHeight="1">
      <c r="A440" s="46"/>
      <c r="D440" s="176"/>
      <c r="F440" s="167"/>
      <c r="G440" s="176"/>
      <c r="H440" s="176"/>
    </row>
    <row r="441" spans="1:8" ht="16.5" customHeight="1">
      <c r="A441" s="46"/>
      <c r="D441" s="176"/>
      <c r="F441" s="167"/>
      <c r="G441" s="176"/>
      <c r="H441" s="176"/>
    </row>
    <row r="442" spans="1:8" ht="16.5" customHeight="1">
      <c r="A442" s="46"/>
      <c r="D442" s="176"/>
      <c r="F442" s="167"/>
      <c r="G442" s="176"/>
      <c r="H442" s="176"/>
    </row>
    <row r="443" spans="1:8" ht="16.5" customHeight="1">
      <c r="A443" s="46"/>
      <c r="D443" s="176"/>
      <c r="F443" s="167"/>
      <c r="G443" s="176"/>
      <c r="H443" s="176"/>
    </row>
    <row r="444" spans="1:8" ht="16.5" customHeight="1">
      <c r="A444" s="46"/>
      <c r="D444" s="176"/>
      <c r="F444" s="167"/>
      <c r="G444" s="176"/>
      <c r="H444" s="176"/>
    </row>
    <row r="445" spans="1:8" ht="16.5" customHeight="1">
      <c r="A445" s="46"/>
      <c r="D445" s="176"/>
      <c r="F445" s="167"/>
      <c r="G445" s="176"/>
      <c r="H445" s="176"/>
    </row>
    <row r="446" spans="1:8" ht="16.5" customHeight="1">
      <c r="A446" s="46"/>
      <c r="D446" s="176"/>
      <c r="F446" s="167"/>
      <c r="G446" s="176"/>
      <c r="H446" s="176"/>
    </row>
    <row r="447" spans="1:8" ht="16.5" customHeight="1">
      <c r="A447" s="46"/>
      <c r="D447" s="176"/>
      <c r="F447" s="167"/>
      <c r="G447" s="176"/>
      <c r="H447" s="176"/>
    </row>
    <row r="448" spans="1:8" ht="16.5" customHeight="1">
      <c r="A448" s="46"/>
      <c r="D448" s="176"/>
      <c r="F448" s="167"/>
      <c r="G448" s="176"/>
      <c r="H448" s="176"/>
    </row>
    <row r="449" spans="1:8" ht="16.5" customHeight="1">
      <c r="A449" s="46"/>
      <c r="D449" s="176"/>
      <c r="F449" s="167"/>
      <c r="G449" s="176"/>
      <c r="H449" s="176"/>
    </row>
    <row r="450" spans="1:8" ht="16.5" customHeight="1">
      <c r="A450" s="46"/>
      <c r="D450" s="176"/>
      <c r="F450" s="167"/>
      <c r="G450" s="176"/>
      <c r="H450" s="176"/>
    </row>
    <row r="451" spans="1:8" ht="16.5" customHeight="1">
      <c r="A451" s="46"/>
      <c r="D451" s="176"/>
      <c r="F451" s="167"/>
      <c r="G451" s="176"/>
      <c r="H451" s="176"/>
    </row>
    <row r="452" spans="1:8" ht="16.5" customHeight="1">
      <c r="A452" s="46"/>
      <c r="D452" s="176"/>
      <c r="F452" s="167"/>
      <c r="G452" s="176"/>
      <c r="H452" s="176"/>
    </row>
    <row r="453" spans="1:8" ht="16.5" customHeight="1">
      <c r="A453" s="46"/>
      <c r="D453" s="176"/>
      <c r="F453" s="167"/>
      <c r="G453" s="176"/>
      <c r="H453" s="176"/>
    </row>
    <row r="454" spans="1:8" ht="16.5" customHeight="1">
      <c r="A454" s="46"/>
      <c r="D454" s="176"/>
      <c r="F454" s="167"/>
      <c r="G454" s="176"/>
      <c r="H454" s="176"/>
    </row>
    <row r="455" spans="1:8" ht="16.5" customHeight="1">
      <c r="A455" s="46"/>
      <c r="D455" s="176"/>
      <c r="F455" s="167"/>
      <c r="G455" s="176"/>
      <c r="H455" s="176"/>
    </row>
    <row r="456" spans="1:8" ht="16.5" customHeight="1">
      <c r="A456" s="46"/>
      <c r="D456" s="176"/>
      <c r="F456" s="167"/>
      <c r="G456" s="176"/>
      <c r="H456" s="176"/>
    </row>
    <row r="457" spans="1:8" ht="16.5" customHeight="1">
      <c r="A457" s="46"/>
      <c r="D457" s="176"/>
      <c r="F457" s="167"/>
      <c r="G457" s="176"/>
      <c r="H457" s="176"/>
    </row>
    <row r="458" spans="1:8" ht="16.5" customHeight="1">
      <c r="A458" s="46"/>
      <c r="D458" s="176"/>
      <c r="F458" s="167"/>
      <c r="G458" s="176"/>
      <c r="H458" s="176"/>
    </row>
    <row r="459" spans="1:8" ht="16.5" customHeight="1">
      <c r="A459" s="46"/>
      <c r="D459" s="176"/>
      <c r="F459" s="167"/>
      <c r="G459" s="176"/>
      <c r="H459" s="176"/>
    </row>
    <row r="460" spans="1:8" ht="16.5" customHeight="1">
      <c r="A460" s="46"/>
      <c r="D460" s="176"/>
      <c r="F460" s="167"/>
      <c r="G460" s="176"/>
      <c r="H460" s="176"/>
    </row>
    <row r="461" spans="1:8" ht="16.5" customHeight="1">
      <c r="A461" s="46"/>
      <c r="D461" s="176"/>
      <c r="F461" s="167"/>
      <c r="G461" s="176"/>
      <c r="H461" s="176"/>
    </row>
    <row r="462" spans="1:8" ht="16.5" customHeight="1">
      <c r="A462" s="46"/>
      <c r="D462" s="176"/>
      <c r="F462" s="167"/>
      <c r="G462" s="176"/>
      <c r="H462" s="176"/>
    </row>
    <row r="463" spans="1:8" ht="16.5" customHeight="1">
      <c r="A463" s="46"/>
      <c r="D463" s="176"/>
      <c r="F463" s="167"/>
      <c r="G463" s="176"/>
      <c r="H463" s="176"/>
    </row>
    <row r="464" spans="1:8" ht="16.5" customHeight="1">
      <c r="A464" s="46"/>
      <c r="D464" s="176"/>
      <c r="F464" s="167"/>
      <c r="G464" s="176"/>
      <c r="H464" s="176"/>
    </row>
    <row r="465" spans="1:8" ht="16.5" customHeight="1">
      <c r="A465" s="46"/>
      <c r="D465" s="176"/>
      <c r="F465" s="167"/>
      <c r="G465" s="176"/>
      <c r="H465" s="176"/>
    </row>
    <row r="466" spans="1:8" ht="16.5" customHeight="1">
      <c r="A466" s="46"/>
      <c r="D466" s="176"/>
      <c r="F466" s="167"/>
      <c r="G466" s="176"/>
      <c r="H466" s="176"/>
    </row>
    <row r="467" spans="1:8" ht="16.5" customHeight="1">
      <c r="A467" s="46"/>
      <c r="D467" s="176"/>
      <c r="F467" s="167"/>
      <c r="G467" s="176"/>
      <c r="H467" s="176"/>
    </row>
    <row r="468" spans="1:8" ht="16.5" customHeight="1">
      <c r="A468" s="46"/>
      <c r="D468" s="176"/>
      <c r="F468" s="167"/>
      <c r="G468" s="176"/>
      <c r="H468" s="176"/>
    </row>
    <row r="469" spans="1:8" ht="16.5" customHeight="1">
      <c r="A469" s="46"/>
      <c r="D469" s="176"/>
      <c r="F469" s="167"/>
      <c r="G469" s="176"/>
      <c r="H469" s="176"/>
    </row>
    <row r="470" spans="1:8" ht="16.5" customHeight="1">
      <c r="A470" s="46"/>
      <c r="D470" s="176"/>
      <c r="F470" s="167"/>
      <c r="G470" s="176"/>
      <c r="H470" s="176"/>
    </row>
    <row r="471" spans="1:8" ht="16.5" customHeight="1">
      <c r="A471" s="46"/>
      <c r="D471" s="176"/>
      <c r="F471" s="167"/>
      <c r="G471" s="176"/>
      <c r="H471" s="176"/>
    </row>
    <row r="472" spans="1:8" ht="16.5" customHeight="1">
      <c r="A472" s="46"/>
      <c r="D472" s="176"/>
      <c r="F472" s="167"/>
      <c r="G472" s="176"/>
      <c r="H472" s="176"/>
    </row>
    <row r="473" spans="1:8" ht="16.5" customHeight="1">
      <c r="A473" s="46"/>
      <c r="D473" s="176"/>
      <c r="F473" s="167"/>
      <c r="G473" s="176"/>
      <c r="H473" s="176"/>
    </row>
    <row r="474" spans="1:8" ht="16.5" customHeight="1">
      <c r="A474" s="46"/>
      <c r="D474" s="176"/>
      <c r="F474" s="167"/>
      <c r="G474" s="176"/>
      <c r="H474" s="176"/>
    </row>
    <row r="475" spans="1:8" ht="16.5" customHeight="1">
      <c r="A475" s="46"/>
      <c r="D475" s="176"/>
      <c r="F475" s="167"/>
      <c r="G475" s="176"/>
      <c r="H475" s="176"/>
    </row>
    <row r="476" spans="1:8" ht="16.5" customHeight="1">
      <c r="A476" s="46"/>
      <c r="D476" s="176"/>
      <c r="F476" s="167"/>
      <c r="G476" s="176"/>
      <c r="H476" s="176"/>
    </row>
    <row r="477" spans="1:8" ht="16.5" customHeight="1">
      <c r="A477" s="46"/>
      <c r="D477" s="176"/>
      <c r="F477" s="167"/>
      <c r="G477" s="176"/>
      <c r="H477" s="176"/>
    </row>
    <row r="478" spans="1:8" ht="16.5" customHeight="1">
      <c r="A478" s="46"/>
      <c r="D478" s="176"/>
      <c r="F478" s="167"/>
      <c r="G478" s="176"/>
      <c r="H478" s="176"/>
    </row>
    <row r="479" spans="1:8" ht="16.5" customHeight="1">
      <c r="A479" s="46"/>
      <c r="D479" s="176"/>
      <c r="F479" s="167"/>
      <c r="G479" s="176"/>
      <c r="H479" s="176"/>
    </row>
    <row r="480" spans="1:8" ht="16.5" customHeight="1">
      <c r="A480" s="46"/>
      <c r="D480" s="176"/>
      <c r="F480" s="167"/>
      <c r="G480" s="176"/>
      <c r="H480" s="176"/>
    </row>
    <row r="481" spans="1:8" ht="16.5" customHeight="1">
      <c r="A481" s="46"/>
      <c r="D481" s="176"/>
      <c r="F481" s="167"/>
      <c r="G481" s="176"/>
      <c r="H481" s="176"/>
    </row>
    <row r="482" spans="1:8" ht="16.5" customHeight="1">
      <c r="A482" s="46"/>
      <c r="D482" s="176"/>
      <c r="F482" s="167"/>
      <c r="G482" s="176"/>
      <c r="H482" s="176"/>
    </row>
    <row r="483" spans="1:8" ht="16.5" customHeight="1">
      <c r="A483" s="46"/>
      <c r="D483" s="176"/>
      <c r="F483" s="167"/>
      <c r="G483" s="176"/>
      <c r="H483" s="176"/>
    </row>
    <row r="484" spans="1:8" ht="16.5" customHeight="1">
      <c r="A484" s="46"/>
      <c r="D484" s="176"/>
      <c r="F484" s="167"/>
      <c r="G484" s="176"/>
      <c r="H484" s="176"/>
    </row>
    <row r="485" spans="1:8" ht="16.5" customHeight="1">
      <c r="A485" s="46"/>
      <c r="D485" s="176"/>
      <c r="F485" s="167"/>
      <c r="G485" s="176"/>
      <c r="H485" s="176"/>
    </row>
    <row r="486" spans="1:8" ht="16.5" customHeight="1">
      <c r="A486" s="46"/>
      <c r="D486" s="176"/>
      <c r="F486" s="167"/>
      <c r="G486" s="176"/>
      <c r="H486" s="176"/>
    </row>
    <row r="487" spans="1:8" ht="16.5" customHeight="1">
      <c r="A487" s="46"/>
      <c r="D487" s="176"/>
      <c r="F487" s="167"/>
      <c r="G487" s="176"/>
      <c r="H487" s="176"/>
    </row>
    <row r="488" spans="1:8" ht="16.5" customHeight="1">
      <c r="A488" s="46"/>
      <c r="D488" s="176"/>
      <c r="F488" s="167"/>
      <c r="G488" s="176"/>
      <c r="H488" s="176"/>
    </row>
    <row r="489" spans="1:8" ht="16.5" customHeight="1">
      <c r="A489" s="46"/>
      <c r="D489" s="176"/>
      <c r="F489" s="167"/>
      <c r="G489" s="176"/>
      <c r="H489" s="176"/>
    </row>
    <row r="490" spans="1:8" ht="16.5" customHeight="1">
      <c r="A490" s="46"/>
      <c r="D490" s="176"/>
      <c r="F490" s="167"/>
      <c r="G490" s="176"/>
      <c r="H490" s="176"/>
    </row>
    <row r="491" spans="1:8" ht="16.5" customHeight="1">
      <c r="A491" s="46"/>
      <c r="D491" s="176"/>
      <c r="F491" s="167"/>
      <c r="G491" s="176"/>
      <c r="H491" s="176"/>
    </row>
    <row r="492" spans="1:8" ht="16.5" customHeight="1">
      <c r="A492" s="46"/>
      <c r="D492" s="176"/>
      <c r="F492" s="167"/>
      <c r="G492" s="176"/>
      <c r="H492" s="176"/>
    </row>
    <row r="493" spans="1:8" ht="16.5" customHeight="1">
      <c r="A493" s="46"/>
      <c r="D493" s="176"/>
      <c r="F493" s="167"/>
      <c r="G493" s="176"/>
      <c r="H493" s="176"/>
    </row>
    <row r="494" spans="1:8" ht="16.5" customHeight="1">
      <c r="A494" s="46"/>
      <c r="D494" s="176"/>
      <c r="F494" s="167"/>
      <c r="G494" s="176"/>
      <c r="H494" s="176"/>
    </row>
    <row r="495" spans="1:8" ht="16.5" customHeight="1">
      <c r="A495" s="46"/>
      <c r="D495" s="176"/>
      <c r="F495" s="167"/>
      <c r="G495" s="176"/>
      <c r="H495" s="176"/>
    </row>
    <row r="496" spans="1:8" ht="16.5" customHeight="1">
      <c r="A496" s="46"/>
      <c r="D496" s="176"/>
      <c r="F496" s="167"/>
      <c r="G496" s="176"/>
      <c r="H496" s="176"/>
    </row>
    <row r="497" spans="1:8" ht="16.5" customHeight="1">
      <c r="A497" s="46"/>
      <c r="D497" s="176"/>
      <c r="F497" s="167"/>
      <c r="G497" s="176"/>
      <c r="H497" s="176"/>
    </row>
    <row r="498" spans="1:8" ht="16.5" customHeight="1">
      <c r="A498" s="46"/>
      <c r="D498" s="176"/>
      <c r="F498" s="167"/>
      <c r="G498" s="176"/>
      <c r="H498" s="176"/>
    </row>
    <row r="499" spans="1:8" ht="16.5" customHeight="1">
      <c r="A499" s="46"/>
      <c r="D499" s="176"/>
      <c r="F499" s="167"/>
      <c r="G499" s="176"/>
      <c r="H499" s="176"/>
    </row>
    <row r="500" spans="1:8" ht="16.5" customHeight="1">
      <c r="A500" s="46"/>
      <c r="D500" s="176"/>
      <c r="F500" s="167"/>
      <c r="G500" s="176"/>
      <c r="H500" s="176"/>
    </row>
    <row r="501" spans="1:8" ht="16.5" customHeight="1">
      <c r="A501" s="46"/>
      <c r="D501" s="176"/>
      <c r="F501" s="167"/>
      <c r="G501" s="176"/>
      <c r="H501" s="176"/>
    </row>
    <row r="502" spans="1:8" ht="16.5" customHeight="1">
      <c r="A502" s="46"/>
      <c r="D502" s="176"/>
      <c r="F502" s="167"/>
      <c r="G502" s="176"/>
      <c r="H502" s="176"/>
    </row>
    <row r="503" spans="1:8" ht="16.5" customHeight="1">
      <c r="A503" s="46"/>
      <c r="D503" s="176"/>
      <c r="F503" s="167"/>
      <c r="G503" s="176"/>
      <c r="H503" s="176"/>
    </row>
    <row r="504" spans="1:8" ht="16.5" customHeight="1">
      <c r="A504" s="46"/>
      <c r="D504" s="176"/>
      <c r="F504" s="167"/>
      <c r="G504" s="176"/>
      <c r="H504" s="176"/>
    </row>
    <row r="505" spans="1:8" ht="16.5" customHeight="1">
      <c r="A505" s="46"/>
      <c r="D505" s="176"/>
      <c r="F505" s="167"/>
      <c r="G505" s="176"/>
      <c r="H505" s="176"/>
    </row>
    <row r="506" spans="1:8" ht="16.5" customHeight="1">
      <c r="A506" s="46"/>
      <c r="D506" s="176"/>
      <c r="F506" s="167"/>
      <c r="G506" s="176"/>
      <c r="H506" s="176"/>
    </row>
    <row r="507" spans="1:8" ht="16.5" customHeight="1">
      <c r="A507" s="46"/>
      <c r="D507" s="176"/>
      <c r="F507" s="167"/>
      <c r="G507" s="176"/>
      <c r="H507" s="176"/>
    </row>
    <row r="508" spans="1:8" ht="16.5" customHeight="1">
      <c r="A508" s="46"/>
      <c r="D508" s="176"/>
      <c r="F508" s="167"/>
      <c r="G508" s="176"/>
      <c r="H508" s="176"/>
    </row>
    <row r="509" spans="1:8" ht="16.5" customHeight="1">
      <c r="A509" s="46"/>
      <c r="D509" s="176"/>
      <c r="F509" s="167"/>
      <c r="G509" s="176"/>
      <c r="H509" s="176"/>
    </row>
    <row r="510" spans="1:8" ht="16.5" customHeight="1">
      <c r="A510" s="46"/>
      <c r="D510" s="176"/>
      <c r="F510" s="167"/>
      <c r="G510" s="176"/>
      <c r="H510" s="176"/>
    </row>
    <row r="511" spans="1:8" ht="16.5" customHeight="1">
      <c r="A511" s="46"/>
      <c r="D511" s="176"/>
      <c r="F511" s="167"/>
      <c r="G511" s="176"/>
      <c r="H511" s="176"/>
    </row>
    <row r="512" spans="1:8" ht="16.5" customHeight="1">
      <c r="A512" s="46"/>
      <c r="D512" s="176"/>
      <c r="F512" s="167"/>
      <c r="G512" s="176"/>
      <c r="H512" s="176"/>
    </row>
    <row r="513" spans="1:8" ht="16.5" customHeight="1">
      <c r="A513" s="46"/>
      <c r="D513" s="176"/>
      <c r="F513" s="167"/>
      <c r="G513" s="176"/>
      <c r="H513" s="176"/>
    </row>
    <row r="514" spans="1:8" ht="16.5" customHeight="1">
      <c r="A514" s="46"/>
      <c r="D514" s="176"/>
      <c r="F514" s="167"/>
      <c r="G514" s="176"/>
      <c r="H514" s="176"/>
    </row>
    <row r="515" spans="1:8" ht="16.5" customHeight="1">
      <c r="A515" s="46"/>
      <c r="D515" s="176"/>
      <c r="F515" s="167"/>
      <c r="G515" s="176"/>
      <c r="H515" s="176"/>
    </row>
    <row r="516" spans="1:8" ht="16.5" customHeight="1">
      <c r="A516" s="46"/>
      <c r="D516" s="176"/>
      <c r="F516" s="167"/>
      <c r="G516" s="176"/>
      <c r="H516" s="176"/>
    </row>
    <row r="517" spans="1:8" ht="16.5" customHeight="1">
      <c r="A517" s="46"/>
      <c r="D517" s="176"/>
      <c r="F517" s="167"/>
      <c r="G517" s="176"/>
      <c r="H517" s="176"/>
    </row>
    <row r="518" spans="1:8" ht="16.5" customHeight="1">
      <c r="A518" s="46"/>
      <c r="D518" s="176"/>
      <c r="F518" s="167"/>
      <c r="G518" s="176"/>
      <c r="H518" s="176"/>
    </row>
    <row r="519" spans="1:8" ht="16.5" customHeight="1">
      <c r="A519" s="46"/>
      <c r="D519" s="176"/>
      <c r="F519" s="167"/>
      <c r="G519" s="176"/>
      <c r="H519" s="176"/>
    </row>
    <row r="520" spans="1:8" ht="16.5" customHeight="1">
      <c r="A520" s="46"/>
      <c r="D520" s="176"/>
      <c r="F520" s="167"/>
      <c r="G520" s="176"/>
      <c r="H520" s="176"/>
    </row>
    <row r="521" spans="1:8" ht="16.5" customHeight="1">
      <c r="A521" s="46"/>
      <c r="D521" s="176"/>
      <c r="F521" s="167"/>
      <c r="G521" s="176"/>
      <c r="H521" s="176"/>
    </row>
    <row r="522" spans="1:8" ht="16.5" customHeight="1">
      <c r="A522" s="46"/>
      <c r="D522" s="176"/>
      <c r="F522" s="167"/>
      <c r="G522" s="176"/>
      <c r="H522" s="176"/>
    </row>
    <row r="523" spans="1:8" ht="16.5" customHeight="1">
      <c r="A523" s="46"/>
      <c r="D523" s="176"/>
      <c r="F523" s="167"/>
      <c r="G523" s="176"/>
      <c r="H523" s="176"/>
    </row>
    <row r="524" spans="1:8" ht="16.5" customHeight="1">
      <c r="A524" s="46"/>
      <c r="D524" s="176"/>
      <c r="F524" s="167"/>
      <c r="G524" s="176"/>
      <c r="H524" s="176"/>
    </row>
    <row r="525" spans="1:8" ht="16.5" customHeight="1">
      <c r="A525" s="46"/>
      <c r="D525" s="176"/>
      <c r="F525" s="167"/>
      <c r="G525" s="176"/>
      <c r="H525" s="176"/>
    </row>
    <row r="526" spans="1:8" ht="16.5" customHeight="1">
      <c r="A526" s="46"/>
      <c r="D526" s="176"/>
      <c r="F526" s="167"/>
      <c r="G526" s="176"/>
      <c r="H526" s="176"/>
    </row>
    <row r="527" spans="1:8" ht="16.5" customHeight="1">
      <c r="A527" s="46"/>
      <c r="D527" s="176"/>
      <c r="F527" s="167"/>
      <c r="G527" s="176"/>
      <c r="H527" s="176"/>
    </row>
    <row r="528" spans="1:8" ht="16.5" customHeight="1">
      <c r="A528" s="46"/>
      <c r="D528" s="176"/>
      <c r="F528" s="167"/>
      <c r="G528" s="176"/>
      <c r="H528" s="176"/>
    </row>
    <row r="529" spans="1:8" ht="16.5" customHeight="1">
      <c r="A529" s="46"/>
      <c r="D529" s="176"/>
      <c r="F529" s="167"/>
      <c r="G529" s="176"/>
      <c r="H529" s="176"/>
    </row>
    <row r="530" spans="1:8" ht="16.5" customHeight="1">
      <c r="A530" s="46"/>
      <c r="D530" s="176"/>
      <c r="F530" s="167"/>
      <c r="G530" s="176"/>
      <c r="H530" s="176"/>
    </row>
    <row r="531" spans="1:8" ht="16.5" customHeight="1">
      <c r="A531" s="46"/>
      <c r="D531" s="176"/>
      <c r="F531" s="167"/>
      <c r="G531" s="176"/>
      <c r="H531" s="176"/>
    </row>
    <row r="532" spans="1:8" ht="16.5" customHeight="1">
      <c r="A532" s="46"/>
      <c r="D532" s="176"/>
      <c r="F532" s="167"/>
      <c r="G532" s="176"/>
      <c r="H532" s="176"/>
    </row>
    <row r="533" spans="1:8" ht="16.5" customHeight="1">
      <c r="A533" s="46"/>
      <c r="D533" s="176"/>
      <c r="F533" s="167"/>
      <c r="G533" s="176"/>
      <c r="H533" s="176"/>
    </row>
    <row r="534" spans="1:8" ht="16.5" customHeight="1">
      <c r="A534" s="46"/>
      <c r="D534" s="176"/>
      <c r="F534" s="167"/>
      <c r="G534" s="176"/>
      <c r="H534" s="176"/>
    </row>
    <row r="535" spans="1:8" ht="16.5" customHeight="1">
      <c r="A535" s="46"/>
      <c r="D535" s="176"/>
      <c r="F535" s="167"/>
      <c r="G535" s="176"/>
      <c r="H535" s="176"/>
    </row>
    <row r="536" spans="1:8" ht="16.5" customHeight="1">
      <c r="A536" s="46"/>
      <c r="D536" s="176"/>
      <c r="F536" s="167"/>
      <c r="G536" s="176"/>
      <c r="H536" s="176"/>
    </row>
    <row r="537" spans="1:8" ht="16.5" customHeight="1">
      <c r="A537" s="46"/>
      <c r="D537" s="176"/>
      <c r="F537" s="167"/>
      <c r="G537" s="176"/>
      <c r="H537" s="176"/>
    </row>
    <row r="538" spans="1:8" ht="16.5" customHeight="1">
      <c r="A538" s="46"/>
      <c r="D538" s="176"/>
      <c r="F538" s="167"/>
      <c r="G538" s="176"/>
      <c r="H538" s="176"/>
    </row>
    <row r="539" spans="1:8" ht="16.5" customHeight="1">
      <c r="A539" s="46"/>
      <c r="D539" s="176"/>
      <c r="F539" s="167"/>
      <c r="G539" s="176"/>
      <c r="H539" s="176"/>
    </row>
    <row r="540" spans="1:8" ht="16.5" customHeight="1">
      <c r="A540" s="46"/>
      <c r="D540" s="176"/>
      <c r="F540" s="167"/>
      <c r="G540" s="176"/>
      <c r="H540" s="176"/>
    </row>
    <row r="541" spans="1:8" ht="16.5" customHeight="1">
      <c r="A541" s="46"/>
      <c r="D541" s="176"/>
      <c r="F541" s="167"/>
      <c r="G541" s="176"/>
      <c r="H541" s="176"/>
    </row>
    <row r="542" spans="1:8" ht="16.5" customHeight="1">
      <c r="A542" s="46"/>
      <c r="D542" s="176"/>
      <c r="F542" s="167"/>
      <c r="G542" s="176"/>
      <c r="H542" s="176"/>
    </row>
    <row r="543" spans="1:8" ht="16.5" customHeight="1">
      <c r="A543" s="46"/>
      <c r="D543" s="176"/>
      <c r="F543" s="167"/>
      <c r="G543" s="176"/>
      <c r="H543" s="176"/>
    </row>
    <row r="544" spans="1:8" ht="16.5" customHeight="1">
      <c r="A544" s="46"/>
      <c r="D544" s="176"/>
      <c r="F544" s="167"/>
      <c r="G544" s="176"/>
      <c r="H544" s="176"/>
    </row>
    <row r="545" spans="1:8" ht="16.5" customHeight="1">
      <c r="A545" s="46"/>
      <c r="D545" s="176"/>
      <c r="F545" s="167"/>
      <c r="G545" s="176"/>
      <c r="H545" s="176"/>
    </row>
    <row r="546" spans="1:8" ht="16.5" customHeight="1">
      <c r="A546" s="46"/>
      <c r="D546" s="176"/>
      <c r="F546" s="167"/>
      <c r="G546" s="176"/>
      <c r="H546" s="176"/>
    </row>
    <row r="547" spans="1:8" ht="16.5" customHeight="1">
      <c r="A547" s="46"/>
      <c r="D547" s="176"/>
      <c r="F547" s="167"/>
      <c r="G547" s="176"/>
      <c r="H547" s="176"/>
    </row>
    <row r="548" spans="1:8" ht="16.5" customHeight="1">
      <c r="A548" s="46"/>
      <c r="D548" s="176"/>
      <c r="F548" s="167"/>
      <c r="G548" s="176"/>
      <c r="H548" s="176"/>
    </row>
    <row r="549" spans="1:8" ht="16.5" customHeight="1">
      <c r="A549" s="46"/>
      <c r="D549" s="176"/>
      <c r="F549" s="167"/>
      <c r="G549" s="176"/>
      <c r="H549" s="176"/>
    </row>
    <row r="550" spans="1:8" ht="16.5" customHeight="1">
      <c r="A550" s="46"/>
      <c r="D550" s="176"/>
      <c r="F550" s="167"/>
      <c r="G550" s="176"/>
      <c r="H550" s="176"/>
    </row>
    <row r="551" spans="1:8" ht="16.5" customHeight="1">
      <c r="A551" s="46"/>
      <c r="D551" s="176"/>
      <c r="F551" s="167"/>
      <c r="G551" s="176"/>
      <c r="H551" s="176"/>
    </row>
    <row r="552" spans="1:8" ht="16.5" customHeight="1">
      <c r="A552" s="46"/>
      <c r="D552" s="176"/>
      <c r="F552" s="167"/>
      <c r="G552" s="176"/>
      <c r="H552" s="176"/>
    </row>
    <row r="553" spans="1:8" ht="16.5" customHeight="1">
      <c r="A553" s="46"/>
      <c r="D553" s="176"/>
      <c r="F553" s="167"/>
      <c r="G553" s="176"/>
      <c r="H553" s="176"/>
    </row>
    <row r="554" spans="1:8" ht="16.5" customHeight="1">
      <c r="A554" s="46"/>
      <c r="D554" s="176"/>
      <c r="F554" s="167"/>
      <c r="G554" s="176"/>
      <c r="H554" s="176"/>
    </row>
    <row r="555" spans="1:8" ht="16.5" customHeight="1">
      <c r="A555" s="46"/>
      <c r="D555" s="176"/>
      <c r="F555" s="167"/>
      <c r="G555" s="176"/>
      <c r="H555" s="176"/>
    </row>
    <row r="556" spans="1:8" ht="16.5" customHeight="1">
      <c r="A556" s="46"/>
      <c r="D556" s="176"/>
      <c r="F556" s="167"/>
      <c r="G556" s="176"/>
      <c r="H556" s="176"/>
    </row>
    <row r="557" spans="1:8" ht="16.5" customHeight="1">
      <c r="A557" s="46"/>
      <c r="D557" s="176"/>
      <c r="F557" s="167"/>
      <c r="G557" s="176"/>
      <c r="H557" s="176"/>
    </row>
    <row r="558" spans="1:8" ht="16.5" customHeight="1">
      <c r="A558" s="46"/>
      <c r="D558" s="176"/>
      <c r="F558" s="167"/>
      <c r="G558" s="176"/>
      <c r="H558" s="176"/>
    </row>
    <row r="559" spans="1:8" ht="16.5" customHeight="1">
      <c r="A559" s="46"/>
      <c r="D559" s="176"/>
      <c r="F559" s="167"/>
      <c r="G559" s="176"/>
      <c r="H559" s="176"/>
    </row>
    <row r="560" spans="1:8" ht="16.5" customHeight="1">
      <c r="A560" s="46"/>
      <c r="D560" s="176"/>
      <c r="F560" s="167"/>
      <c r="G560" s="176"/>
      <c r="H560" s="176"/>
    </row>
    <row r="561" spans="1:8" ht="16.5" customHeight="1">
      <c r="A561" s="46"/>
      <c r="D561" s="176"/>
      <c r="F561" s="167"/>
      <c r="G561" s="176"/>
      <c r="H561" s="176"/>
    </row>
    <row r="562" spans="1:8" ht="16.5" customHeight="1">
      <c r="A562" s="46"/>
      <c r="D562" s="176"/>
      <c r="F562" s="167"/>
      <c r="G562" s="176"/>
      <c r="H562" s="176"/>
    </row>
    <row r="563" spans="1:8" ht="16.5" customHeight="1">
      <c r="A563" s="46"/>
      <c r="D563" s="176"/>
      <c r="F563" s="167"/>
      <c r="G563" s="176"/>
      <c r="H563" s="176"/>
    </row>
    <row r="564" spans="1:8" ht="16.5" customHeight="1">
      <c r="A564" s="46"/>
      <c r="D564" s="176"/>
      <c r="F564" s="167"/>
      <c r="G564" s="176"/>
      <c r="H564" s="176"/>
    </row>
    <row r="565" spans="1:8" ht="16.5" customHeight="1">
      <c r="A565" s="46"/>
      <c r="D565" s="176"/>
      <c r="F565" s="167"/>
      <c r="G565" s="176"/>
      <c r="H565" s="176"/>
    </row>
    <row r="566" spans="1:8" ht="16.5" customHeight="1">
      <c r="A566" s="46"/>
      <c r="D566" s="176"/>
      <c r="F566" s="167"/>
      <c r="G566" s="176"/>
      <c r="H566" s="176"/>
    </row>
    <row r="567" spans="1:8" ht="16.5" customHeight="1">
      <c r="A567" s="46"/>
      <c r="D567" s="176"/>
      <c r="F567" s="167"/>
      <c r="G567" s="176"/>
      <c r="H567" s="176"/>
    </row>
    <row r="568" spans="1:8" ht="16.5" customHeight="1">
      <c r="A568" s="46"/>
      <c r="D568" s="176"/>
      <c r="F568" s="167"/>
      <c r="G568" s="176"/>
      <c r="H568" s="176"/>
    </row>
    <row r="569" spans="1:8" ht="16.5" customHeight="1">
      <c r="A569" s="46"/>
      <c r="D569" s="176"/>
      <c r="F569" s="167"/>
      <c r="G569" s="176"/>
      <c r="H569" s="176"/>
    </row>
    <row r="570" spans="1:8" ht="16.5" customHeight="1">
      <c r="A570" s="46"/>
      <c r="D570" s="176"/>
      <c r="F570" s="167"/>
      <c r="G570" s="176"/>
      <c r="H570" s="176"/>
    </row>
    <row r="571" spans="1:8" ht="16.5" customHeight="1">
      <c r="A571" s="46"/>
      <c r="D571" s="176"/>
      <c r="F571" s="167"/>
      <c r="G571" s="176"/>
      <c r="H571" s="176"/>
    </row>
    <row r="572" spans="1:8" ht="16.5" customHeight="1">
      <c r="A572" s="46"/>
      <c r="D572" s="176"/>
      <c r="F572" s="167"/>
      <c r="G572" s="176"/>
      <c r="H572" s="176"/>
    </row>
    <row r="573" spans="1:8" ht="16.5" customHeight="1">
      <c r="A573" s="46"/>
      <c r="D573" s="176"/>
      <c r="F573" s="167"/>
      <c r="G573" s="176"/>
      <c r="H573" s="176"/>
    </row>
    <row r="574" spans="1:8" ht="16.5" customHeight="1">
      <c r="A574" s="46"/>
      <c r="D574" s="176"/>
      <c r="F574" s="167"/>
      <c r="G574" s="176"/>
      <c r="H574" s="176"/>
    </row>
    <row r="575" spans="1:8" ht="16.5" customHeight="1">
      <c r="A575" s="46"/>
      <c r="D575" s="176"/>
      <c r="F575" s="167"/>
      <c r="G575" s="176"/>
      <c r="H575" s="176"/>
    </row>
    <row r="576" spans="1:8" ht="16.5" customHeight="1">
      <c r="A576" s="46"/>
      <c r="D576" s="176"/>
      <c r="F576" s="167"/>
      <c r="G576" s="176"/>
      <c r="H576" s="176"/>
    </row>
    <row r="577" spans="1:8" ht="16.5" customHeight="1">
      <c r="A577" s="46"/>
      <c r="D577" s="176"/>
      <c r="F577" s="167"/>
      <c r="G577" s="176"/>
      <c r="H577" s="176"/>
    </row>
    <row r="578" spans="1:8" ht="16.5" customHeight="1">
      <c r="A578" s="46"/>
      <c r="D578" s="176"/>
      <c r="F578" s="167"/>
      <c r="G578" s="176"/>
      <c r="H578" s="176"/>
    </row>
    <row r="579" spans="1:8" ht="16.5" customHeight="1">
      <c r="A579" s="46"/>
      <c r="D579" s="176"/>
      <c r="F579" s="167"/>
      <c r="G579" s="176"/>
      <c r="H579" s="176"/>
    </row>
    <row r="580" spans="1:8" ht="16.5" customHeight="1">
      <c r="A580" s="46"/>
      <c r="D580" s="176"/>
      <c r="F580" s="167"/>
      <c r="G580" s="176"/>
      <c r="H580" s="176"/>
    </row>
    <row r="581" spans="1:8" ht="16.5" customHeight="1">
      <c r="A581" s="46"/>
      <c r="D581" s="176"/>
      <c r="F581" s="167"/>
      <c r="G581" s="176"/>
      <c r="H581" s="176"/>
    </row>
    <row r="582" spans="1:8" ht="16.5" customHeight="1">
      <c r="A582" s="46"/>
      <c r="D582" s="176"/>
      <c r="F582" s="167"/>
      <c r="G582" s="176"/>
      <c r="H582" s="176"/>
    </row>
    <row r="583" spans="1:8" ht="16.5" customHeight="1">
      <c r="A583" s="46"/>
      <c r="D583" s="176"/>
      <c r="F583" s="167"/>
      <c r="G583" s="176"/>
      <c r="H583" s="176"/>
    </row>
    <row r="584" spans="1:8" ht="16.5" customHeight="1">
      <c r="A584" s="46"/>
      <c r="D584" s="176"/>
      <c r="F584" s="167"/>
      <c r="G584" s="176"/>
      <c r="H584" s="176"/>
    </row>
    <row r="585" spans="1:8" ht="16.5" customHeight="1">
      <c r="A585" s="46"/>
      <c r="D585" s="176"/>
      <c r="F585" s="167"/>
      <c r="G585" s="176"/>
      <c r="H585" s="176"/>
    </row>
    <row r="586" spans="1:8" ht="16.5" customHeight="1">
      <c r="A586" s="46"/>
      <c r="D586" s="176"/>
      <c r="F586" s="167"/>
      <c r="G586" s="176"/>
      <c r="H586" s="176"/>
    </row>
    <row r="587" spans="1:8" ht="16.5" customHeight="1">
      <c r="A587" s="46"/>
      <c r="D587" s="176"/>
      <c r="F587" s="167"/>
      <c r="G587" s="176"/>
      <c r="H587" s="176"/>
    </row>
    <row r="588" spans="1:8" ht="16.5" customHeight="1">
      <c r="A588" s="46"/>
      <c r="D588" s="176"/>
      <c r="F588" s="167"/>
      <c r="G588" s="176"/>
      <c r="H588" s="176"/>
    </row>
    <row r="589" spans="1:8" ht="16.5" customHeight="1">
      <c r="A589" s="46"/>
      <c r="D589" s="176"/>
      <c r="F589" s="167"/>
      <c r="G589" s="176"/>
      <c r="H589" s="176"/>
    </row>
    <row r="590" spans="1:8" ht="16.5" customHeight="1">
      <c r="A590" s="46"/>
      <c r="D590" s="176"/>
      <c r="F590" s="167"/>
      <c r="G590" s="176"/>
      <c r="H590" s="176"/>
    </row>
    <row r="591" spans="1:8" ht="16.5" customHeight="1">
      <c r="A591" s="46"/>
      <c r="D591" s="176"/>
      <c r="F591" s="167"/>
      <c r="G591" s="176"/>
      <c r="H591" s="176"/>
    </row>
    <row r="592" spans="1:8" ht="16.5" customHeight="1">
      <c r="A592" s="46"/>
      <c r="D592" s="176"/>
      <c r="F592" s="167"/>
      <c r="G592" s="176"/>
      <c r="H592" s="176"/>
    </row>
    <row r="593" spans="1:8" ht="16.5" customHeight="1">
      <c r="A593" s="46"/>
      <c r="D593" s="176"/>
      <c r="F593" s="167"/>
      <c r="G593" s="176"/>
      <c r="H593" s="176"/>
    </row>
    <row r="594" spans="1:8" ht="16.5" customHeight="1">
      <c r="A594" s="46"/>
      <c r="D594" s="176"/>
      <c r="F594" s="167"/>
      <c r="G594" s="176"/>
      <c r="H594" s="176"/>
    </row>
    <row r="595" spans="1:8" ht="16.5" customHeight="1">
      <c r="A595" s="46"/>
      <c r="D595" s="176"/>
      <c r="F595" s="167"/>
      <c r="G595" s="176"/>
      <c r="H595" s="176"/>
    </row>
    <row r="596" spans="1:8" ht="16.5" customHeight="1">
      <c r="A596" s="46"/>
      <c r="D596" s="176"/>
      <c r="F596" s="167"/>
      <c r="G596" s="176"/>
      <c r="H596" s="176"/>
    </row>
    <row r="597" spans="1:8" ht="16.5" customHeight="1">
      <c r="A597" s="46"/>
      <c r="D597" s="176"/>
      <c r="F597" s="167"/>
      <c r="G597" s="176"/>
      <c r="H597" s="176"/>
    </row>
    <row r="598" spans="1:8" ht="16.5" customHeight="1">
      <c r="A598" s="46"/>
      <c r="D598" s="176"/>
      <c r="F598" s="167"/>
      <c r="G598" s="176"/>
      <c r="H598" s="176"/>
    </row>
    <row r="599" spans="1:8" ht="16.5" customHeight="1">
      <c r="A599" s="46"/>
      <c r="D599" s="176"/>
      <c r="F599" s="167"/>
      <c r="G599" s="176"/>
      <c r="H599" s="176"/>
    </row>
    <row r="600" spans="1:8" ht="16.5" customHeight="1">
      <c r="A600" s="46"/>
      <c r="D600" s="176"/>
      <c r="F600" s="167"/>
      <c r="G600" s="176"/>
      <c r="H600" s="176"/>
    </row>
    <row r="601" spans="1:8" ht="16.5" customHeight="1">
      <c r="A601" s="46"/>
      <c r="D601" s="176"/>
      <c r="F601" s="167"/>
      <c r="G601" s="176"/>
      <c r="H601" s="176"/>
    </row>
    <row r="602" spans="1:8" ht="16.5" customHeight="1">
      <c r="A602" s="46"/>
      <c r="D602" s="176"/>
      <c r="F602" s="167"/>
      <c r="G602" s="176"/>
      <c r="H602" s="176"/>
    </row>
    <row r="603" spans="1:8" ht="16.5" customHeight="1">
      <c r="A603" s="46"/>
      <c r="D603" s="176"/>
      <c r="F603" s="167"/>
      <c r="G603" s="176"/>
      <c r="H603" s="176"/>
    </row>
    <row r="604" spans="1:8" ht="16.5" customHeight="1">
      <c r="A604" s="46"/>
      <c r="D604" s="176"/>
      <c r="F604" s="167"/>
      <c r="G604" s="176"/>
      <c r="H604" s="176"/>
    </row>
    <row r="605" spans="1:8" ht="16.5" customHeight="1">
      <c r="A605" s="46"/>
      <c r="D605" s="176"/>
      <c r="F605" s="167"/>
      <c r="G605" s="176"/>
      <c r="H605" s="176"/>
    </row>
    <row r="606" spans="1:8" ht="16.5" customHeight="1">
      <c r="A606" s="46"/>
      <c r="D606" s="176"/>
      <c r="F606" s="167"/>
      <c r="G606" s="176"/>
      <c r="H606" s="176"/>
    </row>
    <row r="607" spans="1:8" ht="16.5" customHeight="1">
      <c r="A607" s="46"/>
      <c r="D607" s="176"/>
      <c r="F607" s="167"/>
      <c r="G607" s="176"/>
      <c r="H607" s="176"/>
    </row>
    <row r="608" spans="1:8" ht="16.5" customHeight="1">
      <c r="A608" s="46"/>
      <c r="D608" s="176"/>
      <c r="F608" s="167"/>
      <c r="G608" s="176"/>
      <c r="H608" s="176"/>
    </row>
    <row r="609" spans="1:8" ht="16.5" customHeight="1">
      <c r="A609" s="46"/>
      <c r="D609" s="176"/>
      <c r="F609" s="167"/>
      <c r="G609" s="176"/>
      <c r="H609" s="176"/>
    </row>
    <row r="610" spans="1:8" ht="16.5" customHeight="1">
      <c r="A610" s="46"/>
      <c r="D610" s="176"/>
      <c r="F610" s="167"/>
      <c r="G610" s="176"/>
      <c r="H610" s="176"/>
    </row>
    <row r="611" spans="1:8" ht="16.5" customHeight="1">
      <c r="A611" s="46"/>
      <c r="D611" s="176"/>
      <c r="F611" s="167"/>
      <c r="G611" s="176"/>
      <c r="H611" s="176"/>
    </row>
    <row r="612" spans="1:8" ht="16.5" customHeight="1">
      <c r="A612" s="46"/>
      <c r="D612" s="176"/>
      <c r="F612" s="167"/>
      <c r="G612" s="176"/>
      <c r="H612" s="176"/>
    </row>
    <row r="613" spans="1:8" ht="16.5" customHeight="1">
      <c r="A613" s="46"/>
      <c r="D613" s="176"/>
      <c r="F613" s="167"/>
      <c r="G613" s="176"/>
      <c r="H613" s="176"/>
    </row>
    <row r="614" spans="1:8" ht="16.5" customHeight="1">
      <c r="A614" s="46"/>
      <c r="D614" s="176"/>
      <c r="F614" s="167"/>
      <c r="G614" s="176"/>
      <c r="H614" s="176"/>
    </row>
    <row r="615" spans="1:8" ht="16.5" customHeight="1">
      <c r="A615" s="46"/>
      <c r="D615" s="176"/>
      <c r="F615" s="167"/>
      <c r="G615" s="176"/>
      <c r="H615" s="176"/>
    </row>
    <row r="616" spans="1:8" ht="16.5" customHeight="1">
      <c r="A616" s="46"/>
      <c r="D616" s="176"/>
      <c r="F616" s="167"/>
      <c r="G616" s="176"/>
      <c r="H616" s="176"/>
    </row>
    <row r="617" spans="1:8" ht="16.5" customHeight="1">
      <c r="A617" s="46"/>
      <c r="D617" s="176"/>
      <c r="F617" s="167"/>
      <c r="G617" s="176"/>
      <c r="H617" s="176"/>
    </row>
    <row r="618" spans="1:8" ht="16.5" customHeight="1">
      <c r="A618" s="46"/>
      <c r="D618" s="176"/>
      <c r="F618" s="167"/>
      <c r="G618" s="176"/>
      <c r="H618" s="176"/>
    </row>
    <row r="619" spans="1:8" ht="16.5" customHeight="1">
      <c r="A619" s="46"/>
      <c r="D619" s="176"/>
      <c r="F619" s="167"/>
      <c r="G619" s="176"/>
      <c r="H619" s="176"/>
    </row>
    <row r="620" spans="1:8" ht="16.5" customHeight="1">
      <c r="A620" s="46"/>
      <c r="D620" s="176"/>
      <c r="F620" s="167"/>
      <c r="G620" s="176"/>
      <c r="H620" s="176"/>
    </row>
    <row r="621" spans="1:8" ht="16.5" customHeight="1">
      <c r="A621" s="46"/>
      <c r="D621" s="176"/>
      <c r="F621" s="167"/>
      <c r="G621" s="176"/>
      <c r="H621" s="176"/>
    </row>
    <row r="622" spans="1:8" ht="16.5" customHeight="1">
      <c r="A622" s="46"/>
      <c r="D622" s="176"/>
      <c r="F622" s="167"/>
      <c r="G622" s="176"/>
      <c r="H622" s="176"/>
    </row>
    <row r="623" spans="1:8" ht="16.5" customHeight="1">
      <c r="A623" s="46"/>
      <c r="D623" s="176"/>
      <c r="F623" s="167"/>
      <c r="G623" s="176"/>
      <c r="H623" s="176"/>
    </row>
    <row r="624" spans="1:8" ht="16.5" customHeight="1">
      <c r="A624" s="46"/>
      <c r="D624" s="176"/>
      <c r="F624" s="167"/>
      <c r="G624" s="176"/>
      <c r="H624" s="176"/>
    </row>
    <row r="625" spans="1:8" ht="16.5" customHeight="1">
      <c r="A625" s="46"/>
      <c r="D625" s="176"/>
      <c r="F625" s="167"/>
      <c r="G625" s="176"/>
      <c r="H625" s="176"/>
    </row>
    <row r="626" spans="1:8" ht="16.5" customHeight="1">
      <c r="A626" s="46"/>
      <c r="D626" s="176"/>
      <c r="F626" s="167"/>
      <c r="G626" s="176"/>
      <c r="H626" s="176"/>
    </row>
    <row r="627" spans="1:8" ht="16.5" customHeight="1">
      <c r="A627" s="46"/>
      <c r="D627" s="176"/>
      <c r="F627" s="167"/>
      <c r="G627" s="176"/>
      <c r="H627" s="176"/>
    </row>
    <row r="628" spans="1:8" ht="16.5" customHeight="1">
      <c r="A628" s="46"/>
      <c r="D628" s="176"/>
      <c r="F628" s="167"/>
      <c r="G628" s="176"/>
      <c r="H628" s="176"/>
    </row>
    <row r="629" spans="1:8" ht="16.5" customHeight="1">
      <c r="A629" s="46"/>
      <c r="D629" s="176"/>
      <c r="F629" s="167"/>
      <c r="G629" s="176"/>
      <c r="H629" s="176"/>
    </row>
    <row r="630" spans="1:8" ht="16.5" customHeight="1">
      <c r="A630" s="46"/>
      <c r="D630" s="176"/>
      <c r="F630" s="167"/>
      <c r="G630" s="176"/>
      <c r="H630" s="176"/>
    </row>
    <row r="631" spans="1:8" ht="16.5" customHeight="1">
      <c r="A631" s="46"/>
      <c r="D631" s="176"/>
      <c r="F631" s="167"/>
      <c r="G631" s="176"/>
      <c r="H631" s="176"/>
    </row>
    <row r="632" spans="1:8" ht="16.5" customHeight="1">
      <c r="A632" s="46"/>
      <c r="D632" s="176"/>
      <c r="F632" s="167"/>
      <c r="G632" s="176"/>
      <c r="H632" s="176"/>
    </row>
    <row r="633" spans="1:8" ht="16.5" customHeight="1">
      <c r="A633" s="46"/>
      <c r="D633" s="176"/>
      <c r="F633" s="167"/>
      <c r="G633" s="176"/>
      <c r="H633" s="176"/>
    </row>
    <row r="634" spans="1:8" ht="16.5" customHeight="1">
      <c r="A634" s="46"/>
      <c r="D634" s="176"/>
      <c r="F634" s="167"/>
      <c r="G634" s="176"/>
      <c r="H634" s="176"/>
    </row>
    <row r="635" spans="1:8" ht="16.5" customHeight="1">
      <c r="A635" s="46"/>
      <c r="D635" s="176"/>
      <c r="F635" s="167"/>
      <c r="G635" s="176"/>
      <c r="H635" s="176"/>
    </row>
    <row r="636" spans="1:8" ht="16.5" customHeight="1">
      <c r="A636" s="46"/>
      <c r="D636" s="176"/>
      <c r="F636" s="167"/>
      <c r="G636" s="176"/>
      <c r="H636" s="176"/>
    </row>
    <row r="637" spans="1:8" ht="16.5" customHeight="1">
      <c r="A637" s="46"/>
      <c r="D637" s="176"/>
      <c r="F637" s="167"/>
      <c r="G637" s="176"/>
      <c r="H637" s="176"/>
    </row>
    <row r="638" spans="1:8" ht="16.5" customHeight="1">
      <c r="A638" s="46"/>
      <c r="D638" s="176"/>
      <c r="F638" s="167"/>
      <c r="G638" s="176"/>
      <c r="H638" s="176"/>
    </row>
    <row r="639" spans="1:8" ht="16.5" customHeight="1">
      <c r="A639" s="46"/>
      <c r="D639" s="176"/>
      <c r="F639" s="167"/>
      <c r="G639" s="176"/>
      <c r="H639" s="176"/>
    </row>
    <row r="640" spans="1:8" ht="16.5" customHeight="1">
      <c r="A640" s="46"/>
      <c r="D640" s="176"/>
      <c r="F640" s="167"/>
      <c r="G640" s="176"/>
      <c r="H640" s="176"/>
    </row>
    <row r="641" spans="1:8" ht="16.5" customHeight="1">
      <c r="A641" s="46"/>
      <c r="D641" s="176"/>
      <c r="F641" s="167"/>
      <c r="G641" s="176"/>
      <c r="H641" s="176"/>
    </row>
    <row r="642" spans="1:8" ht="16.5" customHeight="1">
      <c r="A642" s="46"/>
      <c r="D642" s="176"/>
      <c r="F642" s="167"/>
      <c r="G642" s="176"/>
      <c r="H642" s="176"/>
    </row>
    <row r="643" spans="1:8" ht="16.5" customHeight="1">
      <c r="A643" s="46"/>
      <c r="D643" s="176"/>
      <c r="F643" s="167"/>
      <c r="G643" s="176"/>
      <c r="H643" s="176"/>
    </row>
    <row r="644" spans="1:8" ht="16.5" customHeight="1">
      <c r="A644" s="46"/>
      <c r="D644" s="176"/>
      <c r="F644" s="167"/>
      <c r="G644" s="176"/>
      <c r="H644" s="176"/>
    </row>
    <row r="645" spans="1:8" ht="16.5" customHeight="1">
      <c r="A645" s="46"/>
      <c r="D645" s="176"/>
      <c r="F645" s="167"/>
      <c r="G645" s="176"/>
      <c r="H645" s="176"/>
    </row>
    <row r="646" spans="1:8" ht="16.5" customHeight="1">
      <c r="A646" s="46"/>
      <c r="D646" s="176"/>
      <c r="F646" s="167"/>
      <c r="G646" s="176"/>
      <c r="H646" s="176"/>
    </row>
    <row r="647" spans="1:8" ht="16.5" customHeight="1">
      <c r="A647" s="46"/>
      <c r="D647" s="176"/>
      <c r="F647" s="167"/>
      <c r="G647" s="176"/>
      <c r="H647" s="176"/>
    </row>
    <row r="648" spans="1:8" ht="16.5" customHeight="1">
      <c r="A648" s="46"/>
      <c r="D648" s="176"/>
      <c r="F648" s="167"/>
      <c r="G648" s="176"/>
      <c r="H648" s="176"/>
    </row>
    <row r="649" spans="1:8" ht="16.5" customHeight="1">
      <c r="A649" s="46"/>
      <c r="D649" s="176"/>
      <c r="F649" s="167"/>
      <c r="G649" s="176"/>
      <c r="H649" s="176"/>
    </row>
    <row r="650" spans="1:8" ht="16.5" customHeight="1">
      <c r="A650" s="46"/>
      <c r="D650" s="176"/>
      <c r="F650" s="167"/>
      <c r="G650" s="176"/>
      <c r="H650" s="176"/>
    </row>
    <row r="651" spans="1:8" ht="16.5" customHeight="1">
      <c r="A651" s="46"/>
      <c r="D651" s="176"/>
      <c r="F651" s="167"/>
      <c r="G651" s="176"/>
      <c r="H651" s="176"/>
    </row>
    <row r="652" spans="1:8" ht="16.5" customHeight="1">
      <c r="A652" s="46"/>
      <c r="D652" s="176"/>
      <c r="F652" s="167"/>
      <c r="G652" s="176"/>
      <c r="H652" s="176"/>
    </row>
    <row r="653" spans="1:8" ht="16.5" customHeight="1">
      <c r="A653" s="46"/>
      <c r="D653" s="176"/>
      <c r="F653" s="167"/>
      <c r="G653" s="176"/>
      <c r="H653" s="176"/>
    </row>
    <row r="654" spans="1:8" ht="16.5" customHeight="1">
      <c r="A654" s="46"/>
      <c r="D654" s="176"/>
      <c r="F654" s="167"/>
      <c r="G654" s="176"/>
      <c r="H654" s="176"/>
    </row>
    <row r="655" spans="1:8" ht="16.5" customHeight="1">
      <c r="A655" s="46"/>
      <c r="D655" s="176"/>
      <c r="F655" s="167"/>
      <c r="G655" s="176"/>
      <c r="H655" s="176"/>
    </row>
    <row r="656" spans="1:8" ht="16.5" customHeight="1">
      <c r="A656" s="46"/>
      <c r="D656" s="176"/>
      <c r="F656" s="167"/>
      <c r="G656" s="176"/>
      <c r="H656" s="176"/>
    </row>
    <row r="657" spans="1:8" ht="16.5" customHeight="1">
      <c r="A657" s="46"/>
      <c r="D657" s="176"/>
      <c r="F657" s="167"/>
      <c r="G657" s="176"/>
      <c r="H657" s="176"/>
    </row>
    <row r="658" spans="1:8" ht="16.5" customHeight="1">
      <c r="A658" s="46"/>
      <c r="D658" s="176"/>
      <c r="F658" s="167"/>
      <c r="G658" s="176"/>
      <c r="H658" s="176"/>
    </row>
    <row r="659" spans="1:8" ht="16.5" customHeight="1">
      <c r="A659" s="46"/>
      <c r="D659" s="176"/>
      <c r="F659" s="167"/>
      <c r="G659" s="176"/>
      <c r="H659" s="176"/>
    </row>
    <row r="660" spans="1:8" ht="16.5" customHeight="1">
      <c r="A660" s="46"/>
      <c r="D660" s="176"/>
      <c r="F660" s="167"/>
      <c r="G660" s="176"/>
      <c r="H660" s="176"/>
    </row>
    <row r="661" spans="1:8" ht="16.5" customHeight="1">
      <c r="A661" s="46"/>
      <c r="D661" s="176"/>
      <c r="F661" s="167"/>
      <c r="G661" s="176"/>
      <c r="H661" s="176"/>
    </row>
    <row r="662" spans="1:8" ht="16.5" customHeight="1">
      <c r="A662" s="46"/>
      <c r="D662" s="176"/>
      <c r="F662" s="167"/>
      <c r="G662" s="176"/>
      <c r="H662" s="176"/>
    </row>
    <row r="663" spans="1:8" ht="16.5" customHeight="1">
      <c r="A663" s="46"/>
      <c r="D663" s="176"/>
      <c r="F663" s="167"/>
      <c r="G663" s="176"/>
      <c r="H663" s="176"/>
    </row>
    <row r="664" spans="1:8" ht="16.5" customHeight="1">
      <c r="A664" s="46"/>
      <c r="D664" s="176"/>
      <c r="F664" s="167"/>
      <c r="G664" s="176"/>
      <c r="H664" s="176"/>
    </row>
    <row r="665" spans="1:8" ht="16.5" customHeight="1">
      <c r="A665" s="46"/>
      <c r="D665" s="176"/>
      <c r="F665" s="167"/>
      <c r="G665" s="176"/>
      <c r="H665" s="176"/>
    </row>
    <row r="666" spans="1:8" ht="16.5" customHeight="1">
      <c r="A666" s="46"/>
      <c r="D666" s="176"/>
      <c r="F666" s="167"/>
      <c r="G666" s="176"/>
      <c r="H666" s="176"/>
    </row>
    <row r="667" spans="1:8" ht="16.5" customHeight="1">
      <c r="A667" s="46"/>
      <c r="D667" s="176"/>
      <c r="F667" s="167"/>
      <c r="G667" s="176"/>
      <c r="H667" s="176"/>
    </row>
    <row r="668" spans="1:8" ht="16.5" customHeight="1">
      <c r="A668" s="46"/>
      <c r="D668" s="176"/>
      <c r="F668" s="167"/>
      <c r="G668" s="176"/>
      <c r="H668" s="176"/>
    </row>
    <row r="669" spans="1:8" ht="16.5" customHeight="1">
      <c r="A669" s="46"/>
      <c r="D669" s="176"/>
      <c r="F669" s="167"/>
      <c r="G669" s="176"/>
      <c r="H669" s="176"/>
    </row>
    <row r="670" spans="1:8" ht="16.5" customHeight="1">
      <c r="A670" s="46"/>
      <c r="D670" s="176"/>
      <c r="F670" s="167"/>
      <c r="G670" s="176"/>
      <c r="H670" s="176"/>
    </row>
    <row r="671" spans="1:8" ht="16.5" customHeight="1">
      <c r="A671" s="46"/>
      <c r="D671" s="176"/>
      <c r="F671" s="167"/>
      <c r="G671" s="176"/>
      <c r="H671" s="176"/>
    </row>
    <row r="672" spans="1:8" ht="16.5" customHeight="1">
      <c r="A672" s="46"/>
      <c r="D672" s="176"/>
      <c r="F672" s="167"/>
      <c r="G672" s="176"/>
      <c r="H672" s="176"/>
    </row>
    <row r="673" spans="1:8" ht="16.5" customHeight="1">
      <c r="A673" s="46"/>
      <c r="D673" s="176"/>
      <c r="F673" s="167"/>
      <c r="G673" s="176"/>
      <c r="H673" s="176"/>
    </row>
    <row r="674" spans="1:8" ht="16.5" customHeight="1">
      <c r="A674" s="46"/>
      <c r="D674" s="176"/>
      <c r="F674" s="167"/>
      <c r="G674" s="176"/>
      <c r="H674" s="176"/>
    </row>
    <row r="675" spans="1:8" ht="16.5" customHeight="1">
      <c r="A675" s="46"/>
      <c r="D675" s="176"/>
      <c r="F675" s="167"/>
      <c r="G675" s="176"/>
      <c r="H675" s="176"/>
    </row>
    <row r="676" spans="1:8" ht="16.5" customHeight="1">
      <c r="A676" s="46"/>
      <c r="D676" s="176"/>
      <c r="F676" s="167"/>
      <c r="G676" s="176"/>
      <c r="H676" s="176"/>
    </row>
    <row r="677" spans="1:8" ht="16.5" customHeight="1">
      <c r="A677" s="46"/>
      <c r="D677" s="176"/>
      <c r="F677" s="167"/>
      <c r="G677" s="176"/>
      <c r="H677" s="176"/>
    </row>
    <row r="678" spans="1:8" ht="16.5" customHeight="1">
      <c r="A678" s="46"/>
      <c r="D678" s="176"/>
      <c r="F678" s="167"/>
      <c r="G678" s="176"/>
      <c r="H678" s="176"/>
    </row>
    <row r="679" spans="1:8" ht="16.5" customHeight="1">
      <c r="A679" s="46"/>
      <c r="D679" s="176"/>
      <c r="F679" s="167"/>
      <c r="G679" s="176"/>
      <c r="H679" s="176"/>
    </row>
    <row r="680" spans="1:8" ht="16.5" customHeight="1">
      <c r="A680" s="46"/>
      <c r="D680" s="176"/>
      <c r="F680" s="167"/>
      <c r="G680" s="176"/>
      <c r="H680" s="176"/>
    </row>
    <row r="681" spans="1:8" ht="16.5" customHeight="1">
      <c r="A681" s="46"/>
      <c r="D681" s="176"/>
      <c r="F681" s="167"/>
      <c r="G681" s="176"/>
      <c r="H681" s="176"/>
    </row>
    <row r="682" spans="1:8" ht="16.5" customHeight="1">
      <c r="A682" s="46"/>
      <c r="D682" s="176"/>
      <c r="F682" s="167"/>
      <c r="G682" s="176"/>
      <c r="H682" s="176"/>
    </row>
    <row r="683" spans="1:8" ht="16.5" customHeight="1">
      <c r="A683" s="46"/>
      <c r="D683" s="176"/>
      <c r="F683" s="167"/>
      <c r="G683" s="176"/>
      <c r="H683" s="176"/>
    </row>
    <row r="684" spans="1:8" ht="16.5" customHeight="1">
      <c r="A684" s="46"/>
      <c r="D684" s="176"/>
      <c r="F684" s="167"/>
      <c r="G684" s="176"/>
      <c r="H684" s="176"/>
    </row>
    <row r="685" spans="1:8" ht="16.5" customHeight="1">
      <c r="A685" s="46"/>
      <c r="D685" s="176"/>
      <c r="F685" s="167"/>
      <c r="G685" s="176"/>
      <c r="H685" s="176"/>
    </row>
    <row r="686" spans="1:8" ht="16.5" customHeight="1">
      <c r="A686" s="46"/>
      <c r="D686" s="176"/>
      <c r="F686" s="167"/>
      <c r="G686" s="176"/>
      <c r="H686" s="176"/>
    </row>
    <row r="687" spans="1:8" ht="16.5" customHeight="1">
      <c r="A687" s="46"/>
      <c r="D687" s="176"/>
      <c r="F687" s="167"/>
      <c r="G687" s="176"/>
      <c r="H687" s="176"/>
    </row>
    <row r="688" spans="1:8" ht="16.5" customHeight="1">
      <c r="A688" s="46"/>
      <c r="D688" s="176"/>
      <c r="F688" s="167"/>
      <c r="G688" s="176"/>
      <c r="H688" s="176"/>
    </row>
    <row r="689" spans="1:8" ht="16.5" customHeight="1">
      <c r="A689" s="46"/>
      <c r="D689" s="176"/>
      <c r="F689" s="167"/>
      <c r="G689" s="176"/>
      <c r="H689" s="176"/>
    </row>
    <row r="690" spans="1:8" ht="16.5" customHeight="1">
      <c r="A690" s="46"/>
      <c r="D690" s="176"/>
      <c r="F690" s="167"/>
      <c r="G690" s="176"/>
      <c r="H690" s="176"/>
    </row>
    <row r="691" spans="1:8" ht="16.5" customHeight="1">
      <c r="A691" s="46"/>
      <c r="D691" s="176"/>
      <c r="F691" s="167"/>
      <c r="G691" s="176"/>
      <c r="H691" s="176"/>
    </row>
    <row r="692" spans="1:8" ht="16.5" customHeight="1">
      <c r="A692" s="46"/>
      <c r="D692" s="176"/>
      <c r="F692" s="167"/>
      <c r="G692" s="176"/>
      <c r="H692" s="176"/>
    </row>
    <row r="693" spans="1:8" ht="16.5" customHeight="1">
      <c r="A693" s="46"/>
      <c r="D693" s="176"/>
      <c r="F693" s="167"/>
      <c r="G693" s="176"/>
      <c r="H693" s="176"/>
    </row>
    <row r="694" spans="1:8" ht="16.5" customHeight="1">
      <c r="A694" s="46"/>
      <c r="D694" s="176"/>
      <c r="F694" s="167"/>
      <c r="G694" s="176"/>
      <c r="H694" s="176"/>
    </row>
    <row r="695" spans="1:8" ht="16.5" customHeight="1">
      <c r="A695" s="46"/>
      <c r="D695" s="176"/>
      <c r="F695" s="167"/>
      <c r="G695" s="176"/>
      <c r="H695" s="176"/>
    </row>
    <row r="696" spans="1:8" ht="16.5" customHeight="1">
      <c r="A696" s="46"/>
      <c r="D696" s="176"/>
      <c r="F696" s="167"/>
      <c r="G696" s="176"/>
      <c r="H696" s="176"/>
    </row>
    <row r="697" spans="1:8" ht="16.5" customHeight="1">
      <c r="A697" s="46"/>
      <c r="D697" s="176"/>
      <c r="F697" s="167"/>
      <c r="G697" s="176"/>
      <c r="H697" s="176"/>
    </row>
    <row r="698" spans="1:8" ht="16.5" customHeight="1">
      <c r="A698" s="46"/>
      <c r="D698" s="176"/>
      <c r="F698" s="167"/>
      <c r="G698" s="176"/>
      <c r="H698" s="176"/>
    </row>
    <row r="699" spans="1:8" ht="16.5" customHeight="1">
      <c r="A699" s="46"/>
      <c r="D699" s="176"/>
      <c r="F699" s="167"/>
      <c r="G699" s="176"/>
      <c r="H699" s="176"/>
    </row>
    <row r="700" spans="1:8" ht="16.5" customHeight="1">
      <c r="A700" s="46"/>
      <c r="D700" s="176"/>
      <c r="F700" s="167"/>
      <c r="G700" s="176"/>
      <c r="H700" s="176"/>
    </row>
    <row r="701" spans="1:8" ht="16.5" customHeight="1">
      <c r="A701" s="46"/>
      <c r="D701" s="176"/>
      <c r="F701" s="167"/>
      <c r="G701" s="176"/>
      <c r="H701" s="176"/>
    </row>
    <row r="702" spans="1:8" ht="16.5" customHeight="1">
      <c r="A702" s="46"/>
      <c r="D702" s="176"/>
      <c r="F702" s="167"/>
      <c r="G702" s="176"/>
      <c r="H702" s="176"/>
    </row>
    <row r="703" spans="1:8" ht="16.5" customHeight="1">
      <c r="A703" s="46"/>
      <c r="D703" s="176"/>
      <c r="F703" s="167"/>
      <c r="G703" s="176"/>
      <c r="H703" s="176"/>
    </row>
    <row r="704" spans="1:8" ht="16.5" customHeight="1">
      <c r="A704" s="46"/>
      <c r="D704" s="176"/>
      <c r="F704" s="167"/>
      <c r="G704" s="176"/>
      <c r="H704" s="176"/>
    </row>
    <row r="705" spans="1:8" ht="16.5" customHeight="1">
      <c r="A705" s="46"/>
      <c r="D705" s="176"/>
      <c r="F705" s="167"/>
      <c r="G705" s="176"/>
      <c r="H705" s="176"/>
    </row>
    <row r="706" spans="1:8" ht="16.5" customHeight="1">
      <c r="A706" s="46"/>
      <c r="D706" s="176"/>
      <c r="F706" s="167"/>
      <c r="G706" s="176"/>
      <c r="H706" s="176"/>
    </row>
    <row r="707" spans="1:8" ht="16.5" customHeight="1">
      <c r="A707" s="46"/>
      <c r="D707" s="176"/>
      <c r="F707" s="167"/>
      <c r="G707" s="176"/>
      <c r="H707" s="176"/>
    </row>
    <row r="708" spans="1:8" ht="16.5" customHeight="1">
      <c r="A708" s="46"/>
      <c r="D708" s="176"/>
      <c r="F708" s="167"/>
      <c r="G708" s="176"/>
      <c r="H708" s="176"/>
    </row>
    <row r="709" spans="1:8" ht="16.5" customHeight="1">
      <c r="A709" s="46"/>
      <c r="D709" s="176"/>
      <c r="F709" s="167"/>
      <c r="G709" s="176"/>
      <c r="H709" s="176"/>
    </row>
    <row r="710" spans="1:8" ht="16.5" customHeight="1">
      <c r="A710" s="46"/>
      <c r="D710" s="176"/>
      <c r="F710" s="167"/>
      <c r="G710" s="176"/>
      <c r="H710" s="176"/>
    </row>
    <row r="711" spans="1:8" ht="16.5" customHeight="1">
      <c r="A711" s="46"/>
      <c r="D711" s="176"/>
      <c r="F711" s="167"/>
      <c r="G711" s="176"/>
      <c r="H711" s="176"/>
    </row>
    <row r="712" spans="1:8" ht="16.5" customHeight="1">
      <c r="A712" s="46"/>
      <c r="D712" s="176"/>
      <c r="F712" s="167"/>
      <c r="G712" s="176"/>
      <c r="H712" s="176"/>
    </row>
    <row r="713" spans="1:8" ht="16.5" customHeight="1">
      <c r="A713" s="46"/>
      <c r="D713" s="176"/>
      <c r="F713" s="167"/>
      <c r="G713" s="176"/>
      <c r="H713" s="176"/>
    </row>
    <row r="714" spans="1:8" ht="16.5" customHeight="1">
      <c r="A714" s="46"/>
      <c r="D714" s="176"/>
      <c r="F714" s="167"/>
      <c r="G714" s="176"/>
      <c r="H714" s="176"/>
    </row>
    <row r="715" spans="1:8" ht="16.5" customHeight="1">
      <c r="A715" s="46"/>
      <c r="D715" s="176"/>
      <c r="F715" s="167"/>
      <c r="G715" s="176"/>
      <c r="H715" s="176"/>
    </row>
    <row r="716" spans="1:8" ht="16.5" customHeight="1">
      <c r="A716" s="46"/>
      <c r="D716" s="176"/>
      <c r="F716" s="167"/>
      <c r="G716" s="176"/>
      <c r="H716" s="176"/>
    </row>
    <row r="717" spans="1:8" ht="16.5" customHeight="1">
      <c r="A717" s="46"/>
      <c r="D717" s="176"/>
      <c r="F717" s="167"/>
      <c r="G717" s="176"/>
      <c r="H717" s="176"/>
    </row>
    <row r="718" spans="1:8" ht="16.5" customHeight="1">
      <c r="A718" s="46"/>
      <c r="D718" s="176"/>
      <c r="F718" s="167"/>
      <c r="G718" s="176"/>
      <c r="H718" s="176"/>
    </row>
    <row r="719" spans="1:8" ht="16.5" customHeight="1">
      <c r="A719" s="46"/>
      <c r="D719" s="176"/>
      <c r="F719" s="167"/>
      <c r="G719" s="176"/>
      <c r="H719" s="176"/>
    </row>
    <row r="720" spans="1:8" ht="16.5" customHeight="1">
      <c r="A720" s="46"/>
      <c r="D720" s="176"/>
      <c r="F720" s="167"/>
      <c r="G720" s="176"/>
      <c r="H720" s="176"/>
    </row>
    <row r="721" spans="1:8" ht="16.5" customHeight="1">
      <c r="A721" s="46"/>
      <c r="D721" s="176"/>
      <c r="F721" s="167"/>
      <c r="G721" s="176"/>
      <c r="H721" s="176"/>
    </row>
    <row r="722" spans="1:8" ht="16.5" customHeight="1">
      <c r="A722" s="46"/>
      <c r="D722" s="176"/>
      <c r="F722" s="167"/>
      <c r="G722" s="176"/>
      <c r="H722" s="176"/>
    </row>
    <row r="723" spans="1:8" ht="16.5" customHeight="1">
      <c r="A723" s="46"/>
      <c r="D723" s="176"/>
      <c r="F723" s="167"/>
      <c r="G723" s="176"/>
      <c r="H723" s="176"/>
    </row>
    <row r="724" spans="1:8" ht="16.5" customHeight="1">
      <c r="A724" s="46"/>
      <c r="D724" s="176"/>
      <c r="F724" s="167"/>
      <c r="G724" s="176"/>
      <c r="H724" s="176"/>
    </row>
    <row r="725" spans="1:8" ht="16.5" customHeight="1">
      <c r="A725" s="46"/>
      <c r="D725" s="176"/>
      <c r="F725" s="167"/>
      <c r="G725" s="176"/>
      <c r="H725" s="176"/>
    </row>
    <row r="726" spans="1:8" ht="16.5" customHeight="1">
      <c r="A726" s="46"/>
      <c r="D726" s="176"/>
      <c r="F726" s="167"/>
      <c r="G726" s="176"/>
      <c r="H726" s="176"/>
    </row>
    <row r="727" spans="1:8" ht="16.5" customHeight="1">
      <c r="A727" s="46"/>
      <c r="D727" s="176"/>
      <c r="F727" s="167"/>
      <c r="G727" s="176"/>
      <c r="H727" s="176"/>
    </row>
    <row r="728" spans="1:8" ht="16.5" customHeight="1">
      <c r="A728" s="46"/>
      <c r="D728" s="176"/>
      <c r="F728" s="167"/>
      <c r="G728" s="176"/>
      <c r="H728" s="176"/>
    </row>
    <row r="729" spans="1:8" ht="16.5" customHeight="1">
      <c r="A729" s="46"/>
      <c r="D729" s="176"/>
      <c r="F729" s="167"/>
      <c r="G729" s="176"/>
      <c r="H729" s="176"/>
    </row>
    <row r="730" spans="1:8" ht="16.5" customHeight="1">
      <c r="A730" s="46"/>
      <c r="D730" s="176"/>
      <c r="F730" s="167"/>
      <c r="G730" s="176"/>
      <c r="H730" s="176"/>
    </row>
    <row r="731" spans="1:8" ht="16.5" customHeight="1">
      <c r="A731" s="46"/>
      <c r="D731" s="176"/>
      <c r="F731" s="167"/>
      <c r="G731" s="176"/>
      <c r="H731" s="176"/>
    </row>
    <row r="732" spans="1:8" ht="16.5" customHeight="1">
      <c r="A732" s="46"/>
      <c r="D732" s="176"/>
      <c r="F732" s="167"/>
      <c r="G732" s="176"/>
      <c r="H732" s="176"/>
    </row>
    <row r="733" spans="1:8" ht="16.5" customHeight="1">
      <c r="A733" s="46"/>
      <c r="D733" s="176"/>
      <c r="F733" s="167"/>
      <c r="G733" s="176"/>
      <c r="H733" s="176"/>
    </row>
    <row r="734" spans="1:8" ht="16.5" customHeight="1">
      <c r="A734" s="46"/>
      <c r="D734" s="176"/>
      <c r="F734" s="167"/>
      <c r="G734" s="176"/>
      <c r="H734" s="176"/>
    </row>
    <row r="735" spans="1:8" ht="16.5" customHeight="1">
      <c r="A735" s="46"/>
      <c r="D735" s="176"/>
      <c r="F735" s="167"/>
      <c r="G735" s="176"/>
      <c r="H735" s="176"/>
    </row>
    <row r="736" spans="1:8" ht="16.5" customHeight="1">
      <c r="A736" s="46"/>
      <c r="D736" s="176"/>
      <c r="F736" s="167"/>
      <c r="G736" s="176"/>
      <c r="H736" s="176"/>
    </row>
    <row r="737" spans="1:8" ht="16.5" customHeight="1">
      <c r="A737" s="46"/>
      <c r="D737" s="176"/>
      <c r="F737" s="167"/>
      <c r="G737" s="176"/>
      <c r="H737" s="176"/>
    </row>
    <row r="738" spans="1:8" ht="16.5" customHeight="1">
      <c r="A738" s="46"/>
      <c r="D738" s="176"/>
      <c r="F738" s="167"/>
      <c r="G738" s="176"/>
      <c r="H738" s="176"/>
    </row>
    <row r="739" spans="1:8" ht="16.5" customHeight="1">
      <c r="A739" s="46"/>
      <c r="D739" s="176"/>
      <c r="F739" s="167"/>
      <c r="G739" s="176"/>
      <c r="H739" s="176"/>
    </row>
    <row r="740" spans="1:8" ht="16.5" customHeight="1">
      <c r="A740" s="46"/>
      <c r="D740" s="176"/>
      <c r="F740" s="167"/>
      <c r="G740" s="176"/>
      <c r="H740" s="176"/>
    </row>
    <row r="741" spans="1:8" ht="16.5" customHeight="1">
      <c r="A741" s="46"/>
      <c r="D741" s="176"/>
      <c r="F741" s="167"/>
      <c r="G741" s="176"/>
      <c r="H741" s="176"/>
    </row>
    <row r="742" spans="1:8" ht="16.5" customHeight="1">
      <c r="A742" s="46"/>
      <c r="D742" s="176"/>
      <c r="F742" s="167"/>
      <c r="G742" s="176"/>
      <c r="H742" s="176"/>
    </row>
    <row r="743" spans="1:8" ht="16.5" customHeight="1">
      <c r="A743" s="46"/>
      <c r="D743" s="176"/>
      <c r="F743" s="167"/>
      <c r="G743" s="176"/>
      <c r="H743" s="176"/>
    </row>
    <row r="744" spans="1:8" ht="16.5" customHeight="1">
      <c r="A744" s="46"/>
      <c r="D744" s="176"/>
      <c r="F744" s="167"/>
      <c r="G744" s="176"/>
      <c r="H744" s="176"/>
    </row>
    <row r="745" spans="1:8" ht="16.5" customHeight="1">
      <c r="A745" s="46"/>
      <c r="D745" s="176"/>
      <c r="F745" s="167"/>
      <c r="G745" s="176"/>
      <c r="H745" s="176"/>
    </row>
    <row r="746" spans="1:8" ht="16.5" customHeight="1">
      <c r="A746" s="46"/>
      <c r="D746" s="176"/>
      <c r="F746" s="167"/>
      <c r="G746" s="176"/>
      <c r="H746" s="176"/>
    </row>
    <row r="747" spans="1:8" ht="16.5" customHeight="1">
      <c r="A747" s="46"/>
      <c r="D747" s="176"/>
      <c r="F747" s="167"/>
      <c r="G747" s="176"/>
      <c r="H747" s="176"/>
    </row>
    <row r="748" spans="1:8" ht="16.5" customHeight="1">
      <c r="A748" s="46"/>
      <c r="D748" s="176"/>
      <c r="F748" s="167"/>
      <c r="G748" s="176"/>
      <c r="H748" s="176"/>
    </row>
    <row r="749" spans="1:8" ht="16.5" customHeight="1">
      <c r="A749" s="46"/>
      <c r="D749" s="176"/>
      <c r="F749" s="167"/>
      <c r="G749" s="176"/>
      <c r="H749" s="176"/>
    </row>
    <row r="750" spans="1:8" ht="16.5" customHeight="1">
      <c r="A750" s="46"/>
      <c r="D750" s="176"/>
      <c r="F750" s="167"/>
      <c r="G750" s="176"/>
      <c r="H750" s="176"/>
    </row>
    <row r="751" spans="1:8" ht="16.5" customHeight="1">
      <c r="A751" s="46"/>
      <c r="D751" s="176"/>
      <c r="F751" s="167"/>
      <c r="G751" s="176"/>
      <c r="H751" s="176"/>
    </row>
    <row r="752" spans="1:8" ht="16.5" customHeight="1">
      <c r="A752" s="46"/>
      <c r="D752" s="176"/>
      <c r="F752" s="167"/>
      <c r="G752" s="176"/>
      <c r="H752" s="176"/>
    </row>
    <row r="753" spans="1:8" ht="16.5" customHeight="1">
      <c r="A753" s="46"/>
      <c r="D753" s="176"/>
      <c r="F753" s="167"/>
      <c r="G753" s="176"/>
      <c r="H753" s="176"/>
    </row>
    <row r="754" spans="1:8" ht="16.5" customHeight="1">
      <c r="A754" s="46"/>
      <c r="D754" s="176"/>
      <c r="F754" s="167"/>
      <c r="G754" s="176"/>
      <c r="H754" s="176"/>
    </row>
    <row r="755" spans="1:8" ht="16.5" customHeight="1">
      <c r="A755" s="46"/>
      <c r="D755" s="176"/>
      <c r="F755" s="167"/>
      <c r="G755" s="176"/>
      <c r="H755" s="176"/>
    </row>
    <row r="756" spans="1:8" ht="16.5" customHeight="1">
      <c r="A756" s="46"/>
      <c r="D756" s="176"/>
      <c r="F756" s="167"/>
      <c r="G756" s="176"/>
      <c r="H756" s="176"/>
    </row>
    <row r="757" spans="1:8" ht="16.5" customHeight="1">
      <c r="A757" s="46"/>
      <c r="D757" s="176"/>
      <c r="F757" s="167"/>
      <c r="G757" s="176"/>
      <c r="H757" s="176"/>
    </row>
    <row r="758" spans="1:8" ht="16.5" customHeight="1">
      <c r="A758" s="46"/>
      <c r="D758" s="176"/>
      <c r="F758" s="167"/>
      <c r="G758" s="176"/>
      <c r="H758" s="176"/>
    </row>
    <row r="759" spans="1:8" ht="16.5" customHeight="1">
      <c r="A759" s="46"/>
      <c r="D759" s="176"/>
      <c r="F759" s="167"/>
      <c r="G759" s="176"/>
      <c r="H759" s="176"/>
    </row>
    <row r="760" spans="1:8" ht="16.5" customHeight="1">
      <c r="A760" s="46"/>
      <c r="D760" s="176"/>
      <c r="F760" s="167"/>
      <c r="G760" s="176"/>
      <c r="H760" s="176"/>
    </row>
    <row r="761" spans="1:8" ht="16.5" customHeight="1">
      <c r="A761" s="46"/>
      <c r="D761" s="176"/>
      <c r="F761" s="167"/>
      <c r="G761" s="176"/>
      <c r="H761" s="176"/>
    </row>
    <row r="762" spans="1:8" ht="16.5" customHeight="1">
      <c r="A762" s="46"/>
      <c r="D762" s="176"/>
      <c r="F762" s="167"/>
      <c r="G762" s="176"/>
      <c r="H762" s="176"/>
    </row>
    <row r="763" spans="1:8" ht="16.5" customHeight="1">
      <c r="A763" s="46"/>
      <c r="D763" s="176"/>
      <c r="F763" s="167"/>
      <c r="G763" s="176"/>
      <c r="H763" s="176"/>
    </row>
    <row r="764" spans="1:8" ht="16.5" customHeight="1">
      <c r="A764" s="46"/>
      <c r="D764" s="176"/>
      <c r="F764" s="167"/>
      <c r="G764" s="176"/>
      <c r="H764" s="176"/>
    </row>
    <row r="765" spans="1:8" ht="16.5" customHeight="1">
      <c r="A765" s="46"/>
      <c r="D765" s="176"/>
      <c r="F765" s="167"/>
      <c r="G765" s="176"/>
      <c r="H765" s="176"/>
    </row>
    <row r="766" spans="1:8" ht="16.5" customHeight="1">
      <c r="A766" s="46"/>
      <c r="D766" s="176"/>
      <c r="F766" s="167"/>
      <c r="G766" s="176"/>
      <c r="H766" s="176"/>
    </row>
    <row r="767" spans="1:8" ht="16.5" customHeight="1">
      <c r="A767" s="46"/>
      <c r="D767" s="176"/>
      <c r="F767" s="167"/>
      <c r="G767" s="176"/>
      <c r="H767" s="176"/>
    </row>
    <row r="768" spans="1:8" ht="16.5" customHeight="1">
      <c r="A768" s="46"/>
      <c r="D768" s="176"/>
      <c r="F768" s="167"/>
      <c r="G768" s="176"/>
      <c r="H768" s="176"/>
    </row>
    <row r="769" spans="1:8" ht="16.5" customHeight="1">
      <c r="A769" s="46"/>
      <c r="D769" s="176"/>
      <c r="F769" s="167"/>
      <c r="G769" s="176"/>
      <c r="H769" s="176"/>
    </row>
    <row r="770" spans="1:8" ht="16.5" customHeight="1">
      <c r="A770" s="46"/>
      <c r="D770" s="176"/>
      <c r="F770" s="167"/>
      <c r="G770" s="176"/>
      <c r="H770" s="176"/>
    </row>
    <row r="771" spans="1:8" ht="16.5" customHeight="1">
      <c r="A771" s="46"/>
      <c r="D771" s="176"/>
      <c r="F771" s="167"/>
      <c r="G771" s="176"/>
      <c r="H771" s="176"/>
    </row>
    <row r="772" spans="1:8" ht="16.5" customHeight="1">
      <c r="A772" s="46"/>
      <c r="D772" s="176"/>
      <c r="F772" s="167"/>
      <c r="G772" s="176"/>
      <c r="H772" s="176"/>
    </row>
    <row r="773" spans="1:8" ht="16.5" customHeight="1">
      <c r="A773" s="46"/>
      <c r="D773" s="176"/>
      <c r="F773" s="167"/>
      <c r="G773" s="176"/>
      <c r="H773" s="176"/>
    </row>
    <row r="774" spans="1:8" ht="16.5" customHeight="1">
      <c r="A774" s="46"/>
      <c r="D774" s="176"/>
      <c r="F774" s="167"/>
      <c r="G774" s="176"/>
      <c r="H774" s="176"/>
    </row>
    <row r="775" spans="1:8" ht="16.5" customHeight="1">
      <c r="A775" s="46"/>
      <c r="D775" s="176"/>
      <c r="F775" s="167"/>
      <c r="G775" s="176"/>
      <c r="H775" s="176"/>
    </row>
    <row r="776" spans="1:8" ht="16.5" customHeight="1">
      <c r="A776" s="46"/>
      <c r="D776" s="176"/>
      <c r="F776" s="167"/>
      <c r="G776" s="176"/>
      <c r="H776" s="176"/>
    </row>
    <row r="777" spans="1:8" ht="16.5" customHeight="1">
      <c r="A777" s="46"/>
      <c r="D777" s="176"/>
      <c r="F777" s="167"/>
      <c r="G777" s="176"/>
      <c r="H777" s="176"/>
    </row>
    <row r="778" spans="1:8" ht="16.5" customHeight="1">
      <c r="A778" s="46"/>
      <c r="D778" s="176"/>
      <c r="F778" s="167"/>
      <c r="G778" s="176"/>
      <c r="H778" s="176"/>
    </row>
    <row r="779" spans="1:8" ht="16.5" customHeight="1">
      <c r="A779" s="46"/>
      <c r="D779" s="176"/>
      <c r="F779" s="167"/>
      <c r="G779" s="176"/>
      <c r="H779" s="176"/>
    </row>
    <row r="780" spans="1:8" ht="16.5" customHeight="1">
      <c r="A780" s="46"/>
      <c r="D780" s="176"/>
      <c r="F780" s="167"/>
      <c r="G780" s="176"/>
      <c r="H780" s="176"/>
    </row>
    <row r="781" spans="1:8" ht="16.5" customHeight="1">
      <c r="A781" s="46"/>
      <c r="D781" s="176"/>
      <c r="F781" s="167"/>
      <c r="G781" s="176"/>
      <c r="H781" s="176"/>
    </row>
    <row r="782" spans="1:8" ht="16.5" customHeight="1">
      <c r="A782" s="46"/>
      <c r="D782" s="176"/>
      <c r="F782" s="167"/>
      <c r="G782" s="176"/>
      <c r="H782" s="176"/>
    </row>
    <row r="783" spans="1:8" ht="16.5" customHeight="1">
      <c r="A783" s="46"/>
      <c r="D783" s="176"/>
      <c r="F783" s="167"/>
      <c r="G783" s="176"/>
      <c r="H783" s="176"/>
    </row>
    <row r="784" spans="1:8" ht="16.5" customHeight="1">
      <c r="A784" s="46"/>
      <c r="D784" s="176"/>
      <c r="F784" s="167"/>
      <c r="G784" s="176"/>
      <c r="H784" s="176"/>
    </row>
    <row r="785" spans="1:8" ht="16.5" customHeight="1">
      <c r="A785" s="46"/>
      <c r="D785" s="176"/>
      <c r="F785" s="167"/>
      <c r="G785" s="176"/>
      <c r="H785" s="176"/>
    </row>
    <row r="786" spans="1:8" ht="16.5" customHeight="1">
      <c r="A786" s="46"/>
      <c r="D786" s="176"/>
      <c r="F786" s="167"/>
      <c r="G786" s="176"/>
      <c r="H786" s="176"/>
    </row>
    <row r="787" spans="1:8" ht="16.5" customHeight="1">
      <c r="A787" s="46"/>
      <c r="D787" s="176"/>
      <c r="F787" s="167"/>
      <c r="G787" s="176"/>
      <c r="H787" s="176"/>
    </row>
    <row r="788" spans="1:8" ht="16.5" customHeight="1">
      <c r="A788" s="46"/>
      <c r="D788" s="176"/>
      <c r="F788" s="167"/>
      <c r="G788" s="176"/>
      <c r="H788" s="176"/>
    </row>
    <row r="789" spans="1:8" ht="16.5" customHeight="1">
      <c r="A789" s="46"/>
      <c r="D789" s="176"/>
      <c r="F789" s="167"/>
      <c r="G789" s="176"/>
      <c r="H789" s="176"/>
    </row>
    <row r="790" spans="1:8" ht="16.5" customHeight="1">
      <c r="A790" s="46"/>
      <c r="D790" s="176"/>
      <c r="F790" s="167"/>
      <c r="G790" s="176"/>
      <c r="H790" s="176"/>
    </row>
    <row r="791" spans="1:8" ht="16.5" customHeight="1">
      <c r="A791" s="46"/>
      <c r="D791" s="176"/>
      <c r="F791" s="167"/>
      <c r="G791" s="176"/>
      <c r="H791" s="176"/>
    </row>
    <row r="792" spans="1:8" ht="16.5" customHeight="1">
      <c r="A792" s="46"/>
      <c r="D792" s="176"/>
      <c r="F792" s="167"/>
      <c r="G792" s="176"/>
      <c r="H792" s="176"/>
    </row>
    <row r="793" spans="1:8" ht="16.5" customHeight="1">
      <c r="A793" s="46"/>
      <c r="D793" s="176"/>
      <c r="F793" s="167"/>
      <c r="G793" s="176"/>
      <c r="H793" s="176"/>
    </row>
    <row r="794" spans="1:8" ht="16.5" customHeight="1">
      <c r="A794" s="46"/>
      <c r="D794" s="176"/>
      <c r="F794" s="167"/>
      <c r="G794" s="176"/>
      <c r="H794" s="176"/>
    </row>
    <row r="795" spans="1:8" ht="16.5" customHeight="1">
      <c r="A795" s="46"/>
      <c r="D795" s="176"/>
      <c r="F795" s="167"/>
      <c r="G795" s="176"/>
      <c r="H795" s="176"/>
    </row>
    <row r="796" spans="1:8" ht="16.5" customHeight="1">
      <c r="A796" s="46"/>
      <c r="D796" s="176"/>
      <c r="F796" s="167"/>
      <c r="G796" s="176"/>
      <c r="H796" s="176"/>
    </row>
    <row r="797" spans="1:8" ht="16.5" customHeight="1">
      <c r="A797" s="46"/>
      <c r="D797" s="176"/>
      <c r="F797" s="167"/>
      <c r="G797" s="176"/>
      <c r="H797" s="176"/>
    </row>
    <row r="798" spans="1:8" ht="16.5" customHeight="1">
      <c r="A798" s="46"/>
      <c r="D798" s="176"/>
      <c r="F798" s="167"/>
      <c r="G798" s="176"/>
      <c r="H798" s="176"/>
    </row>
    <row r="799" spans="1:8" ht="16.5" customHeight="1">
      <c r="A799" s="46"/>
      <c r="D799" s="176"/>
      <c r="F799" s="167"/>
      <c r="G799" s="176"/>
      <c r="H799" s="176"/>
    </row>
    <row r="800" spans="1:8" ht="16.5" customHeight="1">
      <c r="A800" s="46"/>
      <c r="D800" s="176"/>
      <c r="F800" s="167"/>
      <c r="G800" s="176"/>
      <c r="H800" s="176"/>
    </row>
    <row r="801" spans="1:8" ht="16.5" customHeight="1">
      <c r="A801" s="46"/>
      <c r="D801" s="176"/>
      <c r="F801" s="167"/>
      <c r="G801" s="176"/>
      <c r="H801" s="176"/>
    </row>
    <row r="802" spans="1:8" ht="16.5" customHeight="1">
      <c r="A802" s="46"/>
      <c r="D802" s="176"/>
      <c r="F802" s="167"/>
      <c r="G802" s="176"/>
      <c r="H802" s="176"/>
    </row>
    <row r="803" spans="1:8" ht="16.5" customHeight="1">
      <c r="A803" s="46"/>
      <c r="D803" s="176"/>
      <c r="F803" s="167"/>
      <c r="G803" s="176"/>
      <c r="H803" s="176"/>
    </row>
    <row r="804" spans="1:8" ht="16.5" customHeight="1">
      <c r="A804" s="46"/>
      <c r="D804" s="176"/>
      <c r="F804" s="167"/>
      <c r="G804" s="176"/>
      <c r="H804" s="176"/>
    </row>
    <row r="805" spans="1:8" ht="16.5" customHeight="1">
      <c r="A805" s="46"/>
      <c r="D805" s="176"/>
      <c r="F805" s="167"/>
      <c r="G805" s="176"/>
      <c r="H805" s="176"/>
    </row>
    <row r="806" spans="1:8" ht="16.5" customHeight="1">
      <c r="A806" s="46"/>
      <c r="D806" s="176"/>
      <c r="F806" s="167"/>
      <c r="G806" s="176"/>
      <c r="H806" s="176"/>
    </row>
    <row r="807" spans="1:8" ht="16.5" customHeight="1">
      <c r="A807" s="46"/>
      <c r="D807" s="176"/>
      <c r="F807" s="167"/>
      <c r="G807" s="176"/>
      <c r="H807" s="176"/>
    </row>
    <row r="808" spans="1:8" ht="16.5" customHeight="1">
      <c r="A808" s="46"/>
      <c r="D808" s="176"/>
      <c r="F808" s="167"/>
      <c r="G808" s="176"/>
      <c r="H808" s="176"/>
    </row>
    <row r="809" spans="1:8" ht="16.5" customHeight="1">
      <c r="A809" s="46"/>
      <c r="D809" s="176"/>
      <c r="F809" s="167"/>
      <c r="G809" s="176"/>
      <c r="H809" s="176"/>
    </row>
    <row r="810" spans="1:8" ht="16.5" customHeight="1">
      <c r="A810" s="46"/>
      <c r="D810" s="176"/>
      <c r="F810" s="167"/>
      <c r="G810" s="176"/>
      <c r="H810" s="176"/>
    </row>
    <row r="811" spans="1:8" ht="16.5" customHeight="1">
      <c r="A811" s="46"/>
      <c r="D811" s="176"/>
      <c r="F811" s="167"/>
      <c r="G811" s="176"/>
      <c r="H811" s="176"/>
    </row>
    <row r="812" spans="1:8" ht="16.5" customHeight="1">
      <c r="A812" s="46"/>
      <c r="D812" s="176"/>
      <c r="F812" s="167"/>
      <c r="G812" s="176"/>
      <c r="H812" s="176"/>
    </row>
    <row r="813" spans="1:8" ht="16.5" customHeight="1">
      <c r="A813" s="46"/>
      <c r="D813" s="176"/>
      <c r="F813" s="167"/>
      <c r="G813" s="176"/>
      <c r="H813" s="176"/>
    </row>
    <row r="814" spans="1:8" ht="16.5" customHeight="1">
      <c r="A814" s="46"/>
      <c r="D814" s="176"/>
      <c r="F814" s="167"/>
      <c r="G814" s="176"/>
      <c r="H814" s="176"/>
    </row>
    <row r="815" spans="1:8" ht="16.5" customHeight="1">
      <c r="A815" s="46"/>
      <c r="D815" s="176"/>
      <c r="F815" s="167"/>
      <c r="G815" s="176"/>
      <c r="H815" s="176"/>
    </row>
    <row r="816" spans="1:8" ht="16.5" customHeight="1">
      <c r="A816" s="46"/>
      <c r="D816" s="176"/>
      <c r="F816" s="167"/>
      <c r="G816" s="176"/>
      <c r="H816" s="176"/>
    </row>
    <row r="817" spans="1:8" ht="16.5" customHeight="1">
      <c r="A817" s="46"/>
      <c r="D817" s="176"/>
      <c r="F817" s="167"/>
      <c r="G817" s="176"/>
      <c r="H817" s="176"/>
    </row>
    <row r="818" spans="1:8" ht="16.5" customHeight="1">
      <c r="A818" s="46"/>
      <c r="D818" s="176"/>
      <c r="F818" s="167"/>
      <c r="G818" s="176"/>
      <c r="H818" s="176"/>
    </row>
    <row r="819" spans="1:8" ht="16.5" customHeight="1">
      <c r="A819" s="46"/>
      <c r="D819" s="176"/>
      <c r="F819" s="167"/>
      <c r="G819" s="176"/>
      <c r="H819" s="176"/>
    </row>
    <row r="820" spans="1:8" ht="16.5" customHeight="1">
      <c r="A820" s="46"/>
      <c r="D820" s="176"/>
      <c r="F820" s="167"/>
      <c r="G820" s="176"/>
      <c r="H820" s="176"/>
    </row>
    <row r="821" spans="1:8" ht="16.5" customHeight="1">
      <c r="A821" s="46"/>
      <c r="D821" s="176"/>
      <c r="F821" s="167"/>
      <c r="G821" s="176"/>
      <c r="H821" s="176"/>
    </row>
    <row r="822" spans="1:8" ht="16.5" customHeight="1">
      <c r="A822" s="46"/>
      <c r="D822" s="176"/>
      <c r="F822" s="167"/>
      <c r="G822" s="176"/>
      <c r="H822" s="176"/>
    </row>
    <row r="823" spans="1:8" ht="16.5" customHeight="1">
      <c r="A823" s="46"/>
      <c r="D823" s="176"/>
      <c r="F823" s="167"/>
      <c r="G823" s="176"/>
      <c r="H823" s="176"/>
    </row>
    <row r="824" spans="1:8" ht="16.5" customHeight="1">
      <c r="A824" s="46"/>
      <c r="D824" s="176"/>
      <c r="F824" s="167"/>
      <c r="G824" s="176"/>
      <c r="H824" s="176"/>
    </row>
    <row r="825" spans="1:8" ht="16.5" customHeight="1">
      <c r="A825" s="46"/>
      <c r="D825" s="176"/>
      <c r="F825" s="167"/>
      <c r="G825" s="176"/>
      <c r="H825" s="176"/>
    </row>
    <row r="826" spans="1:8" ht="16.5" customHeight="1">
      <c r="A826" s="46"/>
      <c r="D826" s="176"/>
      <c r="F826" s="167"/>
      <c r="G826" s="176"/>
      <c r="H826" s="176"/>
    </row>
    <row r="827" spans="1:8" ht="16.5" customHeight="1">
      <c r="A827" s="46"/>
      <c r="D827" s="176"/>
      <c r="F827" s="167"/>
      <c r="G827" s="176"/>
      <c r="H827" s="176"/>
    </row>
    <row r="828" spans="1:8" ht="16.5" customHeight="1">
      <c r="A828" s="46"/>
      <c r="D828" s="176"/>
      <c r="F828" s="167"/>
      <c r="G828" s="176"/>
      <c r="H828" s="176"/>
    </row>
    <row r="829" spans="1:8" ht="16.5" customHeight="1">
      <c r="A829" s="46"/>
      <c r="D829" s="176"/>
      <c r="F829" s="167"/>
      <c r="G829" s="176"/>
      <c r="H829" s="176"/>
    </row>
    <row r="830" spans="1:8" ht="16.5" customHeight="1">
      <c r="A830" s="46"/>
      <c r="D830" s="176"/>
      <c r="F830" s="167"/>
      <c r="G830" s="176"/>
      <c r="H830" s="176"/>
    </row>
    <row r="831" spans="1:8" ht="16.5" customHeight="1">
      <c r="A831" s="46"/>
      <c r="D831" s="176"/>
      <c r="F831" s="167"/>
      <c r="G831" s="176"/>
      <c r="H831" s="176"/>
    </row>
    <row r="832" spans="1:8" ht="16.5" customHeight="1">
      <c r="A832" s="46"/>
      <c r="D832" s="176"/>
      <c r="F832" s="167"/>
      <c r="G832" s="176"/>
      <c r="H832" s="176"/>
    </row>
    <row r="833" spans="1:8" ht="16.5" customHeight="1">
      <c r="A833" s="46"/>
      <c r="D833" s="176"/>
      <c r="F833" s="167"/>
      <c r="G833" s="176"/>
      <c r="H833" s="176"/>
    </row>
    <row r="834" spans="1:8" ht="16.5" customHeight="1">
      <c r="A834" s="46"/>
      <c r="D834" s="176"/>
      <c r="F834" s="167"/>
      <c r="G834" s="176"/>
      <c r="H834" s="176"/>
    </row>
    <row r="835" spans="1:8" ht="16.5" customHeight="1">
      <c r="A835" s="46"/>
      <c r="D835" s="176"/>
      <c r="F835" s="167"/>
      <c r="G835" s="176"/>
      <c r="H835" s="176"/>
    </row>
    <row r="836" spans="1:8" ht="16.5" customHeight="1">
      <c r="A836" s="46"/>
      <c r="D836" s="176"/>
      <c r="F836" s="167"/>
      <c r="G836" s="176"/>
      <c r="H836" s="176"/>
    </row>
    <row r="837" spans="1:8" ht="16.5" customHeight="1">
      <c r="A837" s="46"/>
      <c r="D837" s="176"/>
      <c r="F837" s="167"/>
      <c r="G837" s="176"/>
      <c r="H837" s="176"/>
    </row>
    <row r="838" spans="1:8" ht="16.5" customHeight="1">
      <c r="A838" s="46"/>
      <c r="D838" s="176"/>
      <c r="F838" s="167"/>
      <c r="G838" s="176"/>
      <c r="H838" s="176"/>
    </row>
    <row r="839" spans="1:8" ht="16.5" customHeight="1">
      <c r="A839" s="46"/>
      <c r="D839" s="176"/>
      <c r="F839" s="167"/>
      <c r="G839" s="176"/>
      <c r="H839" s="176"/>
    </row>
    <row r="840" spans="1:8" ht="16.5" customHeight="1">
      <c r="A840" s="46"/>
      <c r="D840" s="176"/>
      <c r="F840" s="167"/>
      <c r="G840" s="176"/>
      <c r="H840" s="176"/>
    </row>
    <row r="841" spans="1:8" ht="16.5" customHeight="1">
      <c r="A841" s="46"/>
      <c r="D841" s="176"/>
      <c r="F841" s="167"/>
      <c r="G841" s="176"/>
      <c r="H841" s="176"/>
    </row>
    <row r="842" spans="1:8" ht="16.5" customHeight="1">
      <c r="A842" s="46"/>
      <c r="D842" s="176"/>
      <c r="F842" s="167"/>
      <c r="G842" s="176"/>
      <c r="H842" s="176"/>
    </row>
    <row r="843" spans="1:8" ht="16.5" customHeight="1">
      <c r="A843" s="46"/>
      <c r="D843" s="176"/>
      <c r="F843" s="167"/>
      <c r="G843" s="176"/>
      <c r="H843" s="176"/>
    </row>
    <row r="844" spans="1:8" ht="16.5" customHeight="1">
      <c r="A844" s="46"/>
      <c r="D844" s="176"/>
      <c r="F844" s="167"/>
      <c r="G844" s="176"/>
      <c r="H844" s="176"/>
    </row>
    <row r="845" spans="1:8" ht="16.5" customHeight="1">
      <c r="A845" s="46"/>
      <c r="D845" s="176"/>
      <c r="F845" s="167"/>
      <c r="G845" s="176"/>
      <c r="H845" s="176"/>
    </row>
    <row r="846" spans="1:8" ht="16.5" customHeight="1">
      <c r="A846" s="46"/>
      <c r="D846" s="176"/>
      <c r="F846" s="167"/>
      <c r="G846" s="176"/>
      <c r="H846" s="176"/>
    </row>
    <row r="847" spans="1:8" ht="16.5" customHeight="1">
      <c r="A847" s="46"/>
      <c r="D847" s="176"/>
      <c r="F847" s="167"/>
      <c r="G847" s="176"/>
      <c r="H847" s="176"/>
    </row>
    <row r="848" spans="1:8" ht="16.5" customHeight="1">
      <c r="A848" s="46"/>
      <c r="D848" s="176"/>
      <c r="F848" s="167"/>
      <c r="G848" s="176"/>
      <c r="H848" s="176"/>
    </row>
    <row r="849" spans="1:8" ht="16.5" customHeight="1">
      <c r="A849" s="46"/>
      <c r="D849" s="176"/>
      <c r="F849" s="167"/>
      <c r="G849" s="176"/>
      <c r="H849" s="176"/>
    </row>
    <row r="850" spans="1:8" ht="16.5" customHeight="1">
      <c r="A850" s="46"/>
      <c r="D850" s="176"/>
      <c r="F850" s="167"/>
      <c r="G850" s="176"/>
      <c r="H850" s="176"/>
    </row>
    <row r="851" spans="1:8" ht="16.5" customHeight="1">
      <c r="A851" s="46"/>
      <c r="D851" s="176"/>
      <c r="F851" s="167"/>
      <c r="G851" s="176"/>
      <c r="H851" s="176"/>
    </row>
    <row r="852" spans="1:8" ht="16.5" customHeight="1">
      <c r="A852" s="46"/>
      <c r="D852" s="176"/>
      <c r="F852" s="167"/>
      <c r="G852" s="176"/>
      <c r="H852" s="176"/>
    </row>
    <row r="853" spans="1:8" ht="16.5" customHeight="1">
      <c r="A853" s="46"/>
      <c r="D853" s="176"/>
      <c r="F853" s="167"/>
      <c r="G853" s="176"/>
      <c r="H853" s="176"/>
    </row>
    <row r="854" spans="1:8" ht="16.5" customHeight="1">
      <c r="A854" s="46"/>
      <c r="D854" s="176"/>
      <c r="F854" s="167"/>
      <c r="G854" s="176"/>
      <c r="H854" s="176"/>
    </row>
    <row r="855" spans="1:8" ht="16.5" customHeight="1">
      <c r="A855" s="46"/>
      <c r="D855" s="176"/>
      <c r="F855" s="167"/>
      <c r="G855" s="176"/>
      <c r="H855" s="176"/>
    </row>
    <row r="856" spans="1:8" ht="16.5" customHeight="1">
      <c r="A856" s="46"/>
      <c r="D856" s="176"/>
      <c r="F856" s="167"/>
      <c r="G856" s="176"/>
      <c r="H856" s="176"/>
    </row>
    <row r="857" spans="1:8" ht="16.5" customHeight="1">
      <c r="A857" s="46"/>
      <c r="D857" s="176"/>
      <c r="F857" s="167"/>
      <c r="G857" s="176"/>
      <c r="H857" s="176"/>
    </row>
    <row r="858" spans="1:8" ht="16.5" customHeight="1">
      <c r="A858" s="46"/>
      <c r="D858" s="176"/>
      <c r="F858" s="167"/>
      <c r="G858" s="176"/>
      <c r="H858" s="176"/>
    </row>
    <row r="859" spans="1:8" ht="16.5" customHeight="1">
      <c r="A859" s="46"/>
      <c r="D859" s="176"/>
      <c r="F859" s="167"/>
      <c r="G859" s="176"/>
      <c r="H859" s="176"/>
    </row>
    <row r="860" spans="1:8" ht="16.5" customHeight="1">
      <c r="A860" s="46"/>
      <c r="D860" s="176"/>
      <c r="F860" s="167"/>
      <c r="G860" s="176"/>
      <c r="H860" s="176"/>
    </row>
    <row r="861" spans="1:8" ht="16.5" customHeight="1">
      <c r="A861" s="46"/>
      <c r="D861" s="176"/>
      <c r="F861" s="167"/>
      <c r="G861" s="176"/>
      <c r="H861" s="176"/>
    </row>
    <row r="862" spans="1:8" ht="16.5" customHeight="1">
      <c r="A862" s="46"/>
      <c r="D862" s="176"/>
      <c r="F862" s="167"/>
      <c r="G862" s="176"/>
      <c r="H862" s="176"/>
    </row>
    <row r="863" spans="1:8" ht="16.5" customHeight="1">
      <c r="A863" s="46"/>
      <c r="D863" s="176"/>
      <c r="F863" s="167"/>
      <c r="G863" s="176"/>
      <c r="H863" s="176"/>
    </row>
    <row r="864" spans="1:8" ht="16.5" customHeight="1">
      <c r="A864" s="46"/>
      <c r="D864" s="176"/>
      <c r="F864" s="167"/>
      <c r="G864" s="176"/>
      <c r="H864" s="176"/>
    </row>
    <row r="865" spans="1:8" ht="16.5" customHeight="1">
      <c r="A865" s="46"/>
      <c r="D865" s="176"/>
      <c r="F865" s="167"/>
      <c r="G865" s="176"/>
      <c r="H865" s="176"/>
    </row>
    <row r="866" spans="1:8" ht="16.5" customHeight="1">
      <c r="A866" s="46"/>
      <c r="D866" s="176"/>
      <c r="F866" s="167"/>
      <c r="G866" s="176"/>
      <c r="H866" s="176"/>
    </row>
    <row r="867" spans="1:8" ht="16.5" customHeight="1">
      <c r="A867" s="46"/>
      <c r="D867" s="176"/>
      <c r="F867" s="167"/>
      <c r="G867" s="176"/>
      <c r="H867" s="176"/>
    </row>
    <row r="868" spans="1:8" ht="16.5" customHeight="1">
      <c r="A868" s="46"/>
      <c r="D868" s="176"/>
      <c r="F868" s="167"/>
      <c r="G868" s="176"/>
      <c r="H868" s="176"/>
    </row>
    <row r="869" spans="1:8" ht="16.5" customHeight="1">
      <c r="A869" s="46"/>
      <c r="D869" s="176"/>
      <c r="F869" s="167"/>
      <c r="G869" s="176"/>
      <c r="H869" s="176"/>
    </row>
    <row r="870" spans="1:8" ht="16.5" customHeight="1">
      <c r="A870" s="46"/>
      <c r="D870" s="176"/>
      <c r="F870" s="167"/>
      <c r="G870" s="176"/>
      <c r="H870" s="176"/>
    </row>
    <row r="871" spans="1:8" ht="16.5" customHeight="1">
      <c r="A871" s="46"/>
      <c r="D871" s="176"/>
      <c r="F871" s="167"/>
      <c r="G871" s="176"/>
      <c r="H871" s="176"/>
    </row>
    <row r="872" spans="1:8" ht="16.5" customHeight="1">
      <c r="A872" s="46"/>
      <c r="D872" s="176"/>
      <c r="F872" s="167"/>
      <c r="G872" s="176"/>
      <c r="H872" s="176"/>
    </row>
    <row r="873" spans="1:8" ht="16.5" customHeight="1">
      <c r="A873" s="46"/>
      <c r="D873" s="176"/>
      <c r="F873" s="167"/>
      <c r="G873" s="176"/>
      <c r="H873" s="176"/>
    </row>
    <row r="874" spans="1:8" ht="16.5" customHeight="1">
      <c r="A874" s="46"/>
      <c r="D874" s="176"/>
      <c r="F874" s="167"/>
      <c r="G874" s="176"/>
      <c r="H874" s="176"/>
    </row>
    <row r="875" spans="1:8" ht="16.5" customHeight="1">
      <c r="A875" s="46"/>
      <c r="D875" s="176"/>
      <c r="F875" s="167"/>
      <c r="G875" s="176"/>
      <c r="H875" s="176"/>
    </row>
    <row r="876" spans="1:8" ht="16.5" customHeight="1">
      <c r="A876" s="46"/>
      <c r="D876" s="176"/>
      <c r="F876" s="167"/>
      <c r="G876" s="176"/>
      <c r="H876" s="176"/>
    </row>
    <row r="877" spans="1:8" ht="16.5" customHeight="1">
      <c r="A877" s="46"/>
      <c r="D877" s="176"/>
      <c r="F877" s="167"/>
      <c r="G877" s="176"/>
      <c r="H877" s="176"/>
    </row>
    <row r="878" spans="1:8" ht="16.5" customHeight="1">
      <c r="A878" s="46"/>
      <c r="D878" s="176"/>
      <c r="F878" s="167"/>
      <c r="G878" s="176"/>
      <c r="H878" s="176"/>
    </row>
    <row r="879" spans="1:8" ht="16.5" customHeight="1">
      <c r="A879" s="46"/>
      <c r="D879" s="176"/>
      <c r="F879" s="167"/>
      <c r="G879" s="176"/>
      <c r="H879" s="176"/>
    </row>
    <row r="880" spans="1:8" ht="16.5" customHeight="1">
      <c r="A880" s="46"/>
      <c r="D880" s="176"/>
      <c r="F880" s="167"/>
      <c r="G880" s="176"/>
      <c r="H880" s="176"/>
    </row>
    <row r="881" spans="1:8" ht="16.5" customHeight="1">
      <c r="A881" s="46"/>
      <c r="D881" s="176"/>
      <c r="F881" s="167"/>
      <c r="G881" s="176"/>
      <c r="H881" s="176"/>
    </row>
    <row r="882" spans="1:8" ht="16.5" customHeight="1">
      <c r="A882" s="46"/>
      <c r="D882" s="176"/>
      <c r="F882" s="167"/>
      <c r="G882" s="176"/>
      <c r="H882" s="176"/>
    </row>
    <row r="883" spans="1:8" ht="16.5" customHeight="1">
      <c r="A883" s="46"/>
      <c r="D883" s="176"/>
      <c r="F883" s="167"/>
      <c r="G883" s="176"/>
      <c r="H883" s="176"/>
    </row>
    <row r="884" spans="1:8" ht="16.5" customHeight="1">
      <c r="A884" s="46"/>
      <c r="D884" s="176"/>
      <c r="F884" s="167"/>
      <c r="G884" s="176"/>
      <c r="H884" s="176"/>
    </row>
    <row r="885" spans="1:8" ht="16.5" customHeight="1">
      <c r="A885" s="46"/>
      <c r="D885" s="176"/>
      <c r="F885" s="167"/>
      <c r="G885" s="176"/>
      <c r="H885" s="176"/>
    </row>
    <row r="886" spans="1:8" ht="16.5" customHeight="1">
      <c r="A886" s="46"/>
      <c r="D886" s="176"/>
      <c r="F886" s="167"/>
      <c r="G886" s="176"/>
      <c r="H886" s="176"/>
    </row>
    <row r="887" spans="1:8" ht="16.5" customHeight="1">
      <c r="A887" s="46"/>
      <c r="D887" s="176"/>
      <c r="F887" s="167"/>
      <c r="G887" s="176"/>
      <c r="H887" s="176"/>
    </row>
    <row r="888" spans="1:8" ht="16.5" customHeight="1">
      <c r="A888" s="46"/>
      <c r="D888" s="176"/>
      <c r="F888" s="167"/>
      <c r="G888" s="176"/>
      <c r="H888" s="176"/>
    </row>
    <row r="889" spans="1:8" ht="16.5" customHeight="1">
      <c r="A889" s="46"/>
      <c r="D889" s="176"/>
      <c r="F889" s="167"/>
      <c r="G889" s="176"/>
      <c r="H889" s="176"/>
    </row>
    <row r="890" spans="1:8" ht="16.5" customHeight="1">
      <c r="A890" s="46"/>
      <c r="D890" s="176"/>
      <c r="F890" s="167"/>
      <c r="G890" s="176"/>
      <c r="H890" s="176"/>
    </row>
    <row r="891" spans="1:8" ht="16.5" customHeight="1">
      <c r="A891" s="46"/>
      <c r="D891" s="176"/>
      <c r="F891" s="167"/>
      <c r="G891" s="176"/>
      <c r="H891" s="176"/>
    </row>
    <row r="892" spans="1:8" ht="16.5" customHeight="1">
      <c r="A892" s="46"/>
      <c r="D892" s="176"/>
      <c r="F892" s="167"/>
      <c r="G892" s="176"/>
      <c r="H892" s="176"/>
    </row>
    <row r="893" spans="1:8" ht="16.5" customHeight="1">
      <c r="A893" s="46"/>
      <c r="D893" s="176"/>
      <c r="F893" s="167"/>
      <c r="G893" s="176"/>
      <c r="H893" s="176"/>
    </row>
    <row r="894" spans="1:8" ht="16.5" customHeight="1">
      <c r="A894" s="46"/>
      <c r="D894" s="176"/>
      <c r="F894" s="167"/>
      <c r="G894" s="176"/>
      <c r="H894" s="176"/>
    </row>
    <row r="895" spans="1:8" ht="16.5" customHeight="1">
      <c r="A895" s="46"/>
      <c r="D895" s="176"/>
      <c r="F895" s="167"/>
      <c r="G895" s="176"/>
      <c r="H895" s="176"/>
    </row>
    <row r="896" spans="1:8" ht="16.5" customHeight="1">
      <c r="A896" s="46"/>
      <c r="D896" s="176"/>
      <c r="F896" s="167"/>
      <c r="G896" s="176"/>
      <c r="H896" s="176"/>
    </row>
    <row r="897" spans="1:8" ht="16.5" customHeight="1">
      <c r="A897" s="46"/>
      <c r="D897" s="176"/>
      <c r="F897" s="167"/>
      <c r="G897" s="176"/>
      <c r="H897" s="176"/>
    </row>
    <row r="898" spans="1:8" ht="16.5" customHeight="1">
      <c r="A898" s="46"/>
      <c r="D898" s="176"/>
      <c r="F898" s="167"/>
      <c r="G898" s="176"/>
      <c r="H898" s="176"/>
    </row>
    <row r="899" spans="1:8" ht="16.5" customHeight="1">
      <c r="A899" s="46"/>
      <c r="D899" s="176"/>
      <c r="F899" s="167"/>
      <c r="G899" s="176"/>
      <c r="H899" s="176"/>
    </row>
    <row r="900" spans="1:8" ht="16.5" customHeight="1">
      <c r="A900" s="46"/>
      <c r="D900" s="176"/>
      <c r="F900" s="167"/>
      <c r="G900" s="176"/>
      <c r="H900" s="176"/>
    </row>
    <row r="901" spans="1:8" ht="16.5" customHeight="1">
      <c r="A901" s="46"/>
      <c r="D901" s="176"/>
      <c r="F901" s="167"/>
      <c r="G901" s="176"/>
      <c r="H901" s="176"/>
    </row>
    <row r="902" spans="1:8" ht="16.5" customHeight="1">
      <c r="A902" s="46"/>
      <c r="D902" s="176"/>
      <c r="F902" s="167"/>
      <c r="G902" s="176"/>
      <c r="H902" s="176"/>
    </row>
    <row r="903" spans="1:8" ht="16.5" customHeight="1">
      <c r="A903" s="46"/>
      <c r="D903" s="176"/>
      <c r="F903" s="167"/>
      <c r="G903" s="176"/>
      <c r="H903" s="176"/>
    </row>
    <row r="904" spans="1:8" ht="16.5" customHeight="1">
      <c r="A904" s="46"/>
      <c r="D904" s="176"/>
      <c r="F904" s="167"/>
      <c r="G904" s="176"/>
      <c r="H904" s="176"/>
    </row>
    <row r="905" spans="1:8" ht="16.5" customHeight="1">
      <c r="A905" s="46"/>
      <c r="D905" s="176"/>
      <c r="F905" s="167"/>
      <c r="G905" s="176"/>
      <c r="H905" s="176"/>
    </row>
    <row r="906" spans="1:8" ht="16.5" customHeight="1">
      <c r="A906" s="46"/>
      <c r="D906" s="176"/>
      <c r="F906" s="167"/>
      <c r="G906" s="176"/>
      <c r="H906" s="176"/>
    </row>
    <row r="907" spans="1:8" ht="16.5" customHeight="1">
      <c r="A907" s="46"/>
      <c r="D907" s="176"/>
      <c r="F907" s="167"/>
      <c r="G907" s="176"/>
      <c r="H907" s="176"/>
    </row>
    <row r="908" spans="1:8" ht="16.5" customHeight="1">
      <c r="A908" s="46"/>
      <c r="D908" s="176"/>
      <c r="F908" s="167"/>
      <c r="G908" s="176"/>
      <c r="H908" s="176"/>
    </row>
    <row r="909" spans="1:8" ht="16.5" customHeight="1">
      <c r="A909" s="46"/>
      <c r="D909" s="176"/>
      <c r="F909" s="167"/>
      <c r="G909" s="176"/>
      <c r="H909" s="176"/>
    </row>
    <row r="910" spans="1:8" ht="16.5" customHeight="1">
      <c r="A910" s="46"/>
      <c r="D910" s="176"/>
      <c r="F910" s="167"/>
      <c r="G910" s="176"/>
      <c r="H910" s="176"/>
    </row>
    <row r="911" spans="1:8" ht="16.5" customHeight="1">
      <c r="A911" s="46"/>
      <c r="D911" s="176"/>
      <c r="F911" s="167"/>
      <c r="G911" s="176"/>
      <c r="H911" s="176"/>
    </row>
    <row r="912" spans="1:8" ht="16.5" customHeight="1">
      <c r="A912" s="46"/>
      <c r="D912" s="176"/>
      <c r="F912" s="167"/>
      <c r="G912" s="176"/>
      <c r="H912" s="176"/>
    </row>
    <row r="913" spans="1:8" ht="16.5" customHeight="1">
      <c r="A913" s="46"/>
      <c r="D913" s="176"/>
      <c r="F913" s="167"/>
      <c r="G913" s="176"/>
      <c r="H913" s="176"/>
    </row>
    <row r="914" spans="1:8" ht="16.5" customHeight="1">
      <c r="A914" s="46"/>
      <c r="D914" s="176"/>
      <c r="F914" s="167"/>
      <c r="G914" s="176"/>
      <c r="H914" s="176"/>
    </row>
    <row r="915" spans="1:8" ht="16.5" customHeight="1">
      <c r="A915" s="46"/>
      <c r="D915" s="176"/>
      <c r="F915" s="167"/>
      <c r="G915" s="176"/>
      <c r="H915" s="176"/>
    </row>
    <row r="916" spans="1:8" ht="16.5" customHeight="1">
      <c r="A916" s="46"/>
      <c r="D916" s="176"/>
      <c r="F916" s="167"/>
      <c r="G916" s="176"/>
      <c r="H916" s="176"/>
    </row>
    <row r="917" spans="1:8" ht="16.5" customHeight="1">
      <c r="A917" s="46"/>
      <c r="D917" s="176"/>
      <c r="F917" s="167"/>
      <c r="G917" s="176"/>
      <c r="H917" s="176"/>
    </row>
    <row r="918" spans="1:8" ht="16.5" customHeight="1">
      <c r="A918" s="46"/>
      <c r="D918" s="176"/>
      <c r="F918" s="167"/>
      <c r="G918" s="176"/>
      <c r="H918" s="176"/>
    </row>
    <row r="919" spans="1:8" ht="16.5" customHeight="1">
      <c r="A919" s="46"/>
      <c r="D919" s="176"/>
      <c r="F919" s="167"/>
      <c r="G919" s="176"/>
      <c r="H919" s="176"/>
    </row>
    <row r="920" spans="1:8" ht="16.5" customHeight="1">
      <c r="A920" s="46"/>
      <c r="D920" s="176"/>
      <c r="F920" s="167"/>
      <c r="G920" s="176"/>
      <c r="H920" s="176"/>
    </row>
    <row r="921" spans="1:8" ht="16.5" customHeight="1">
      <c r="A921" s="46"/>
      <c r="D921" s="176"/>
      <c r="F921" s="167"/>
      <c r="G921" s="176"/>
      <c r="H921" s="176"/>
    </row>
    <row r="922" spans="1:8" ht="16.5" customHeight="1">
      <c r="A922" s="46"/>
      <c r="D922" s="176"/>
      <c r="F922" s="167"/>
      <c r="G922" s="176"/>
      <c r="H922" s="176"/>
    </row>
    <row r="923" spans="1:8" ht="16.5" customHeight="1">
      <c r="A923" s="46"/>
      <c r="D923" s="176"/>
      <c r="F923" s="167"/>
      <c r="G923" s="176"/>
      <c r="H923" s="176"/>
    </row>
    <row r="924" spans="1:8" ht="16.5" customHeight="1">
      <c r="A924" s="46"/>
      <c r="D924" s="176"/>
      <c r="F924" s="167"/>
      <c r="G924" s="176"/>
      <c r="H924" s="176"/>
    </row>
    <row r="925" spans="1:8" ht="16.5" customHeight="1">
      <c r="A925" s="46"/>
      <c r="D925" s="176"/>
      <c r="F925" s="167"/>
      <c r="G925" s="176"/>
      <c r="H925" s="176"/>
    </row>
    <row r="926" spans="1:8" ht="16.5" customHeight="1">
      <c r="A926" s="46"/>
      <c r="D926" s="176"/>
      <c r="F926" s="167"/>
      <c r="G926" s="176"/>
      <c r="H926" s="176"/>
    </row>
    <row r="927" spans="1:8" ht="16.5" customHeight="1">
      <c r="A927" s="46"/>
      <c r="D927" s="176"/>
      <c r="F927" s="167"/>
      <c r="G927" s="176"/>
      <c r="H927" s="176"/>
    </row>
    <row r="928" spans="1:8" ht="16.5" customHeight="1">
      <c r="A928" s="46"/>
      <c r="D928" s="176"/>
      <c r="F928" s="167"/>
      <c r="G928" s="176"/>
      <c r="H928" s="176"/>
    </row>
    <row r="929" spans="1:8" ht="16.5" customHeight="1">
      <c r="A929" s="46"/>
      <c r="D929" s="176"/>
      <c r="F929" s="167"/>
      <c r="G929" s="176"/>
      <c r="H929" s="176"/>
    </row>
    <row r="930" spans="1:8" ht="16.5" customHeight="1">
      <c r="A930" s="46"/>
      <c r="D930" s="176"/>
      <c r="F930" s="167"/>
      <c r="G930" s="176"/>
      <c r="H930" s="176"/>
    </row>
    <row r="931" spans="1:8" ht="16.5" customHeight="1">
      <c r="A931" s="46"/>
      <c r="D931" s="176"/>
      <c r="F931" s="167"/>
      <c r="G931" s="176"/>
      <c r="H931" s="176"/>
    </row>
    <row r="932" spans="1:8" ht="16.5" customHeight="1">
      <c r="A932" s="46"/>
      <c r="D932" s="176"/>
      <c r="F932" s="167"/>
      <c r="G932" s="176"/>
      <c r="H932" s="176"/>
    </row>
    <row r="933" spans="1:8" ht="16.5" customHeight="1">
      <c r="A933" s="46"/>
      <c r="D933" s="176"/>
      <c r="F933" s="167"/>
      <c r="G933" s="176"/>
      <c r="H933" s="176"/>
    </row>
    <row r="934" spans="1:8" ht="16.5" customHeight="1">
      <c r="A934" s="46"/>
      <c r="D934" s="176"/>
      <c r="F934" s="167"/>
      <c r="G934" s="176"/>
      <c r="H934" s="176"/>
    </row>
    <row r="935" spans="1:8" ht="16.5" customHeight="1">
      <c r="A935" s="46"/>
      <c r="D935" s="176"/>
      <c r="F935" s="167"/>
      <c r="G935" s="176"/>
      <c r="H935" s="176"/>
    </row>
    <row r="936" spans="1:8" ht="16.5" customHeight="1">
      <c r="A936" s="46"/>
      <c r="D936" s="176"/>
      <c r="F936" s="167"/>
      <c r="G936" s="176"/>
      <c r="H936" s="176"/>
    </row>
    <row r="937" spans="1:8" ht="16.5" customHeight="1">
      <c r="A937" s="46"/>
      <c r="D937" s="176"/>
      <c r="F937" s="167"/>
      <c r="G937" s="176"/>
      <c r="H937" s="176"/>
    </row>
    <row r="938" spans="1:8" ht="16.5" customHeight="1">
      <c r="A938" s="46"/>
      <c r="D938" s="176"/>
      <c r="F938" s="167"/>
      <c r="G938" s="176"/>
      <c r="H938" s="176"/>
    </row>
    <row r="939" spans="1:8" ht="16.5" customHeight="1">
      <c r="A939" s="46"/>
      <c r="D939" s="176"/>
      <c r="F939" s="167"/>
      <c r="G939" s="176"/>
      <c r="H939" s="176"/>
    </row>
    <row r="940" spans="1:8" ht="16.5" customHeight="1">
      <c r="A940" s="46"/>
      <c r="D940" s="176"/>
      <c r="F940" s="167"/>
      <c r="G940" s="176"/>
      <c r="H940" s="176"/>
    </row>
    <row r="941" spans="1:8" ht="16.5" customHeight="1">
      <c r="A941" s="46"/>
      <c r="D941" s="176"/>
      <c r="F941" s="167"/>
      <c r="G941" s="176"/>
      <c r="H941" s="176"/>
    </row>
    <row r="942" spans="1:8" ht="16.5" customHeight="1">
      <c r="A942" s="46"/>
      <c r="D942" s="176"/>
      <c r="F942" s="167"/>
      <c r="G942" s="176"/>
      <c r="H942" s="176"/>
    </row>
    <row r="943" spans="1:8" ht="16.5" customHeight="1">
      <c r="A943" s="46"/>
      <c r="D943" s="176"/>
      <c r="F943" s="167"/>
      <c r="G943" s="176"/>
      <c r="H943" s="176"/>
    </row>
    <row r="944" spans="1:8" ht="16.5" customHeight="1">
      <c r="A944" s="46"/>
      <c r="D944" s="176"/>
      <c r="F944" s="167"/>
      <c r="G944" s="176"/>
      <c r="H944" s="176"/>
    </row>
    <row r="945" spans="1:8" ht="16.5" customHeight="1">
      <c r="A945" s="46"/>
      <c r="D945" s="176"/>
      <c r="F945" s="167"/>
      <c r="G945" s="176"/>
      <c r="H945" s="176"/>
    </row>
    <row r="946" spans="1:8" ht="16.5" customHeight="1">
      <c r="A946" s="46"/>
      <c r="D946" s="176"/>
      <c r="F946" s="167"/>
      <c r="G946" s="176"/>
      <c r="H946" s="176"/>
    </row>
    <row r="947" spans="1:8" ht="16.5" customHeight="1">
      <c r="A947" s="46"/>
      <c r="D947" s="176"/>
      <c r="F947" s="167"/>
      <c r="G947" s="176"/>
      <c r="H947" s="176"/>
    </row>
    <row r="948" spans="1:8" ht="16.5" customHeight="1">
      <c r="A948" s="46"/>
      <c r="D948" s="176"/>
      <c r="F948" s="167"/>
      <c r="G948" s="176"/>
      <c r="H948" s="176"/>
    </row>
    <row r="949" spans="1:8" ht="16.5" customHeight="1">
      <c r="A949" s="46"/>
      <c r="D949" s="176"/>
      <c r="F949" s="167"/>
      <c r="G949" s="176"/>
      <c r="H949" s="176"/>
    </row>
    <row r="950" spans="1:8" ht="16.5" customHeight="1">
      <c r="A950" s="46"/>
      <c r="D950" s="176"/>
      <c r="F950" s="167"/>
      <c r="G950" s="176"/>
      <c r="H950" s="176"/>
    </row>
    <row r="951" spans="1:8" ht="16.5" customHeight="1">
      <c r="A951" s="46"/>
      <c r="D951" s="176"/>
      <c r="F951" s="167"/>
      <c r="G951" s="176"/>
      <c r="H951" s="176"/>
    </row>
    <row r="952" spans="1:8" ht="16.5" customHeight="1">
      <c r="A952" s="46"/>
      <c r="D952" s="176"/>
      <c r="F952" s="167"/>
      <c r="G952" s="176"/>
      <c r="H952" s="176"/>
    </row>
    <row r="953" spans="1:8" ht="16.5" customHeight="1">
      <c r="A953" s="46"/>
      <c r="D953" s="176"/>
      <c r="F953" s="167"/>
      <c r="G953" s="176"/>
      <c r="H953" s="176"/>
    </row>
    <row r="954" spans="1:8" ht="16.5" customHeight="1">
      <c r="A954" s="46"/>
      <c r="D954" s="176"/>
      <c r="F954" s="167"/>
      <c r="G954" s="176"/>
      <c r="H954" s="176"/>
    </row>
    <row r="955" spans="1:8" ht="16.5" customHeight="1">
      <c r="A955" s="46"/>
      <c r="D955" s="176"/>
      <c r="F955" s="167"/>
      <c r="G955" s="176"/>
      <c r="H955" s="176"/>
    </row>
    <row r="956" spans="1:8" ht="16.5" customHeight="1">
      <c r="A956" s="46"/>
      <c r="D956" s="176"/>
      <c r="F956" s="167"/>
      <c r="G956" s="176"/>
      <c r="H956" s="176"/>
    </row>
    <row r="957" spans="1:8" ht="16.5" customHeight="1">
      <c r="A957" s="46"/>
      <c r="D957" s="176"/>
      <c r="F957" s="167"/>
      <c r="G957" s="176"/>
      <c r="H957" s="176"/>
    </row>
    <row r="958" spans="1:8" ht="16.5" customHeight="1">
      <c r="A958" s="46"/>
      <c r="D958" s="176"/>
      <c r="F958" s="167"/>
      <c r="G958" s="176"/>
      <c r="H958" s="176"/>
    </row>
    <row r="959" spans="1:8" ht="16.5" customHeight="1">
      <c r="A959" s="46"/>
      <c r="D959" s="176"/>
      <c r="F959" s="167"/>
      <c r="G959" s="176"/>
      <c r="H959" s="176"/>
    </row>
    <row r="960" spans="1:8" ht="16.5" customHeight="1">
      <c r="A960" s="46"/>
      <c r="D960" s="176"/>
      <c r="F960" s="167"/>
      <c r="G960" s="176"/>
      <c r="H960" s="176"/>
    </row>
    <row r="961" spans="1:8" ht="16.5" customHeight="1">
      <c r="A961" s="46"/>
      <c r="D961" s="176"/>
      <c r="F961" s="167"/>
      <c r="G961" s="176"/>
      <c r="H961" s="176"/>
    </row>
    <row r="962" spans="1:8" ht="16.5" customHeight="1">
      <c r="A962" s="46"/>
      <c r="D962" s="176"/>
      <c r="F962" s="167"/>
      <c r="G962" s="176"/>
      <c r="H962" s="176"/>
    </row>
    <row r="963" spans="1:8" ht="16.5" customHeight="1">
      <c r="A963" s="46"/>
      <c r="D963" s="176"/>
      <c r="F963" s="167"/>
      <c r="G963" s="176"/>
      <c r="H963" s="176"/>
    </row>
    <row r="964" spans="1:8" ht="16.5" customHeight="1">
      <c r="A964" s="46"/>
      <c r="D964" s="176"/>
      <c r="F964" s="167"/>
      <c r="G964" s="176"/>
      <c r="H964" s="176"/>
    </row>
    <row r="965" spans="1:8" ht="16.5" customHeight="1">
      <c r="A965" s="46"/>
      <c r="D965" s="176"/>
      <c r="F965" s="167"/>
      <c r="G965" s="176"/>
      <c r="H965" s="176"/>
    </row>
    <row r="966" spans="1:8" ht="16.5" customHeight="1">
      <c r="A966" s="46"/>
      <c r="D966" s="176"/>
      <c r="F966" s="167"/>
      <c r="G966" s="176"/>
      <c r="H966" s="176"/>
    </row>
    <row r="967" spans="1:8" ht="16.5" customHeight="1">
      <c r="A967" s="46"/>
      <c r="D967" s="176"/>
      <c r="F967" s="167"/>
      <c r="G967" s="176"/>
      <c r="H967" s="176"/>
    </row>
    <row r="968" spans="1:8" ht="16.5" customHeight="1">
      <c r="A968" s="46"/>
      <c r="D968" s="176"/>
      <c r="F968" s="167"/>
      <c r="G968" s="176"/>
      <c r="H968" s="176"/>
    </row>
    <row r="969" spans="1:8" ht="16.5" customHeight="1">
      <c r="A969" s="46"/>
      <c r="D969" s="176"/>
      <c r="F969" s="167"/>
      <c r="G969" s="176"/>
      <c r="H969" s="176"/>
    </row>
    <row r="970" spans="1:8" ht="16.5" customHeight="1">
      <c r="A970" s="46"/>
      <c r="D970" s="176"/>
      <c r="F970" s="167"/>
      <c r="G970" s="176"/>
      <c r="H970" s="176"/>
    </row>
    <row r="971" spans="1:8" ht="16.5" customHeight="1">
      <c r="A971" s="46"/>
      <c r="D971" s="176"/>
      <c r="F971" s="167"/>
      <c r="G971" s="176"/>
      <c r="H971" s="176"/>
    </row>
    <row r="972" spans="1:8" ht="16.5" customHeight="1">
      <c r="A972" s="46"/>
      <c r="D972" s="176"/>
      <c r="F972" s="167"/>
      <c r="G972" s="176"/>
      <c r="H972" s="176"/>
    </row>
    <row r="973" spans="1:8" ht="16.5" customHeight="1">
      <c r="A973" s="46"/>
      <c r="D973" s="176"/>
      <c r="F973" s="167"/>
      <c r="G973" s="176"/>
      <c r="H973" s="176"/>
    </row>
    <row r="974" spans="1:8" ht="16.5" customHeight="1">
      <c r="A974" s="46"/>
      <c r="D974" s="176"/>
      <c r="F974" s="167"/>
      <c r="G974" s="176"/>
      <c r="H974" s="176"/>
    </row>
    <row r="975" spans="1:8" ht="16.5" customHeight="1">
      <c r="A975" s="46"/>
      <c r="D975" s="176"/>
      <c r="F975" s="167"/>
      <c r="G975" s="176"/>
      <c r="H975" s="176"/>
    </row>
    <row r="976" spans="1:8" ht="16.5" customHeight="1">
      <c r="A976" s="46"/>
      <c r="D976" s="176"/>
      <c r="F976" s="167"/>
      <c r="G976" s="176"/>
      <c r="H976" s="176"/>
    </row>
    <row r="977" spans="1:8" ht="16.5" customHeight="1">
      <c r="A977" s="46"/>
      <c r="D977" s="176"/>
      <c r="F977" s="167"/>
      <c r="G977" s="176"/>
      <c r="H977" s="176"/>
    </row>
    <row r="978" spans="1:8" ht="16.5" customHeight="1">
      <c r="A978" s="46"/>
      <c r="D978" s="176"/>
      <c r="F978" s="167"/>
      <c r="G978" s="176"/>
      <c r="H978" s="176"/>
    </row>
    <row r="979" spans="1:8" ht="16.5" customHeight="1">
      <c r="A979" s="46"/>
      <c r="D979" s="176"/>
      <c r="F979" s="167"/>
      <c r="G979" s="176"/>
      <c r="H979" s="176"/>
    </row>
    <row r="980" spans="1:8" ht="16.5" customHeight="1">
      <c r="A980" s="46"/>
      <c r="D980" s="176"/>
      <c r="F980" s="167"/>
      <c r="G980" s="176"/>
      <c r="H980" s="176"/>
    </row>
    <row r="981" spans="1:8" ht="16.5" customHeight="1">
      <c r="A981" s="46"/>
      <c r="D981" s="176"/>
      <c r="F981" s="167"/>
      <c r="G981" s="176"/>
      <c r="H981" s="176"/>
    </row>
    <row r="982" spans="1:8" ht="16.5" customHeight="1">
      <c r="A982" s="46"/>
      <c r="D982" s="176"/>
      <c r="F982" s="167"/>
      <c r="G982" s="176"/>
      <c r="H982" s="176"/>
    </row>
    <row r="983" spans="1:8" ht="16.5" customHeight="1">
      <c r="A983" s="46"/>
      <c r="D983" s="176"/>
      <c r="F983" s="167"/>
      <c r="G983" s="176"/>
      <c r="H983" s="176"/>
    </row>
    <row r="984" spans="1:8" ht="16.5" customHeight="1">
      <c r="A984" s="46"/>
      <c r="D984" s="176"/>
      <c r="F984" s="167"/>
      <c r="G984" s="176"/>
      <c r="H984" s="176"/>
    </row>
    <row r="985" spans="1:8" ht="16.5" customHeight="1">
      <c r="A985" s="46"/>
      <c r="D985" s="176"/>
      <c r="F985" s="167"/>
      <c r="G985" s="176"/>
      <c r="H985" s="176"/>
    </row>
    <row r="986" spans="1:8" ht="16.5" customHeight="1">
      <c r="A986" s="46"/>
      <c r="D986" s="176"/>
      <c r="F986" s="167"/>
      <c r="G986" s="176"/>
      <c r="H986" s="176"/>
    </row>
    <row r="987" spans="1:8" ht="16.5" customHeight="1">
      <c r="A987" s="46"/>
      <c r="D987" s="176"/>
      <c r="F987" s="167"/>
      <c r="G987" s="176"/>
      <c r="H987" s="176"/>
    </row>
    <row r="988" spans="1:8" ht="16.5" customHeight="1">
      <c r="A988" s="46"/>
      <c r="D988" s="176"/>
      <c r="F988" s="167"/>
      <c r="G988" s="176"/>
      <c r="H988" s="176"/>
    </row>
    <row r="989" spans="1:8" ht="16.5" customHeight="1">
      <c r="A989" s="46"/>
      <c r="D989" s="176"/>
      <c r="F989" s="167"/>
      <c r="G989" s="176"/>
      <c r="H989" s="176"/>
    </row>
    <row r="990" spans="1:8" ht="16.5" customHeight="1">
      <c r="A990" s="46"/>
      <c r="D990" s="176"/>
      <c r="F990" s="167"/>
      <c r="G990" s="176"/>
      <c r="H990" s="176"/>
    </row>
    <row r="991" spans="1:8" ht="16.5" customHeight="1">
      <c r="A991" s="46"/>
      <c r="D991" s="176"/>
      <c r="F991" s="167"/>
      <c r="G991" s="176"/>
      <c r="H991" s="176"/>
    </row>
    <row r="992" spans="1:8" ht="16.5" customHeight="1">
      <c r="A992" s="46"/>
      <c r="D992" s="176"/>
      <c r="F992" s="167"/>
      <c r="G992" s="176"/>
      <c r="H992" s="176"/>
    </row>
    <row r="993" spans="1:8" ht="16.5" customHeight="1">
      <c r="A993" s="46"/>
      <c r="D993" s="176"/>
      <c r="F993" s="167"/>
      <c r="G993" s="176"/>
      <c r="H993" s="176"/>
    </row>
    <row r="994" spans="1:8" ht="16.5" customHeight="1">
      <c r="A994" s="46"/>
      <c r="D994" s="176"/>
      <c r="F994" s="167"/>
      <c r="G994" s="176"/>
      <c r="H994" s="176"/>
    </row>
    <row r="995" spans="1:8" ht="16.5" customHeight="1">
      <c r="A995" s="46"/>
      <c r="D995" s="176"/>
      <c r="F995" s="167"/>
      <c r="G995" s="176"/>
      <c r="H995" s="176"/>
    </row>
    <row r="996" spans="1:8" ht="16.5" customHeight="1">
      <c r="A996" s="46"/>
      <c r="D996" s="176"/>
      <c r="F996" s="167"/>
      <c r="G996" s="176"/>
      <c r="H996" s="176"/>
    </row>
    <row r="997" spans="1:8" ht="16.5" customHeight="1">
      <c r="A997" s="46"/>
      <c r="D997" s="176"/>
      <c r="F997" s="167"/>
      <c r="G997" s="176"/>
      <c r="H997" s="176"/>
    </row>
    <row r="998" spans="1:8" ht="16.5" customHeight="1">
      <c r="A998" s="46"/>
      <c r="D998" s="176"/>
      <c r="F998" s="167"/>
      <c r="G998" s="176"/>
      <c r="H998" s="176"/>
    </row>
    <row r="999" spans="1:8" ht="16.5" customHeight="1">
      <c r="A999" s="46"/>
      <c r="D999" s="176"/>
      <c r="F999" s="167"/>
      <c r="G999" s="176"/>
      <c r="H999" s="176"/>
    </row>
    <row r="1000" spans="1:8" ht="16.5" customHeight="1">
      <c r="A1000" s="46"/>
      <c r="D1000" s="176"/>
      <c r="F1000" s="167"/>
      <c r="G1000" s="176"/>
      <c r="H1000" s="176"/>
    </row>
  </sheetData>
  <mergeCells count="1">
    <mergeCell ref="A1:H1"/>
  </mergeCells>
  <phoneticPr fontId="65" type="noConversion"/>
  <hyperlinks>
    <hyperlink ref="G4" r:id="rId1" display="http://www.riss.kr/link?id=S19593"/>
    <hyperlink ref="G5" r:id="rId2" display="http://www.riss.kr/link?id=S11597808"/>
    <hyperlink ref="G6" r:id="rId3" display="http://www.riss.kr/link?id=S415162"/>
    <hyperlink ref="G7" r:id="rId4" display="http://www.riss.kr/link?id=S404755"/>
    <hyperlink ref="G8" r:id="rId5" display="http://www.riss.kr/link?id=S15429"/>
    <hyperlink ref="G9" r:id="rId6" display="http://www.riss.kr/link?id=S29226"/>
    <hyperlink ref="G10" r:id="rId7" display="http://www.riss.kr/link?id=S29072"/>
    <hyperlink ref="G11" r:id="rId8" display="http://www.riss.kr/link?id=S417245"/>
    <hyperlink ref="G12" r:id="rId9" display="http://www.riss.kr/link?id=S15430"/>
    <hyperlink ref="G13" r:id="rId10" display="http://www.riss.kr/link?id=S104401"/>
    <hyperlink ref="G14" r:id="rId11" display="http://www.riss.kr/link?id=S15489"/>
    <hyperlink ref="G15" r:id="rId12" display="http://www.riss.kr/link?id=S20703"/>
    <hyperlink ref="G16" r:id="rId13" display="http://www.riss.kr/link?id=S407073"/>
    <hyperlink ref="G17" r:id="rId14" display="http://www.riss.kr/link?id=S31024384"/>
    <hyperlink ref="G18" r:id="rId15" display="http://www.riss.kr/link?id=S24636"/>
    <hyperlink ref="G19" r:id="rId16" display="http://www.riss.kr/link?id=S28294"/>
    <hyperlink ref="G20" r:id="rId17" display="http://www.riss.kr/link?id=S414978"/>
    <hyperlink ref="G21" r:id="rId18" display="http://www.riss.kr/link?id=S416689"/>
    <hyperlink ref="G22" r:id="rId19" display="http://www.riss.kr/link?id=S30341"/>
    <hyperlink ref="G23" r:id="rId20" display="http://www.riss.kr/link?id=S12733"/>
    <hyperlink ref="G24" r:id="rId21" display="http://www.riss.kr/link?id=S410926"/>
    <hyperlink ref="G25" r:id="rId22" display="http://www.riss.kr/link?id=S11575588"/>
    <hyperlink ref="G26" r:id="rId23" display="http://www.riss.kr/link?id=S408343"/>
    <hyperlink ref="G27" r:id="rId24" display="http://www.riss.kr/link?id=S61578"/>
    <hyperlink ref="G28" r:id="rId25" display="http://www.riss.kr/link?id=S15418"/>
    <hyperlink ref="G29" r:id="rId26" display="http://www.riss.kr/link?id=S7094"/>
    <hyperlink ref="G30" r:id="rId27" display="http://www.riss.kr/link?id=S13454"/>
    <hyperlink ref="G31" r:id="rId28" display="http://www.riss.kr/link?id=S36561"/>
    <hyperlink ref="G32" r:id="rId29" display="http://www.riss.kr/link?id=S16196"/>
    <hyperlink ref="G33" r:id="rId30" display="http://www.riss.kr/link?id=S92049"/>
    <hyperlink ref="G34" r:id="rId31" display="http://www.riss.kr/link?id=S31157"/>
    <hyperlink ref="G35" r:id="rId32" display="http://www.riss.kr/link?id=S60845"/>
    <hyperlink ref="G36" r:id="rId33" display="http://www.riss.kr/link?id=S20011127"/>
    <hyperlink ref="G37" r:id="rId34" display="http://www.riss.kr/link?id=S24546"/>
    <hyperlink ref="G38" r:id="rId35" display="http://www.riss.kr/link?id=S30000647"/>
    <hyperlink ref="G39" r:id="rId36" display="http://www.riss.kr/link?id=S5079"/>
    <hyperlink ref="G40" r:id="rId37" display="http://www.riss.kr/link?id=S15021"/>
    <hyperlink ref="G41" r:id="rId38" display="http://www.riss.kr/link?id=S12566"/>
    <hyperlink ref="G42" r:id="rId39" display="http://www.riss.kr/link?id=S15476"/>
    <hyperlink ref="G43" r:id="rId40" display="http://www.riss.kr/link?id=S24593"/>
    <hyperlink ref="G44" r:id="rId41" display="http://www.riss.kr/link?id=S16065"/>
    <hyperlink ref="G45" r:id="rId42" display="http://www.riss.kr/link?id=S21147"/>
    <hyperlink ref="G46" r:id="rId43" display="http://www.riss.kr/link?id=S15019"/>
    <hyperlink ref="G47" r:id="rId44" display="http://www.riss.kr/link?id=S20557"/>
    <hyperlink ref="G48" r:id="rId45" display="http://www.riss.kr/link?id=S16057"/>
    <hyperlink ref="G49" r:id="rId46" display="http://www.riss.kr/link?id=S16056"/>
    <hyperlink ref="G50" r:id="rId47" display="http://www.riss.kr/link?id=S21696"/>
    <hyperlink ref="G51" r:id="rId48" display="http://www.riss.kr/link?id=S61982"/>
    <hyperlink ref="G52" r:id="rId49" display="http://www.riss.kr/link?id=S21159"/>
    <hyperlink ref="G53" r:id="rId50" display="http://www.riss.kr/link?id=S21692"/>
    <hyperlink ref="G54" r:id="rId51" display="http://www.riss.kr/link?id=S43758"/>
    <hyperlink ref="G55" r:id="rId52" display="http://www.riss.kr/link?id=S15441"/>
    <hyperlink ref="G56" r:id="rId53" display="http://www.riss.kr/link?id=S15591"/>
    <hyperlink ref="G57" r:id="rId54" display="http://www.riss.kr/link?id=S71144"/>
    <hyperlink ref="G58" r:id="rId55" display="http://www.riss.kr/link?id=S115629"/>
    <hyperlink ref="G59" r:id="rId56" display="http://www.riss.kr/link?id=S15472"/>
    <hyperlink ref="G60" r:id="rId57" display="http://www.riss.kr/link?id=S5090"/>
    <hyperlink ref="G61" r:id="rId58" display="http://www.riss.kr/link?id=S103468"/>
    <hyperlink ref="G62" r:id="rId59" display="http://www.riss.kr/link?id=S31000856"/>
    <hyperlink ref="G63" r:id="rId60" display="http://www.riss.kr/link?id=S103490"/>
    <hyperlink ref="G64" r:id="rId61" display="http://www.riss.kr/link?id=S13527"/>
    <hyperlink ref="G65" r:id="rId62" display="http://www.riss.kr/link?id=S13542"/>
    <hyperlink ref="G66" r:id="rId63" display="http://www.riss.kr/link?id=S35207"/>
    <hyperlink ref="G67" r:id="rId64" display="http://www.riss.kr/link?id=S15411"/>
    <hyperlink ref="G68" r:id="rId65" display="http://www.riss.kr/link?id=S15954"/>
    <hyperlink ref="G69" r:id="rId66" display="http://www.riss.kr/link?id=S31023273"/>
    <hyperlink ref="G70" r:id="rId67" display="http://www.riss.kr/link?id=S113997"/>
    <hyperlink ref="G71" r:id="rId68" display="http://www.riss.kr/link?id=S43165"/>
    <hyperlink ref="G72" r:id="rId69" display="http://www.riss.kr/link?id=S401354"/>
    <hyperlink ref="G73" r:id="rId70" display="http://www.riss.kr/link?id=S115390"/>
    <hyperlink ref="G74" r:id="rId71" display="http://www.riss.kr/link?id=S405210"/>
    <hyperlink ref="G75" r:id="rId72" display="http://www.riss.kr/link?id=S20011380"/>
    <hyperlink ref="G76" r:id="rId73" display="http://www.riss.kr/link?id=S43399"/>
    <hyperlink ref="G77" r:id="rId74" display="http://www.riss.kr/link?id=S11603111"/>
    <hyperlink ref="G78" r:id="rId75" display="http://www.riss.kr/link?id=S115374"/>
    <hyperlink ref="G79" r:id="rId76" display="http://www.riss.kr/link?id=S28261"/>
    <hyperlink ref="G80" r:id="rId77" display="http://www.riss.kr/link?id=S20015069"/>
    <hyperlink ref="G81" r:id="rId78" display="http://www.riss.kr/link?id=S29694"/>
    <hyperlink ref="G82" r:id="rId79" display="http://www.riss.kr/link?id=S15438"/>
    <hyperlink ref="G83" r:id="rId80" display="http://www.riss.kr/link?id=S11621370"/>
    <hyperlink ref="G84" r:id="rId81" display="http://www.riss.kr/link?id=S29114"/>
    <hyperlink ref="G85" r:id="rId82" display="http://www.riss.kr/link?id=S11606249"/>
    <hyperlink ref="G86" r:id="rId83" display="http://www.riss.kr/link?id=S88228"/>
    <hyperlink ref="G87" r:id="rId84" display="http://www.riss.kr/link?id=S64419"/>
    <hyperlink ref="G88" r:id="rId85" display="http://www.riss.kr/link?id=S25143"/>
    <hyperlink ref="G89" r:id="rId86" display="http://www.riss.kr/link?id=S20190"/>
    <hyperlink ref="G90" r:id="rId87" display="http://www.riss.kr/link?id=S48390"/>
    <hyperlink ref="G91" r:id="rId88" display="http://www.riss.kr/link?id=S144775"/>
    <hyperlink ref="G92" r:id="rId89" display="http://www.riss.kr/link?id=S87980"/>
    <hyperlink ref="G93" r:id="rId90" display="http://www.riss.kr/link?id=S80195"/>
    <hyperlink ref="G94" r:id="rId91" display="http://www.riss.kr/link?id=S30780"/>
    <hyperlink ref="G95" r:id="rId92" display="http://www.riss.kr/link?id=S77936"/>
    <hyperlink ref="G96" r:id="rId93" display="http://www.riss.kr/link?id=S64125"/>
    <hyperlink ref="G97" r:id="rId94" display="http://www.riss.kr/link?id=S68575"/>
    <hyperlink ref="G98" r:id="rId95" display="http://www.riss.kr/link?id=S7757"/>
    <hyperlink ref="G99" r:id="rId96" display="http://www.riss.kr/link?id=S36945"/>
    <hyperlink ref="G100" r:id="rId97" display="http://www.riss.kr/link?id=S60897"/>
    <hyperlink ref="G101" r:id="rId98" display="http://www.riss.kr/link?id=S27654"/>
    <hyperlink ref="G102" r:id="rId99" display="http://www.riss.kr/link?id=S27803"/>
    <hyperlink ref="G103" r:id="rId100" display="http://www.riss.kr/link?id=S19603"/>
    <hyperlink ref="G104" r:id="rId101" display="http://www.riss.kr/link?id=S67352"/>
    <hyperlink ref="G105" r:id="rId102" display="http://www.riss.kr/link?id=S45160"/>
    <hyperlink ref="G106" r:id="rId103" display="http://www.riss.kr/link?id=S67972"/>
    <hyperlink ref="G107" r:id="rId104" display="http://www.riss.kr/link?id=S87108"/>
    <hyperlink ref="G108" r:id="rId105" display="http://www.riss.kr/link?id=S63709"/>
    <hyperlink ref="G109" r:id="rId106" display="http://www.riss.kr/link?id=S19595"/>
    <hyperlink ref="G110" r:id="rId107" display="http://www.riss.kr/link?id=S72786"/>
    <hyperlink ref="G111" r:id="rId108" display="http://www.riss.kr/link?id=S69646"/>
    <hyperlink ref="G112" r:id="rId109" display="http://www.riss.kr/link?id=S20084641"/>
    <hyperlink ref="G113" r:id="rId110" display="http://www.riss.kr/link?id=S91440"/>
    <hyperlink ref="G114" r:id="rId111" display="http://www.riss.kr/link?id=S60986"/>
    <hyperlink ref="G115" r:id="rId112" display="http://www.riss.kr/link?id=S61212"/>
    <hyperlink ref="G116" r:id="rId113" display="http://www.riss.kr/link?id=S143626"/>
    <hyperlink ref="G117" r:id="rId114" display="http://www.riss.kr/link?id=S43977"/>
    <hyperlink ref="G118" r:id="rId115" display="http://www.riss.kr/link?id=S80251"/>
    <hyperlink ref="G119" r:id="rId116" display="http://www.riss.kr/link?id=S40249"/>
    <hyperlink ref="G120" r:id="rId117" display="http://www.riss.kr/link?id=S27656"/>
    <hyperlink ref="G121" r:id="rId118" display="http://www.riss.kr/link?id=S144142"/>
    <hyperlink ref="G122" r:id="rId119" display="http://www.riss.kr/link?id=S19719"/>
    <hyperlink ref="G123" r:id="rId120" display="http://www.riss.kr/link?id=S104123"/>
    <hyperlink ref="G124" r:id="rId121" display="http://www.riss.kr/link?id=S104124"/>
    <hyperlink ref="G125" r:id="rId122" display="http://www.riss.kr/link?id=S104125"/>
    <hyperlink ref="G126" r:id="rId123" display="http://www.riss.kr/link?id=S104126"/>
    <hyperlink ref="G127" r:id="rId124" display="http://www.riss.kr/link?id=S104262"/>
    <hyperlink ref="G128" r:id="rId125" display="http://www.riss.kr/link?id=S104127"/>
    <hyperlink ref="G129" r:id="rId126" display="http://www.riss.kr/link?id=S104203"/>
    <hyperlink ref="G130" r:id="rId127" display="http://www.riss.kr/link?id=S104204"/>
    <hyperlink ref="G131" r:id="rId128" display="http://www.riss.kr/link?id=S79477"/>
    <hyperlink ref="G132" r:id="rId129" display="http://www.riss.kr/link?id=S104122"/>
    <hyperlink ref="G133" r:id="rId130" display="http://www.riss.kr/link?id=S104180"/>
    <hyperlink ref="G134" r:id="rId131" display="http://www.riss.kr/link?id=S104181"/>
    <hyperlink ref="G135" r:id="rId132" display="http://www.riss.kr/link?id=S104177"/>
  </hyperlink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hidden="1" customWidth="1"/>
    <col min="3" max="3" width="29.25" customWidth="1"/>
    <col min="4" max="4" width="23.375" customWidth="1"/>
    <col min="5" max="5" width="10.25" customWidth="1"/>
    <col min="6" max="6" width="17.375" customWidth="1"/>
    <col min="7" max="7" width="13.625" customWidth="1"/>
    <col min="8" max="8" width="26.75" customWidth="1"/>
    <col min="9" max="9" width="7.875" customWidth="1"/>
    <col min="10" max="30" width="7.625" customWidth="1"/>
  </cols>
  <sheetData>
    <row r="1" spans="1:19" ht="36" customHeight="1">
      <c r="A1" s="293" t="s">
        <v>4948</v>
      </c>
      <c r="B1" s="290"/>
      <c r="C1" s="290"/>
      <c r="D1" s="290"/>
      <c r="E1" s="290"/>
      <c r="F1" s="290"/>
      <c r="G1" s="290"/>
      <c r="H1" s="290"/>
      <c r="I1" s="290"/>
    </row>
    <row r="2" spans="1:19" ht="22.5" customHeight="1">
      <c r="A2" s="148"/>
      <c r="B2" s="149"/>
      <c r="C2" s="149"/>
      <c r="D2" s="149"/>
      <c r="E2" s="149"/>
      <c r="F2" s="149"/>
      <c r="G2" s="149"/>
      <c r="H2" s="149"/>
      <c r="I2" s="149"/>
    </row>
    <row r="3" spans="1:19" ht="24" customHeight="1">
      <c r="A3" s="150" t="s">
        <v>2</v>
      </c>
      <c r="B3" s="178"/>
      <c r="C3" s="151" t="s">
        <v>4</v>
      </c>
      <c r="D3" s="151" t="s">
        <v>5</v>
      </c>
      <c r="E3" s="151" t="s">
        <v>6</v>
      </c>
      <c r="F3" s="151" t="s">
        <v>7</v>
      </c>
      <c r="G3" s="151" t="s">
        <v>8</v>
      </c>
      <c r="H3" s="151" t="s">
        <v>9</v>
      </c>
      <c r="I3" s="152" t="s">
        <v>10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ht="26.25" customHeight="1">
      <c r="A4" s="154">
        <f t="shared" ref="A4:A135" si="0">IF(C4="","",ROW(C4)-3)</f>
        <v>1</v>
      </c>
      <c r="B4" s="18" t="s">
        <v>13</v>
      </c>
      <c r="C4" s="19" t="s">
        <v>14</v>
      </c>
      <c r="D4" s="19" t="s">
        <v>15</v>
      </c>
      <c r="E4" s="20" t="s">
        <v>16</v>
      </c>
      <c r="F4" s="32" t="s">
        <v>3736</v>
      </c>
      <c r="G4" s="22" t="s">
        <v>18</v>
      </c>
      <c r="H4" s="23" t="s">
        <v>19</v>
      </c>
      <c r="I4" s="24" t="s">
        <v>20</v>
      </c>
    </row>
    <row r="5" spans="1:19" ht="26.25" customHeight="1">
      <c r="A5" s="154">
        <f t="shared" si="0"/>
        <v>2</v>
      </c>
      <c r="B5" s="179"/>
      <c r="C5" s="19" t="s">
        <v>74</v>
      </c>
      <c r="D5" s="19" t="s">
        <v>60</v>
      </c>
      <c r="E5" s="20" t="s">
        <v>75</v>
      </c>
      <c r="F5" s="32" t="s">
        <v>4949</v>
      </c>
      <c r="G5" s="22" t="s">
        <v>42</v>
      </c>
      <c r="H5" s="23" t="s">
        <v>77</v>
      </c>
      <c r="I5" s="24" t="s">
        <v>20</v>
      </c>
    </row>
    <row r="6" spans="1:19" ht="26.25" customHeight="1">
      <c r="A6" s="154">
        <f t="shared" si="0"/>
        <v>3</v>
      </c>
      <c r="B6" s="179"/>
      <c r="C6" s="19" t="s">
        <v>198</v>
      </c>
      <c r="D6" s="19" t="s">
        <v>199</v>
      </c>
      <c r="E6" s="20" t="s">
        <v>200</v>
      </c>
      <c r="F6" s="32" t="s">
        <v>52</v>
      </c>
      <c r="G6" s="22" t="s">
        <v>42</v>
      </c>
      <c r="H6" s="23" t="s">
        <v>201</v>
      </c>
      <c r="I6" s="24" t="s">
        <v>20</v>
      </c>
    </row>
    <row r="7" spans="1:19" ht="26.25" customHeight="1">
      <c r="A7" s="154">
        <f t="shared" si="0"/>
        <v>4</v>
      </c>
      <c r="B7" s="180"/>
      <c r="C7" s="31" t="s">
        <v>220</v>
      </c>
      <c r="D7" s="19" t="s">
        <v>141</v>
      </c>
      <c r="E7" s="20" t="s">
        <v>221</v>
      </c>
      <c r="F7" s="32" t="s">
        <v>222</v>
      </c>
      <c r="G7" s="22" t="s">
        <v>42</v>
      </c>
      <c r="H7" s="23" t="s">
        <v>223</v>
      </c>
      <c r="I7" s="24" t="s">
        <v>55</v>
      </c>
    </row>
    <row r="8" spans="1:19" ht="26.25" customHeight="1">
      <c r="A8" s="154">
        <f t="shared" si="0"/>
        <v>5</v>
      </c>
      <c r="B8" s="179"/>
      <c r="C8" s="19" t="s">
        <v>4950</v>
      </c>
      <c r="D8" s="19" t="s">
        <v>480</v>
      </c>
      <c r="E8" s="20" t="s">
        <v>481</v>
      </c>
      <c r="F8" s="32" t="s">
        <v>4951</v>
      </c>
      <c r="G8" s="22" t="s">
        <v>18</v>
      </c>
      <c r="H8" s="23" t="s">
        <v>483</v>
      </c>
      <c r="I8" s="24" t="s">
        <v>20</v>
      </c>
    </row>
    <row r="9" spans="1:19" ht="26.25" customHeight="1">
      <c r="A9" s="154">
        <f t="shared" si="0"/>
        <v>6</v>
      </c>
      <c r="B9" s="179"/>
      <c r="C9" s="19" t="s">
        <v>487</v>
      </c>
      <c r="D9" s="19" t="s">
        <v>488</v>
      </c>
      <c r="E9" s="20" t="s">
        <v>489</v>
      </c>
      <c r="F9" s="32" t="s">
        <v>4952</v>
      </c>
      <c r="G9" s="22" t="s">
        <v>63</v>
      </c>
      <c r="H9" s="23" t="s">
        <v>491</v>
      </c>
      <c r="I9" s="24" t="s">
        <v>20</v>
      </c>
    </row>
    <row r="10" spans="1:19" ht="26.25" customHeight="1">
      <c r="A10" s="154">
        <f t="shared" si="0"/>
        <v>7</v>
      </c>
      <c r="B10" s="180"/>
      <c r="C10" s="31" t="s">
        <v>494</v>
      </c>
      <c r="D10" s="19" t="s">
        <v>480</v>
      </c>
      <c r="E10" s="20" t="s">
        <v>495</v>
      </c>
      <c r="F10" s="32" t="s">
        <v>496</v>
      </c>
      <c r="G10" s="22" t="s">
        <v>53</v>
      </c>
      <c r="H10" s="23" t="s">
        <v>497</v>
      </c>
      <c r="I10" s="24" t="s">
        <v>55</v>
      </c>
    </row>
    <row r="11" spans="1:19" ht="26.25" customHeight="1">
      <c r="A11" s="154">
        <f t="shared" si="0"/>
        <v>8</v>
      </c>
      <c r="B11" s="179"/>
      <c r="C11" s="19" t="s">
        <v>502</v>
      </c>
      <c r="D11" s="19" t="s">
        <v>503</v>
      </c>
      <c r="E11" s="20" t="s">
        <v>504</v>
      </c>
      <c r="F11" s="32" t="s">
        <v>4953</v>
      </c>
      <c r="G11" s="22" t="s">
        <v>18</v>
      </c>
      <c r="H11" s="23" t="s">
        <v>506</v>
      </c>
      <c r="I11" s="24" t="s">
        <v>20</v>
      </c>
    </row>
    <row r="12" spans="1:19" ht="26.25" customHeight="1">
      <c r="A12" s="154">
        <f t="shared" si="0"/>
        <v>9</v>
      </c>
      <c r="B12" s="179"/>
      <c r="C12" s="19" t="s">
        <v>510</v>
      </c>
      <c r="D12" s="19" t="s">
        <v>191</v>
      </c>
      <c r="E12" s="20" t="s">
        <v>511</v>
      </c>
      <c r="F12" s="32" t="s">
        <v>52</v>
      </c>
      <c r="G12" s="22" t="s">
        <v>18</v>
      </c>
      <c r="H12" s="23" t="s">
        <v>512</v>
      </c>
      <c r="I12" s="24" t="s">
        <v>20</v>
      </c>
    </row>
    <row r="13" spans="1:19" ht="26.25" customHeight="1">
      <c r="A13" s="154">
        <f t="shared" si="0"/>
        <v>10</v>
      </c>
      <c r="B13" s="181"/>
      <c r="C13" s="33" t="s">
        <v>532</v>
      </c>
      <c r="D13" s="42" t="s">
        <v>533</v>
      </c>
      <c r="E13" s="43" t="s">
        <v>534</v>
      </c>
      <c r="F13" s="44">
        <v>2019</v>
      </c>
      <c r="G13" s="22" t="s">
        <v>53</v>
      </c>
      <c r="H13" s="59" t="s">
        <v>535</v>
      </c>
      <c r="I13" s="24" t="s">
        <v>55</v>
      </c>
    </row>
    <row r="14" spans="1:19" ht="26.25" customHeight="1">
      <c r="A14" s="154">
        <f t="shared" si="0"/>
        <v>11</v>
      </c>
      <c r="B14" s="180"/>
      <c r="C14" s="31" t="s">
        <v>561</v>
      </c>
      <c r="D14" s="19" t="s">
        <v>562</v>
      </c>
      <c r="E14" s="20" t="s">
        <v>563</v>
      </c>
      <c r="F14" s="32" t="s">
        <v>564</v>
      </c>
      <c r="G14" s="22" t="s">
        <v>42</v>
      </c>
      <c r="H14" s="23" t="s">
        <v>565</v>
      </c>
      <c r="I14" s="24" t="s">
        <v>55</v>
      </c>
    </row>
    <row r="15" spans="1:19" ht="26.25" customHeight="1">
      <c r="A15" s="154">
        <f t="shared" si="0"/>
        <v>12</v>
      </c>
      <c r="B15" s="180"/>
      <c r="C15" s="31" t="s">
        <v>637</v>
      </c>
      <c r="D15" s="19" t="s">
        <v>638</v>
      </c>
      <c r="E15" s="20" t="s">
        <v>639</v>
      </c>
      <c r="F15" s="32">
        <v>2019</v>
      </c>
      <c r="G15" s="22" t="s">
        <v>53</v>
      </c>
      <c r="H15" s="23" t="s">
        <v>640</v>
      </c>
      <c r="I15" s="24" t="s">
        <v>55</v>
      </c>
    </row>
    <row r="16" spans="1:19" ht="26.25" customHeight="1">
      <c r="A16" s="154">
        <f t="shared" si="0"/>
        <v>13</v>
      </c>
      <c r="B16" s="180"/>
      <c r="C16" s="31" t="s">
        <v>649</v>
      </c>
      <c r="D16" s="19" t="s">
        <v>650</v>
      </c>
      <c r="E16" s="20" t="s">
        <v>651</v>
      </c>
      <c r="F16" s="32" t="s">
        <v>170</v>
      </c>
      <c r="G16" s="22" t="s">
        <v>63</v>
      </c>
      <c r="H16" s="23" t="s">
        <v>652</v>
      </c>
      <c r="I16" s="24" t="s">
        <v>55</v>
      </c>
    </row>
    <row r="17" spans="1:9" ht="26.25" customHeight="1">
      <c r="A17" s="154">
        <f t="shared" si="0"/>
        <v>14</v>
      </c>
      <c r="B17" s="180"/>
      <c r="C17" s="31" t="s">
        <v>747</v>
      </c>
      <c r="D17" s="19" t="s">
        <v>748</v>
      </c>
      <c r="E17" s="20" t="s">
        <v>749</v>
      </c>
      <c r="F17" s="32" t="s">
        <v>209</v>
      </c>
      <c r="G17" s="22" t="s">
        <v>42</v>
      </c>
      <c r="H17" s="23" t="s">
        <v>750</v>
      </c>
      <c r="I17" s="24" t="s">
        <v>55</v>
      </c>
    </row>
    <row r="18" spans="1:9" ht="26.25" customHeight="1">
      <c r="A18" s="154">
        <f t="shared" si="0"/>
        <v>15</v>
      </c>
      <c r="B18" s="179"/>
      <c r="C18" s="19" t="s">
        <v>752</v>
      </c>
      <c r="D18" s="19" t="s">
        <v>753</v>
      </c>
      <c r="E18" s="20" t="s">
        <v>754</v>
      </c>
      <c r="F18" s="32" t="s">
        <v>52</v>
      </c>
      <c r="G18" s="22" t="s">
        <v>63</v>
      </c>
      <c r="H18" s="23" t="s">
        <v>755</v>
      </c>
      <c r="I18" s="24" t="s">
        <v>20</v>
      </c>
    </row>
    <row r="19" spans="1:9" ht="26.25" customHeight="1">
      <c r="A19" s="154">
        <f t="shared" si="0"/>
        <v>16</v>
      </c>
      <c r="B19" s="179"/>
      <c r="C19" s="66" t="s">
        <v>810</v>
      </c>
      <c r="D19" s="19" t="s">
        <v>797</v>
      </c>
      <c r="E19" s="20" t="s">
        <v>811</v>
      </c>
      <c r="F19" s="32" t="s">
        <v>52</v>
      </c>
      <c r="G19" s="22" t="s">
        <v>42</v>
      </c>
      <c r="H19" s="23" t="s">
        <v>812</v>
      </c>
      <c r="I19" s="24" t="s">
        <v>20</v>
      </c>
    </row>
    <row r="20" spans="1:9" ht="26.25" customHeight="1">
      <c r="A20" s="154">
        <f t="shared" si="0"/>
        <v>17</v>
      </c>
      <c r="B20" s="180"/>
      <c r="C20" s="31" t="s">
        <v>938</v>
      </c>
      <c r="D20" s="19" t="s">
        <v>939</v>
      </c>
      <c r="E20" s="20" t="s">
        <v>940</v>
      </c>
      <c r="F20" s="32" t="s">
        <v>941</v>
      </c>
      <c r="G20" s="22" t="s">
        <v>31</v>
      </c>
      <c r="H20" s="23" t="s">
        <v>942</v>
      </c>
      <c r="I20" s="24" t="s">
        <v>55</v>
      </c>
    </row>
    <row r="21" spans="1:9" ht="26.25" customHeight="1">
      <c r="A21" s="154">
        <f t="shared" si="0"/>
        <v>18</v>
      </c>
      <c r="B21" s="180"/>
      <c r="C21" s="31" t="s">
        <v>844</v>
      </c>
      <c r="D21" s="19" t="s">
        <v>124</v>
      </c>
      <c r="E21" s="20" t="s">
        <v>845</v>
      </c>
      <c r="F21" s="32" t="s">
        <v>170</v>
      </c>
      <c r="G21" s="22" t="s">
        <v>42</v>
      </c>
      <c r="H21" s="23" t="s">
        <v>943</v>
      </c>
      <c r="I21" s="24" t="s">
        <v>55</v>
      </c>
    </row>
    <row r="22" spans="1:9" ht="26.25" customHeight="1">
      <c r="A22" s="154">
        <f t="shared" si="0"/>
        <v>19</v>
      </c>
      <c r="B22" s="180"/>
      <c r="C22" s="31" t="s">
        <v>971</v>
      </c>
      <c r="D22" s="19" t="s">
        <v>972</v>
      </c>
      <c r="E22" s="20" t="s">
        <v>973</v>
      </c>
      <c r="F22" s="32" t="s">
        <v>170</v>
      </c>
      <c r="G22" s="22" t="s">
        <v>53</v>
      </c>
      <c r="H22" s="23" t="s">
        <v>1070</v>
      </c>
      <c r="I22" s="24" t="s">
        <v>55</v>
      </c>
    </row>
    <row r="23" spans="1:9" ht="26.25" customHeight="1">
      <c r="A23" s="154">
        <f t="shared" si="0"/>
        <v>20</v>
      </c>
      <c r="B23" s="179"/>
      <c r="C23" s="19" t="s">
        <v>1073</v>
      </c>
      <c r="D23" s="19" t="s">
        <v>60</v>
      </c>
      <c r="E23" s="20" t="s">
        <v>1074</v>
      </c>
      <c r="F23" s="32" t="s">
        <v>3775</v>
      </c>
      <c r="G23" s="22" t="s">
        <v>53</v>
      </c>
      <c r="H23" s="23" t="s">
        <v>1076</v>
      </c>
      <c r="I23" s="24" t="s">
        <v>20</v>
      </c>
    </row>
    <row r="24" spans="1:9" ht="26.25" customHeight="1">
      <c r="A24" s="154">
        <f t="shared" si="0"/>
        <v>21</v>
      </c>
      <c r="B24" s="180"/>
      <c r="C24" s="31" t="s">
        <v>360</v>
      </c>
      <c r="D24" s="19" t="s">
        <v>499</v>
      </c>
      <c r="E24" s="20" t="s">
        <v>362</v>
      </c>
      <c r="F24" s="32" t="s">
        <v>163</v>
      </c>
      <c r="G24" s="22" t="s">
        <v>1086</v>
      </c>
      <c r="H24" s="23" t="s">
        <v>1087</v>
      </c>
      <c r="I24" s="24" t="s">
        <v>55</v>
      </c>
    </row>
    <row r="25" spans="1:9" ht="26.25" customHeight="1">
      <c r="A25" s="154">
        <f t="shared" si="0"/>
        <v>22</v>
      </c>
      <c r="B25" s="180"/>
      <c r="C25" s="31" t="s">
        <v>976</v>
      </c>
      <c r="D25" s="19" t="s">
        <v>1090</v>
      </c>
      <c r="E25" s="20" t="s">
        <v>978</v>
      </c>
      <c r="F25" s="32" t="s">
        <v>170</v>
      </c>
      <c r="G25" s="22" t="s">
        <v>53</v>
      </c>
      <c r="H25" s="23" t="s">
        <v>1091</v>
      </c>
      <c r="I25" s="24" t="s">
        <v>55</v>
      </c>
    </row>
    <row r="26" spans="1:9" ht="26.25" customHeight="1">
      <c r="A26" s="154">
        <f t="shared" si="0"/>
        <v>23</v>
      </c>
      <c r="B26" s="180"/>
      <c r="C26" s="31" t="s">
        <v>983</v>
      </c>
      <c r="D26" s="19" t="s">
        <v>1094</v>
      </c>
      <c r="E26" s="20" t="s">
        <v>985</v>
      </c>
      <c r="F26" s="32" t="s">
        <v>170</v>
      </c>
      <c r="G26" s="22" t="s">
        <v>53</v>
      </c>
      <c r="H26" s="23" t="s">
        <v>1095</v>
      </c>
      <c r="I26" s="24" t="s">
        <v>55</v>
      </c>
    </row>
    <row r="27" spans="1:9" ht="26.25" customHeight="1">
      <c r="A27" s="154">
        <f t="shared" si="0"/>
        <v>24</v>
      </c>
      <c r="B27" s="179"/>
      <c r="C27" s="19" t="s">
        <v>1142</v>
      </c>
      <c r="D27" s="19" t="s">
        <v>1143</v>
      </c>
      <c r="E27" s="20" t="s">
        <v>1144</v>
      </c>
      <c r="F27" s="32" t="s">
        <v>52</v>
      </c>
      <c r="G27" s="22" t="s">
        <v>53</v>
      </c>
      <c r="H27" s="23" t="s">
        <v>1145</v>
      </c>
      <c r="I27" s="24" t="s">
        <v>20</v>
      </c>
    </row>
    <row r="28" spans="1:9" ht="26.25" customHeight="1">
      <c r="A28" s="154">
        <f t="shared" si="0"/>
        <v>25</v>
      </c>
      <c r="B28" s="179"/>
      <c r="C28" s="19" t="s">
        <v>1168</v>
      </c>
      <c r="D28" s="19" t="s">
        <v>1169</v>
      </c>
      <c r="E28" s="20" t="s">
        <v>1170</v>
      </c>
      <c r="F28" s="32" t="s">
        <v>4954</v>
      </c>
      <c r="G28" s="22" t="s">
        <v>53</v>
      </c>
      <c r="H28" s="23" t="s">
        <v>1172</v>
      </c>
      <c r="I28" s="24" t="s">
        <v>20</v>
      </c>
    </row>
    <row r="29" spans="1:9" ht="26.25" customHeight="1">
      <c r="A29" s="154">
        <f t="shared" si="0"/>
        <v>26</v>
      </c>
      <c r="B29" s="179"/>
      <c r="C29" s="19" t="s">
        <v>1224</v>
      </c>
      <c r="D29" s="19" t="s">
        <v>1225</v>
      </c>
      <c r="E29" s="20" t="s">
        <v>1226</v>
      </c>
      <c r="F29" s="32" t="s">
        <v>52</v>
      </c>
      <c r="G29" s="22" t="s">
        <v>53</v>
      </c>
      <c r="H29" s="23" t="s">
        <v>1227</v>
      </c>
      <c r="I29" s="24" t="s">
        <v>20</v>
      </c>
    </row>
    <row r="30" spans="1:9" ht="26.25" customHeight="1">
      <c r="A30" s="154">
        <f t="shared" si="0"/>
        <v>27</v>
      </c>
      <c r="B30" s="180"/>
      <c r="C30" s="31" t="s">
        <v>1277</v>
      </c>
      <c r="D30" s="19" t="s">
        <v>1278</v>
      </c>
      <c r="E30" s="20" t="s">
        <v>1279</v>
      </c>
      <c r="F30" s="32" t="s">
        <v>1280</v>
      </c>
      <c r="G30" s="22" t="s">
        <v>42</v>
      </c>
      <c r="H30" s="23" t="s">
        <v>1281</v>
      </c>
      <c r="I30" s="24" t="s">
        <v>55</v>
      </c>
    </row>
    <row r="31" spans="1:9" ht="26.25" customHeight="1">
      <c r="A31" s="154">
        <f t="shared" si="0"/>
        <v>28</v>
      </c>
      <c r="B31" s="179"/>
      <c r="C31" s="19" t="s">
        <v>1426</v>
      </c>
      <c r="D31" s="19" t="s">
        <v>1427</v>
      </c>
      <c r="E31" s="20" t="s">
        <v>1428</v>
      </c>
      <c r="F31" s="32" t="s">
        <v>52</v>
      </c>
      <c r="G31" s="22" t="s">
        <v>53</v>
      </c>
      <c r="H31" s="23" t="s">
        <v>1429</v>
      </c>
      <c r="I31" s="24" t="s">
        <v>20</v>
      </c>
    </row>
    <row r="32" spans="1:9" ht="26.25" customHeight="1">
      <c r="A32" s="154">
        <f t="shared" si="0"/>
        <v>29</v>
      </c>
      <c r="B32" s="180"/>
      <c r="C32" s="31" t="s">
        <v>578</v>
      </c>
      <c r="D32" s="19" t="s">
        <v>1499</v>
      </c>
      <c r="E32" s="20" t="s">
        <v>580</v>
      </c>
      <c r="F32" s="32" t="s">
        <v>1500</v>
      </c>
      <c r="G32" s="22" t="s">
        <v>42</v>
      </c>
      <c r="H32" s="23" t="s">
        <v>1501</v>
      </c>
      <c r="I32" s="24" t="s">
        <v>55</v>
      </c>
    </row>
    <row r="33" spans="1:9" ht="26.25" customHeight="1">
      <c r="A33" s="154">
        <f t="shared" si="0"/>
        <v>30</v>
      </c>
      <c r="B33" s="179"/>
      <c r="C33" s="19" t="s">
        <v>1503</v>
      </c>
      <c r="D33" s="19" t="s">
        <v>199</v>
      </c>
      <c r="E33" s="20" t="s">
        <v>1504</v>
      </c>
      <c r="F33" s="32" t="s">
        <v>4955</v>
      </c>
      <c r="G33" s="22" t="s">
        <v>42</v>
      </c>
      <c r="H33" s="23" t="s">
        <v>1506</v>
      </c>
      <c r="I33" s="24" t="s">
        <v>20</v>
      </c>
    </row>
    <row r="34" spans="1:9" ht="26.25" customHeight="1">
      <c r="A34" s="154">
        <f t="shared" si="0"/>
        <v>31</v>
      </c>
      <c r="B34" s="180"/>
      <c r="C34" s="31" t="s">
        <v>1020</v>
      </c>
      <c r="D34" s="19" t="s">
        <v>1514</v>
      </c>
      <c r="E34" s="20" t="s">
        <v>1022</v>
      </c>
      <c r="F34" s="32" t="s">
        <v>170</v>
      </c>
      <c r="G34" s="22" t="s">
        <v>53</v>
      </c>
      <c r="H34" s="23" t="s">
        <v>1515</v>
      </c>
      <c r="I34" s="24" t="s">
        <v>55</v>
      </c>
    </row>
    <row r="35" spans="1:9" ht="26.25" customHeight="1">
      <c r="A35" s="154">
        <f t="shared" si="0"/>
        <v>32</v>
      </c>
      <c r="B35" s="180"/>
      <c r="C35" s="31" t="s">
        <v>1851</v>
      </c>
      <c r="D35" s="19" t="s">
        <v>227</v>
      </c>
      <c r="E35" s="20" t="s">
        <v>1852</v>
      </c>
      <c r="F35" s="32" t="s">
        <v>1853</v>
      </c>
      <c r="G35" s="22" t="s">
        <v>42</v>
      </c>
      <c r="H35" s="23" t="s">
        <v>1854</v>
      </c>
      <c r="I35" s="24" t="s">
        <v>55</v>
      </c>
    </row>
    <row r="36" spans="1:9" ht="26.25" customHeight="1">
      <c r="A36" s="154">
        <f t="shared" si="0"/>
        <v>33</v>
      </c>
      <c r="B36" s="179"/>
      <c r="C36" s="19" t="s">
        <v>1901</v>
      </c>
      <c r="D36" s="19" t="s">
        <v>124</v>
      </c>
      <c r="E36" s="20" t="s">
        <v>1902</v>
      </c>
      <c r="F36" s="32" t="s">
        <v>186</v>
      </c>
      <c r="G36" s="22" t="s">
        <v>42</v>
      </c>
      <c r="H36" s="23" t="s">
        <v>1903</v>
      </c>
      <c r="I36" s="24" t="s">
        <v>20</v>
      </c>
    </row>
    <row r="37" spans="1:9" ht="26.25" customHeight="1">
      <c r="A37" s="154">
        <f t="shared" si="0"/>
        <v>34</v>
      </c>
      <c r="B37" s="180"/>
      <c r="C37" s="31" t="s">
        <v>857</v>
      </c>
      <c r="D37" s="19" t="s">
        <v>227</v>
      </c>
      <c r="E37" s="20" t="s">
        <v>859</v>
      </c>
      <c r="F37" s="32" t="s">
        <v>2011</v>
      </c>
      <c r="G37" s="22" t="s">
        <v>2012</v>
      </c>
      <c r="H37" s="23" t="s">
        <v>2013</v>
      </c>
      <c r="I37" s="24" t="s">
        <v>55</v>
      </c>
    </row>
    <row r="38" spans="1:9" ht="26.25" customHeight="1">
      <c r="A38" s="154">
        <f t="shared" si="0"/>
        <v>35</v>
      </c>
      <c r="B38" s="180"/>
      <c r="C38" s="31" t="s">
        <v>2014</v>
      </c>
      <c r="D38" s="19" t="s">
        <v>2015</v>
      </c>
      <c r="E38" s="20" t="s">
        <v>2016</v>
      </c>
      <c r="F38" s="32" t="s">
        <v>2017</v>
      </c>
      <c r="G38" s="22" t="s">
        <v>2018</v>
      </c>
      <c r="H38" s="23" t="s">
        <v>2019</v>
      </c>
      <c r="I38" s="24" t="s">
        <v>55</v>
      </c>
    </row>
    <row r="39" spans="1:9" ht="26.25" customHeight="1">
      <c r="A39" s="154">
        <f t="shared" si="0"/>
        <v>36</v>
      </c>
      <c r="B39" s="179"/>
      <c r="C39" s="19" t="s">
        <v>2041</v>
      </c>
      <c r="D39" s="19" t="s">
        <v>939</v>
      </c>
      <c r="E39" s="20" t="s">
        <v>2042</v>
      </c>
      <c r="F39" s="32" t="s">
        <v>52</v>
      </c>
      <c r="G39" s="22" t="s">
        <v>42</v>
      </c>
      <c r="H39" s="23" t="s">
        <v>2043</v>
      </c>
      <c r="I39" s="24" t="s">
        <v>20</v>
      </c>
    </row>
    <row r="40" spans="1:9" ht="26.25" customHeight="1">
      <c r="A40" s="154">
        <f t="shared" si="0"/>
        <v>37</v>
      </c>
      <c r="B40" s="180"/>
      <c r="C40" s="31" t="s">
        <v>1077</v>
      </c>
      <c r="D40" s="19" t="s">
        <v>939</v>
      </c>
      <c r="E40" s="20" t="s">
        <v>1079</v>
      </c>
      <c r="F40" s="32" t="s">
        <v>170</v>
      </c>
      <c r="G40" s="22" t="s">
        <v>42</v>
      </c>
      <c r="H40" s="23" t="s">
        <v>2059</v>
      </c>
      <c r="I40" s="24" t="s">
        <v>55</v>
      </c>
    </row>
    <row r="41" spans="1:9" ht="26.25" customHeight="1">
      <c r="A41" s="154">
        <f t="shared" si="0"/>
        <v>38</v>
      </c>
      <c r="B41" s="179"/>
      <c r="C41" s="19" t="s">
        <v>2064</v>
      </c>
      <c r="D41" s="19" t="s">
        <v>939</v>
      </c>
      <c r="E41" s="20" t="s">
        <v>2065</v>
      </c>
      <c r="F41" s="32" t="s">
        <v>52</v>
      </c>
      <c r="G41" s="22" t="s">
        <v>42</v>
      </c>
      <c r="H41" s="23" t="s">
        <v>2066</v>
      </c>
      <c r="I41" s="24" t="s">
        <v>20</v>
      </c>
    </row>
    <row r="42" spans="1:9" ht="26.25" customHeight="1">
      <c r="A42" s="154">
        <f t="shared" si="0"/>
        <v>39</v>
      </c>
      <c r="B42" s="179"/>
      <c r="C42" s="19" t="s">
        <v>2083</v>
      </c>
      <c r="D42" s="19" t="s">
        <v>939</v>
      </c>
      <c r="E42" s="20" t="s">
        <v>2084</v>
      </c>
      <c r="F42" s="32" t="s">
        <v>2485</v>
      </c>
      <c r="G42" s="22" t="s">
        <v>42</v>
      </c>
      <c r="H42" s="23" t="s">
        <v>2086</v>
      </c>
      <c r="I42" s="24" t="s">
        <v>20</v>
      </c>
    </row>
    <row r="43" spans="1:9" ht="26.25" customHeight="1">
      <c r="A43" s="154">
        <f t="shared" si="0"/>
        <v>40</v>
      </c>
      <c r="B43" s="179"/>
      <c r="C43" s="19" t="s">
        <v>2153</v>
      </c>
      <c r="D43" s="19" t="s">
        <v>939</v>
      </c>
      <c r="E43" s="20" t="s">
        <v>2154</v>
      </c>
      <c r="F43" s="32" t="s">
        <v>4956</v>
      </c>
      <c r="G43" s="22" t="s">
        <v>42</v>
      </c>
      <c r="H43" s="23" t="s">
        <v>2155</v>
      </c>
      <c r="I43" s="24" t="s">
        <v>20</v>
      </c>
    </row>
    <row r="44" spans="1:9" ht="26.25" customHeight="1">
      <c r="A44" s="154">
        <f t="shared" si="0"/>
        <v>41</v>
      </c>
      <c r="B44" s="180"/>
      <c r="C44" s="31" t="s">
        <v>2189</v>
      </c>
      <c r="D44" s="19" t="s">
        <v>939</v>
      </c>
      <c r="E44" s="20" t="s">
        <v>2190</v>
      </c>
      <c r="F44" s="32" t="s">
        <v>2191</v>
      </c>
      <c r="G44" s="22" t="s">
        <v>42</v>
      </c>
      <c r="H44" s="23" t="s">
        <v>2192</v>
      </c>
      <c r="I44" s="24" t="s">
        <v>55</v>
      </c>
    </row>
    <row r="45" spans="1:9" ht="26.25" customHeight="1">
      <c r="A45" s="154">
        <f t="shared" si="0"/>
        <v>42</v>
      </c>
      <c r="B45" s="179"/>
      <c r="C45" s="19" t="s">
        <v>2231</v>
      </c>
      <c r="D45" s="19" t="s">
        <v>939</v>
      </c>
      <c r="E45" s="20" t="s">
        <v>2232</v>
      </c>
      <c r="F45" s="32" t="s">
        <v>4957</v>
      </c>
      <c r="G45" s="22" t="s">
        <v>42</v>
      </c>
      <c r="H45" s="23" t="s">
        <v>2233</v>
      </c>
      <c r="I45" s="24" t="s">
        <v>20</v>
      </c>
    </row>
    <row r="46" spans="1:9" ht="26.25" customHeight="1">
      <c r="A46" s="154">
        <f t="shared" si="0"/>
        <v>43</v>
      </c>
      <c r="B46" s="179"/>
      <c r="C46" s="19" t="s">
        <v>2314</v>
      </c>
      <c r="D46" s="19" t="s">
        <v>939</v>
      </c>
      <c r="E46" s="20" t="s">
        <v>2315</v>
      </c>
      <c r="F46" s="32" t="s">
        <v>52</v>
      </c>
      <c r="G46" s="22" t="s">
        <v>42</v>
      </c>
      <c r="H46" s="23" t="s">
        <v>2316</v>
      </c>
      <c r="I46" s="24" t="s">
        <v>20</v>
      </c>
    </row>
    <row r="47" spans="1:9" ht="26.25" customHeight="1">
      <c r="A47" s="154">
        <f t="shared" si="0"/>
        <v>44</v>
      </c>
      <c r="B47" s="180"/>
      <c r="C47" s="31" t="s">
        <v>2352</v>
      </c>
      <c r="D47" s="19" t="s">
        <v>939</v>
      </c>
      <c r="E47" s="20" t="s">
        <v>2353</v>
      </c>
      <c r="F47" s="32" t="s">
        <v>222</v>
      </c>
      <c r="G47" s="22" t="s">
        <v>31</v>
      </c>
      <c r="H47" s="23" t="s">
        <v>2354</v>
      </c>
      <c r="I47" s="24" t="s">
        <v>55</v>
      </c>
    </row>
    <row r="48" spans="1:9" ht="26.25" customHeight="1">
      <c r="A48" s="154">
        <f t="shared" si="0"/>
        <v>45</v>
      </c>
      <c r="B48" s="179"/>
      <c r="C48" s="19" t="s">
        <v>2392</v>
      </c>
      <c r="D48" s="19" t="s">
        <v>939</v>
      </c>
      <c r="E48" s="20" t="s">
        <v>2393</v>
      </c>
      <c r="F48" s="32" t="s">
        <v>4958</v>
      </c>
      <c r="G48" s="22" t="s">
        <v>42</v>
      </c>
      <c r="H48" s="23" t="s">
        <v>2395</v>
      </c>
      <c r="I48" s="24" t="s">
        <v>20</v>
      </c>
    </row>
    <row r="49" spans="1:9" ht="26.25" customHeight="1">
      <c r="A49" s="154">
        <f t="shared" si="0"/>
        <v>46</v>
      </c>
      <c r="B49" s="180"/>
      <c r="C49" s="31" t="s">
        <v>1092</v>
      </c>
      <c r="D49" s="19" t="s">
        <v>939</v>
      </c>
      <c r="E49" s="20" t="s">
        <v>1093</v>
      </c>
      <c r="F49" s="32" t="s">
        <v>2396</v>
      </c>
      <c r="G49" s="22" t="s">
        <v>42</v>
      </c>
      <c r="H49" s="23" t="s">
        <v>2397</v>
      </c>
      <c r="I49" s="24" t="s">
        <v>55</v>
      </c>
    </row>
    <row r="50" spans="1:9" ht="26.25" customHeight="1">
      <c r="A50" s="154">
        <f t="shared" si="0"/>
        <v>47</v>
      </c>
      <c r="B50" s="179"/>
      <c r="C50" s="19" t="s">
        <v>2483</v>
      </c>
      <c r="D50" s="19" t="s">
        <v>939</v>
      </c>
      <c r="E50" s="20" t="s">
        <v>2484</v>
      </c>
      <c r="F50" s="32" t="s">
        <v>2485</v>
      </c>
      <c r="G50" s="22" t="s">
        <v>31</v>
      </c>
      <c r="H50" s="23" t="s">
        <v>2486</v>
      </c>
      <c r="I50" s="24" t="s">
        <v>20</v>
      </c>
    </row>
    <row r="51" spans="1:9" ht="26.25" customHeight="1">
      <c r="A51" s="154">
        <f t="shared" si="0"/>
        <v>48</v>
      </c>
      <c r="B51" s="179"/>
      <c r="C51" s="19" t="s">
        <v>2493</v>
      </c>
      <c r="D51" s="19" t="s">
        <v>499</v>
      </c>
      <c r="E51" s="20" t="s">
        <v>2494</v>
      </c>
      <c r="F51" s="32" t="s">
        <v>52</v>
      </c>
      <c r="G51" s="22" t="s">
        <v>1086</v>
      </c>
      <c r="H51" s="23" t="s">
        <v>2495</v>
      </c>
      <c r="I51" s="24" t="s">
        <v>20</v>
      </c>
    </row>
    <row r="52" spans="1:9" ht="26.25" customHeight="1">
      <c r="A52" s="154">
        <f t="shared" si="0"/>
        <v>49</v>
      </c>
      <c r="B52" s="179"/>
      <c r="C52" s="19" t="s">
        <v>2496</v>
      </c>
      <c r="D52" s="19" t="s">
        <v>939</v>
      </c>
      <c r="E52" s="20" t="s">
        <v>2497</v>
      </c>
      <c r="F52" s="32" t="s">
        <v>4959</v>
      </c>
      <c r="G52" s="22" t="s">
        <v>1290</v>
      </c>
      <c r="H52" s="23" t="s">
        <v>2499</v>
      </c>
      <c r="I52" s="24" t="s">
        <v>20</v>
      </c>
    </row>
    <row r="53" spans="1:9" ht="26.25" customHeight="1">
      <c r="A53" s="154">
        <f t="shared" si="0"/>
        <v>50</v>
      </c>
      <c r="B53" s="179"/>
      <c r="C53" s="19" t="s">
        <v>2515</v>
      </c>
      <c r="D53" s="19" t="s">
        <v>939</v>
      </c>
      <c r="E53" s="20" t="s">
        <v>2516</v>
      </c>
      <c r="F53" s="32" t="s">
        <v>52</v>
      </c>
      <c r="G53" s="22" t="s">
        <v>42</v>
      </c>
      <c r="H53" s="23" t="s">
        <v>2517</v>
      </c>
      <c r="I53" s="24" t="s">
        <v>20</v>
      </c>
    </row>
    <row r="54" spans="1:9" ht="26.25" customHeight="1">
      <c r="A54" s="154">
        <f t="shared" si="0"/>
        <v>51</v>
      </c>
      <c r="B54" s="179"/>
      <c r="C54" s="19" t="s">
        <v>2534</v>
      </c>
      <c r="D54" s="19" t="s">
        <v>2535</v>
      </c>
      <c r="E54" s="20" t="s">
        <v>1857</v>
      </c>
      <c r="F54" s="32" t="s">
        <v>178</v>
      </c>
      <c r="G54" s="22" t="s">
        <v>53</v>
      </c>
      <c r="H54" s="23" t="s">
        <v>2536</v>
      </c>
      <c r="I54" s="24" t="s">
        <v>20</v>
      </c>
    </row>
    <row r="55" spans="1:9" ht="26.25" customHeight="1">
      <c r="A55" s="154">
        <f t="shared" si="0"/>
        <v>52</v>
      </c>
      <c r="B55" s="180"/>
      <c r="C55" s="31" t="s">
        <v>2548</v>
      </c>
      <c r="D55" s="19" t="s">
        <v>2549</v>
      </c>
      <c r="E55" s="20" t="s">
        <v>2550</v>
      </c>
      <c r="F55" s="32" t="s">
        <v>2551</v>
      </c>
      <c r="G55" s="22" t="s">
        <v>2552</v>
      </c>
      <c r="H55" s="23" t="s">
        <v>2553</v>
      </c>
      <c r="I55" s="24" t="s">
        <v>55</v>
      </c>
    </row>
    <row r="56" spans="1:9" ht="26.25" customHeight="1">
      <c r="A56" s="154">
        <f t="shared" si="0"/>
        <v>53</v>
      </c>
      <c r="B56" s="179"/>
      <c r="C56" s="19" t="s">
        <v>2574</v>
      </c>
      <c r="D56" s="19" t="s">
        <v>199</v>
      </c>
      <c r="E56" s="20" t="s">
        <v>2575</v>
      </c>
      <c r="F56" s="32" t="s">
        <v>52</v>
      </c>
      <c r="G56" s="22" t="s">
        <v>42</v>
      </c>
      <c r="H56" s="23" t="s">
        <v>2576</v>
      </c>
      <c r="I56" s="24" t="s">
        <v>20</v>
      </c>
    </row>
    <row r="57" spans="1:9" ht="26.25" customHeight="1">
      <c r="A57" s="154">
        <f t="shared" si="0"/>
        <v>54</v>
      </c>
      <c r="B57" s="180"/>
      <c r="C57" s="31" t="s">
        <v>2609</v>
      </c>
      <c r="D57" s="19" t="s">
        <v>2610</v>
      </c>
      <c r="E57" s="20" t="s">
        <v>2611</v>
      </c>
      <c r="F57" s="32" t="s">
        <v>222</v>
      </c>
      <c r="G57" s="22" t="s">
        <v>42</v>
      </c>
      <c r="H57" s="23" t="s">
        <v>2612</v>
      </c>
      <c r="I57" s="24" t="s">
        <v>55</v>
      </c>
    </row>
    <row r="58" spans="1:9" ht="26.25" customHeight="1">
      <c r="A58" s="154">
        <f t="shared" si="0"/>
        <v>55</v>
      </c>
      <c r="B58" s="180"/>
      <c r="C58" s="31" t="s">
        <v>2792</v>
      </c>
      <c r="D58" s="19" t="s">
        <v>2793</v>
      </c>
      <c r="E58" s="20" t="s">
        <v>1196</v>
      </c>
      <c r="F58" s="32" t="s">
        <v>170</v>
      </c>
      <c r="G58" s="22" t="s">
        <v>53</v>
      </c>
      <c r="H58" s="23" t="s">
        <v>2794</v>
      </c>
      <c r="I58" s="24" t="s">
        <v>55</v>
      </c>
    </row>
    <row r="59" spans="1:9" ht="26.25" customHeight="1">
      <c r="A59" s="154">
        <f t="shared" si="0"/>
        <v>56</v>
      </c>
      <c r="B59" s="180"/>
      <c r="C59" s="31" t="s">
        <v>2817</v>
      </c>
      <c r="D59" s="19" t="s">
        <v>2818</v>
      </c>
      <c r="E59" s="20" t="s">
        <v>2819</v>
      </c>
      <c r="F59" s="32" t="s">
        <v>2820</v>
      </c>
      <c r="G59" s="22" t="s">
        <v>31</v>
      </c>
      <c r="H59" s="23" t="s">
        <v>2821</v>
      </c>
      <c r="I59" s="24" t="s">
        <v>55</v>
      </c>
    </row>
    <row r="60" spans="1:9" ht="26.25" customHeight="1">
      <c r="A60" s="154">
        <f t="shared" si="0"/>
        <v>57</v>
      </c>
      <c r="B60" s="182"/>
      <c r="C60" s="70" t="s">
        <v>1217</v>
      </c>
      <c r="D60" s="39" t="s">
        <v>939</v>
      </c>
      <c r="E60" s="20" t="s">
        <v>1218</v>
      </c>
      <c r="F60" s="44">
        <v>2019</v>
      </c>
      <c r="G60" s="22" t="s">
        <v>1086</v>
      </c>
      <c r="H60" s="41" t="s">
        <v>2904</v>
      </c>
      <c r="I60" s="24" t="s">
        <v>55</v>
      </c>
    </row>
    <row r="61" spans="1:9" ht="26.25" customHeight="1">
      <c r="A61" s="154">
        <f t="shared" si="0"/>
        <v>58</v>
      </c>
      <c r="B61" s="180"/>
      <c r="C61" s="31" t="s">
        <v>609</v>
      </c>
      <c r="D61" s="19" t="s">
        <v>199</v>
      </c>
      <c r="E61" s="20" t="s">
        <v>610</v>
      </c>
      <c r="F61" s="32" t="s">
        <v>496</v>
      </c>
      <c r="G61" s="22" t="s">
        <v>42</v>
      </c>
      <c r="H61" s="23" t="s">
        <v>2907</v>
      </c>
      <c r="I61" s="24" t="s">
        <v>55</v>
      </c>
    </row>
    <row r="62" spans="1:9" ht="26.25" customHeight="1">
      <c r="A62" s="154">
        <f t="shared" si="0"/>
        <v>59</v>
      </c>
      <c r="B62" s="179"/>
      <c r="C62" s="19" t="s">
        <v>1638</v>
      </c>
      <c r="D62" s="19" t="s">
        <v>199</v>
      </c>
      <c r="E62" s="20" t="s">
        <v>1639</v>
      </c>
      <c r="F62" s="32" t="s">
        <v>52</v>
      </c>
      <c r="G62" s="22" t="s">
        <v>42</v>
      </c>
      <c r="H62" s="23" t="s">
        <v>2908</v>
      </c>
      <c r="I62" s="24" t="s">
        <v>20</v>
      </c>
    </row>
    <row r="63" spans="1:9" ht="26.25" customHeight="1">
      <c r="A63" s="154">
        <f t="shared" si="0"/>
        <v>60</v>
      </c>
      <c r="B63" s="179"/>
      <c r="C63" s="19" t="s">
        <v>1655</v>
      </c>
      <c r="D63" s="19" t="s">
        <v>199</v>
      </c>
      <c r="E63" s="20" t="s">
        <v>1656</v>
      </c>
      <c r="F63" s="32" t="s">
        <v>52</v>
      </c>
      <c r="G63" s="22" t="s">
        <v>42</v>
      </c>
      <c r="H63" s="23" t="s">
        <v>2909</v>
      </c>
      <c r="I63" s="24" t="s">
        <v>20</v>
      </c>
    </row>
    <row r="64" spans="1:9" ht="26.25" customHeight="1">
      <c r="A64" s="154">
        <f t="shared" si="0"/>
        <v>61</v>
      </c>
      <c r="B64" s="179"/>
      <c r="C64" s="19" t="s">
        <v>2910</v>
      </c>
      <c r="D64" s="19" t="s">
        <v>199</v>
      </c>
      <c r="E64" s="20" t="s">
        <v>1634</v>
      </c>
      <c r="F64" s="32" t="s">
        <v>52</v>
      </c>
      <c r="G64" s="22" t="s">
        <v>31</v>
      </c>
      <c r="H64" s="23" t="s">
        <v>2911</v>
      </c>
      <c r="I64" s="24" t="s">
        <v>20</v>
      </c>
    </row>
    <row r="65" spans="1:9" ht="26.25" customHeight="1">
      <c r="A65" s="154">
        <f t="shared" si="0"/>
        <v>62</v>
      </c>
      <c r="B65" s="179"/>
      <c r="C65" s="19" t="s">
        <v>2912</v>
      </c>
      <c r="D65" s="19" t="s">
        <v>199</v>
      </c>
      <c r="E65" s="20" t="s">
        <v>1645</v>
      </c>
      <c r="F65" s="32" t="s">
        <v>52</v>
      </c>
      <c r="G65" s="22" t="s">
        <v>42</v>
      </c>
      <c r="H65" s="23" t="s">
        <v>2913</v>
      </c>
      <c r="I65" s="24" t="s">
        <v>20</v>
      </c>
    </row>
    <row r="66" spans="1:9" ht="26.25" customHeight="1">
      <c r="A66" s="154">
        <f t="shared" si="0"/>
        <v>63</v>
      </c>
      <c r="B66" s="179"/>
      <c r="C66" s="19" t="s">
        <v>2914</v>
      </c>
      <c r="D66" s="19" t="s">
        <v>199</v>
      </c>
      <c r="E66" s="20" t="s">
        <v>1651</v>
      </c>
      <c r="F66" s="32" t="s">
        <v>52</v>
      </c>
      <c r="G66" s="22" t="s">
        <v>42</v>
      </c>
      <c r="H66" s="23" t="s">
        <v>2915</v>
      </c>
      <c r="I66" s="24" t="s">
        <v>20</v>
      </c>
    </row>
    <row r="67" spans="1:9" ht="26.25" customHeight="1">
      <c r="A67" s="154">
        <f t="shared" si="0"/>
        <v>64</v>
      </c>
      <c r="B67" s="180"/>
      <c r="C67" s="31" t="s">
        <v>2995</v>
      </c>
      <c r="D67" s="19" t="s">
        <v>2996</v>
      </c>
      <c r="E67" s="20" t="s">
        <v>2997</v>
      </c>
      <c r="F67" s="32" t="s">
        <v>2998</v>
      </c>
      <c r="G67" s="22" t="s">
        <v>53</v>
      </c>
      <c r="H67" s="23" t="s">
        <v>2999</v>
      </c>
      <c r="I67" s="24" t="s">
        <v>55</v>
      </c>
    </row>
    <row r="68" spans="1:9" ht="26.25" customHeight="1">
      <c r="A68" s="154">
        <f t="shared" si="0"/>
        <v>65</v>
      </c>
      <c r="B68" s="179"/>
      <c r="C68" s="19" t="s">
        <v>3012</v>
      </c>
      <c r="D68" s="19" t="s">
        <v>2445</v>
      </c>
      <c r="E68" s="20" t="s">
        <v>3013</v>
      </c>
      <c r="F68" s="32" t="s">
        <v>52</v>
      </c>
      <c r="G68" s="22" t="s">
        <v>42</v>
      </c>
      <c r="H68" s="23" t="s">
        <v>3014</v>
      </c>
      <c r="I68" s="24" t="s">
        <v>20</v>
      </c>
    </row>
    <row r="69" spans="1:9" ht="26.25" customHeight="1">
      <c r="A69" s="154">
        <f t="shared" si="0"/>
        <v>66</v>
      </c>
      <c r="B69" s="179"/>
      <c r="C69" s="19" t="s">
        <v>3053</v>
      </c>
      <c r="D69" s="19" t="s">
        <v>124</v>
      </c>
      <c r="E69" s="20" t="s">
        <v>3054</v>
      </c>
      <c r="F69" s="32" t="s">
        <v>52</v>
      </c>
      <c r="G69" s="22" t="s">
        <v>42</v>
      </c>
      <c r="H69" s="23" t="s">
        <v>3055</v>
      </c>
      <c r="I69" s="24" t="s">
        <v>20</v>
      </c>
    </row>
    <row r="70" spans="1:9" ht="26.25" customHeight="1">
      <c r="A70" s="154">
        <f t="shared" si="0"/>
        <v>67</v>
      </c>
      <c r="B70" s="179"/>
      <c r="C70" s="19" t="s">
        <v>3157</v>
      </c>
      <c r="D70" s="19" t="s">
        <v>1058</v>
      </c>
      <c r="E70" s="20" t="s">
        <v>3158</v>
      </c>
      <c r="F70" s="32" t="s">
        <v>52</v>
      </c>
      <c r="G70" s="22" t="s">
        <v>42</v>
      </c>
      <c r="H70" s="23" t="s">
        <v>3159</v>
      </c>
      <c r="I70" s="24" t="s">
        <v>20</v>
      </c>
    </row>
    <row r="71" spans="1:9" ht="26.25" customHeight="1">
      <c r="A71" s="154">
        <f t="shared" si="0"/>
        <v>68</v>
      </c>
      <c r="B71" s="179"/>
      <c r="C71" s="19" t="s">
        <v>1763</v>
      </c>
      <c r="D71" s="19" t="s">
        <v>3166</v>
      </c>
      <c r="E71" s="20" t="s">
        <v>1764</v>
      </c>
      <c r="F71" s="32" t="s">
        <v>3167</v>
      </c>
      <c r="G71" s="22" t="s">
        <v>42</v>
      </c>
      <c r="H71" s="23" t="s">
        <v>3168</v>
      </c>
      <c r="I71" s="24" t="s">
        <v>20</v>
      </c>
    </row>
    <row r="72" spans="1:9" ht="26.25" customHeight="1">
      <c r="A72" s="154">
        <f t="shared" si="0"/>
        <v>69</v>
      </c>
      <c r="B72" s="179"/>
      <c r="C72" s="19" t="s">
        <v>3218</v>
      </c>
      <c r="D72" s="19" t="s">
        <v>124</v>
      </c>
      <c r="E72" s="20" t="s">
        <v>3219</v>
      </c>
      <c r="F72" s="32" t="s">
        <v>52</v>
      </c>
      <c r="G72" s="22" t="s">
        <v>42</v>
      </c>
      <c r="H72" s="23" t="s">
        <v>3220</v>
      </c>
      <c r="I72" s="24" t="s">
        <v>20</v>
      </c>
    </row>
    <row r="73" spans="1:9" ht="26.25" customHeight="1">
      <c r="A73" s="154">
        <f t="shared" si="0"/>
        <v>70</v>
      </c>
      <c r="B73" s="180"/>
      <c r="C73" s="31" t="s">
        <v>180</v>
      </c>
      <c r="D73" s="19" t="s">
        <v>1045</v>
      </c>
      <c r="E73" s="20" t="s">
        <v>182</v>
      </c>
      <c r="F73" s="32" t="s">
        <v>222</v>
      </c>
      <c r="G73" s="22" t="s">
        <v>53</v>
      </c>
      <c r="H73" s="23" t="s">
        <v>3224</v>
      </c>
      <c r="I73" s="24" t="s">
        <v>55</v>
      </c>
    </row>
    <row r="74" spans="1:9" ht="26.25" customHeight="1">
      <c r="A74" s="154">
        <f t="shared" si="0"/>
        <v>71</v>
      </c>
      <c r="B74" s="180"/>
      <c r="C74" s="31" t="s">
        <v>3232</v>
      </c>
      <c r="D74" s="19" t="s">
        <v>124</v>
      </c>
      <c r="E74" s="20" t="s">
        <v>3233</v>
      </c>
      <c r="F74" s="32" t="s">
        <v>3234</v>
      </c>
      <c r="G74" s="22" t="s">
        <v>18</v>
      </c>
      <c r="H74" s="23" t="s">
        <v>3235</v>
      </c>
      <c r="I74" s="24" t="s">
        <v>55</v>
      </c>
    </row>
    <row r="75" spans="1:9" ht="26.25" customHeight="1">
      <c r="A75" s="154">
        <f t="shared" si="0"/>
        <v>72</v>
      </c>
      <c r="B75" s="180"/>
      <c r="C75" s="31" t="s">
        <v>3243</v>
      </c>
      <c r="D75" s="19" t="s">
        <v>124</v>
      </c>
      <c r="E75" s="20" t="s">
        <v>3244</v>
      </c>
      <c r="F75" s="32" t="s">
        <v>222</v>
      </c>
      <c r="G75" s="22" t="s">
        <v>42</v>
      </c>
      <c r="H75" s="23" t="s">
        <v>3245</v>
      </c>
      <c r="I75" s="24" t="s">
        <v>55</v>
      </c>
    </row>
    <row r="76" spans="1:9" ht="26.25" customHeight="1">
      <c r="A76" s="154">
        <f t="shared" si="0"/>
        <v>73</v>
      </c>
      <c r="B76" s="179"/>
      <c r="C76" s="19" t="s">
        <v>3318</v>
      </c>
      <c r="D76" s="19" t="s">
        <v>3319</v>
      </c>
      <c r="E76" s="20" t="s">
        <v>3320</v>
      </c>
      <c r="F76" s="32" t="s">
        <v>4960</v>
      </c>
      <c r="G76" s="22" t="s">
        <v>53</v>
      </c>
      <c r="H76" s="23" t="s">
        <v>3321</v>
      </c>
      <c r="I76" s="24" t="s">
        <v>20</v>
      </c>
    </row>
    <row r="77" spans="1:9" ht="26.25" customHeight="1">
      <c r="A77" s="154">
        <f t="shared" si="0"/>
        <v>74</v>
      </c>
      <c r="B77" s="179"/>
      <c r="C77" s="19" t="s">
        <v>3322</v>
      </c>
      <c r="D77" s="19" t="s">
        <v>3323</v>
      </c>
      <c r="E77" s="20" t="s">
        <v>3324</v>
      </c>
      <c r="F77" s="32" t="s">
        <v>3775</v>
      </c>
      <c r="G77" s="22" t="s">
        <v>2552</v>
      </c>
      <c r="H77" s="23" t="s">
        <v>3325</v>
      </c>
      <c r="I77" s="24" t="s">
        <v>20</v>
      </c>
    </row>
    <row r="78" spans="1:9" ht="26.25" customHeight="1">
      <c r="A78" s="154">
        <f t="shared" si="0"/>
        <v>75</v>
      </c>
      <c r="B78" s="180"/>
      <c r="C78" s="31" t="s">
        <v>3333</v>
      </c>
      <c r="D78" s="19" t="s">
        <v>3334</v>
      </c>
      <c r="E78" s="20" t="s">
        <v>937</v>
      </c>
      <c r="F78" s="32" t="s">
        <v>170</v>
      </c>
      <c r="G78" s="22" t="s">
        <v>42</v>
      </c>
      <c r="H78" s="23" t="s">
        <v>3335</v>
      </c>
      <c r="I78" s="24" t="s">
        <v>55</v>
      </c>
    </row>
    <row r="79" spans="1:9" ht="26.25" customHeight="1">
      <c r="A79" s="154">
        <f t="shared" si="0"/>
        <v>76</v>
      </c>
      <c r="B79" s="180"/>
      <c r="C79" s="31" t="s">
        <v>800</v>
      </c>
      <c r="D79" s="19" t="s">
        <v>3354</v>
      </c>
      <c r="E79" s="20" t="s">
        <v>802</v>
      </c>
      <c r="F79" s="32" t="s">
        <v>170</v>
      </c>
      <c r="G79" s="22" t="s">
        <v>63</v>
      </c>
      <c r="H79" s="23" t="s">
        <v>3355</v>
      </c>
      <c r="I79" s="24" t="s">
        <v>55</v>
      </c>
    </row>
    <row r="80" spans="1:9" ht="26.25" customHeight="1">
      <c r="A80" s="154">
        <f t="shared" si="0"/>
        <v>77</v>
      </c>
      <c r="B80" s="179"/>
      <c r="C80" s="19" t="s">
        <v>3369</v>
      </c>
      <c r="D80" s="19" t="s">
        <v>124</v>
      </c>
      <c r="E80" s="20" t="s">
        <v>3370</v>
      </c>
      <c r="F80" s="32" t="s">
        <v>52</v>
      </c>
      <c r="G80" s="22" t="s">
        <v>42</v>
      </c>
      <c r="H80" s="23" t="s">
        <v>3371</v>
      </c>
      <c r="I80" s="24" t="s">
        <v>20</v>
      </c>
    </row>
    <row r="81" spans="1:9" ht="26.25" customHeight="1">
      <c r="A81" s="154">
        <f t="shared" si="0"/>
        <v>78</v>
      </c>
      <c r="B81" s="180"/>
      <c r="C81" s="31" t="s">
        <v>3430</v>
      </c>
      <c r="D81" s="19" t="s">
        <v>3431</v>
      </c>
      <c r="E81" s="20" t="s">
        <v>3432</v>
      </c>
      <c r="F81" s="32" t="s">
        <v>3433</v>
      </c>
      <c r="G81" s="22" t="s">
        <v>63</v>
      </c>
      <c r="H81" s="23" t="s">
        <v>3434</v>
      </c>
      <c r="I81" s="24" t="s">
        <v>55</v>
      </c>
    </row>
    <row r="82" spans="1:9" ht="26.25" customHeight="1">
      <c r="A82" s="154">
        <f t="shared" si="0"/>
        <v>79</v>
      </c>
      <c r="B82" s="180"/>
      <c r="C82" s="31" t="s">
        <v>3441</v>
      </c>
      <c r="D82" s="19" t="s">
        <v>3442</v>
      </c>
      <c r="E82" s="20" t="s">
        <v>3443</v>
      </c>
      <c r="F82" s="32" t="s">
        <v>3444</v>
      </c>
      <c r="G82" s="22" t="s">
        <v>1086</v>
      </c>
      <c r="H82" s="23" t="s">
        <v>3445</v>
      </c>
      <c r="I82" s="24" t="s">
        <v>55</v>
      </c>
    </row>
    <row r="83" spans="1:9" ht="26.25" customHeight="1">
      <c r="A83" s="154">
        <f t="shared" si="0"/>
        <v>80</v>
      </c>
      <c r="B83" s="180"/>
      <c r="C83" s="31" t="s">
        <v>1475</v>
      </c>
      <c r="D83" s="19" t="s">
        <v>3506</v>
      </c>
      <c r="E83" s="20" t="s">
        <v>1477</v>
      </c>
      <c r="F83" s="32" t="s">
        <v>3507</v>
      </c>
      <c r="G83" s="22" t="s">
        <v>53</v>
      </c>
      <c r="H83" s="23" t="s">
        <v>3508</v>
      </c>
      <c r="I83" s="95" t="s">
        <v>20</v>
      </c>
    </row>
    <row r="84" spans="1:9" ht="26.25" customHeight="1">
      <c r="A84" s="154">
        <f t="shared" si="0"/>
        <v>81</v>
      </c>
      <c r="B84" s="179"/>
      <c r="C84" s="19" t="s">
        <v>3543</v>
      </c>
      <c r="D84" s="19" t="s">
        <v>1058</v>
      </c>
      <c r="E84" s="20" t="s">
        <v>3544</v>
      </c>
      <c r="F84" s="32" t="s">
        <v>52</v>
      </c>
      <c r="G84" s="22" t="s">
        <v>42</v>
      </c>
      <c r="H84" s="23" t="s">
        <v>3545</v>
      </c>
      <c r="I84" s="24" t="s">
        <v>20</v>
      </c>
    </row>
    <row r="85" spans="1:9" ht="26.25" customHeight="1">
      <c r="A85" s="154">
        <f t="shared" si="0"/>
        <v>82</v>
      </c>
      <c r="B85" s="180"/>
      <c r="C85" s="31" t="s">
        <v>3556</v>
      </c>
      <c r="D85" s="19" t="s">
        <v>650</v>
      </c>
      <c r="E85" s="20" t="s">
        <v>1242</v>
      </c>
      <c r="F85" s="32" t="s">
        <v>170</v>
      </c>
      <c r="G85" s="22" t="s">
        <v>53</v>
      </c>
      <c r="H85" s="23" t="s">
        <v>3557</v>
      </c>
      <c r="I85" s="24" t="s">
        <v>55</v>
      </c>
    </row>
    <row r="86" spans="1:9" ht="26.25" customHeight="1">
      <c r="A86" s="154">
        <f t="shared" si="0"/>
        <v>83</v>
      </c>
      <c r="B86" s="180"/>
      <c r="C86" s="31" t="s">
        <v>3566</v>
      </c>
      <c r="D86" s="19" t="s">
        <v>3567</v>
      </c>
      <c r="E86" s="20" t="s">
        <v>3568</v>
      </c>
      <c r="F86" s="32" t="s">
        <v>3569</v>
      </c>
      <c r="G86" s="22" t="s">
        <v>53</v>
      </c>
      <c r="H86" s="23" t="s">
        <v>3570</v>
      </c>
      <c r="I86" s="24" t="s">
        <v>55</v>
      </c>
    </row>
    <row r="87" spans="1:9" ht="26.25" customHeight="1">
      <c r="A87" s="154">
        <f t="shared" si="0"/>
        <v>84</v>
      </c>
      <c r="B87" s="179"/>
      <c r="C87" s="19" t="s">
        <v>3571</v>
      </c>
      <c r="D87" s="19" t="s">
        <v>3567</v>
      </c>
      <c r="E87" s="20" t="s">
        <v>3572</v>
      </c>
      <c r="F87" s="32" t="s">
        <v>4961</v>
      </c>
      <c r="G87" s="22" t="s">
        <v>53</v>
      </c>
      <c r="H87" s="23" t="s">
        <v>3574</v>
      </c>
      <c r="I87" s="24" t="s">
        <v>20</v>
      </c>
    </row>
    <row r="88" spans="1:9" ht="26.25" customHeight="1">
      <c r="A88" s="154">
        <f t="shared" si="0"/>
        <v>85</v>
      </c>
      <c r="B88" s="179"/>
      <c r="C88" s="19" t="s">
        <v>3579</v>
      </c>
      <c r="D88" s="19" t="s">
        <v>3580</v>
      </c>
      <c r="E88" s="20" t="s">
        <v>1850</v>
      </c>
      <c r="F88" s="32" t="s">
        <v>3581</v>
      </c>
      <c r="G88" s="22" t="s">
        <v>53</v>
      </c>
      <c r="H88" s="23" t="s">
        <v>3582</v>
      </c>
      <c r="I88" s="24" t="s">
        <v>20</v>
      </c>
    </row>
    <row r="89" spans="1:9" ht="26.25" customHeight="1">
      <c r="A89" s="154">
        <f t="shared" si="0"/>
        <v>86</v>
      </c>
      <c r="B89" s="180"/>
      <c r="C89" s="31" t="s">
        <v>786</v>
      </c>
      <c r="D89" s="19" t="s">
        <v>3587</v>
      </c>
      <c r="E89" s="20" t="s">
        <v>788</v>
      </c>
      <c r="F89" s="32" t="s">
        <v>1033</v>
      </c>
      <c r="G89" s="22" t="s">
        <v>53</v>
      </c>
      <c r="H89" s="23" t="s">
        <v>3588</v>
      </c>
      <c r="I89" s="24" t="s">
        <v>55</v>
      </c>
    </row>
    <row r="90" spans="1:9" ht="26.25" customHeight="1">
      <c r="A90" s="154">
        <f t="shared" si="0"/>
        <v>87</v>
      </c>
      <c r="B90" s="179"/>
      <c r="C90" s="19" t="s">
        <v>3595</v>
      </c>
      <c r="D90" s="19" t="s">
        <v>3596</v>
      </c>
      <c r="E90" s="20" t="s">
        <v>3597</v>
      </c>
      <c r="F90" s="32" t="s">
        <v>52</v>
      </c>
      <c r="G90" s="22" t="s">
        <v>53</v>
      </c>
      <c r="H90" s="23" t="s">
        <v>3598</v>
      </c>
      <c r="I90" s="24" t="s">
        <v>20</v>
      </c>
    </row>
    <row r="91" spans="1:9" ht="26.25" customHeight="1">
      <c r="A91" s="154">
        <f t="shared" si="0"/>
        <v>88</v>
      </c>
      <c r="B91" s="180"/>
      <c r="C91" s="31" t="s">
        <v>3599</v>
      </c>
      <c r="D91" s="19" t="s">
        <v>3600</v>
      </c>
      <c r="E91" s="20" t="s">
        <v>3601</v>
      </c>
      <c r="F91" s="32" t="s">
        <v>2718</v>
      </c>
      <c r="G91" s="22" t="s">
        <v>53</v>
      </c>
      <c r="H91" s="23" t="s">
        <v>3602</v>
      </c>
      <c r="I91" s="24" t="s">
        <v>55</v>
      </c>
    </row>
    <row r="92" spans="1:9" ht="26.25" customHeight="1">
      <c r="A92" s="154">
        <f t="shared" si="0"/>
        <v>89</v>
      </c>
      <c r="B92" s="179"/>
      <c r="C92" s="19" t="s">
        <v>1768</v>
      </c>
      <c r="D92" s="19" t="s">
        <v>1769</v>
      </c>
      <c r="E92" s="20" t="s">
        <v>1770</v>
      </c>
      <c r="F92" s="32" t="s">
        <v>178</v>
      </c>
      <c r="G92" s="22" t="s">
        <v>53</v>
      </c>
      <c r="H92" s="23" t="s">
        <v>3621</v>
      </c>
      <c r="I92" s="24" t="s">
        <v>20</v>
      </c>
    </row>
    <row r="93" spans="1:9" ht="26.25" customHeight="1">
      <c r="A93" s="154">
        <f t="shared" si="0"/>
        <v>90</v>
      </c>
      <c r="B93" s="179"/>
      <c r="C93" s="19" t="s">
        <v>1772</v>
      </c>
      <c r="D93" s="19" t="s">
        <v>3622</v>
      </c>
      <c r="E93" s="20" t="s">
        <v>1774</v>
      </c>
      <c r="F93" s="32" t="s">
        <v>52</v>
      </c>
      <c r="G93" s="22" t="s">
        <v>53</v>
      </c>
      <c r="H93" s="23" t="s">
        <v>3623</v>
      </c>
      <c r="I93" s="24" t="s">
        <v>20</v>
      </c>
    </row>
    <row r="94" spans="1:9" ht="26.25" customHeight="1">
      <c r="A94" s="154">
        <f t="shared" si="0"/>
        <v>91</v>
      </c>
      <c r="B94" s="179"/>
      <c r="C94" s="19" t="s">
        <v>3624</v>
      </c>
      <c r="D94" s="19" t="s">
        <v>3625</v>
      </c>
      <c r="E94" s="20" t="s">
        <v>3626</v>
      </c>
      <c r="F94" s="32" t="s">
        <v>4962</v>
      </c>
      <c r="G94" s="22" t="s">
        <v>53</v>
      </c>
      <c r="H94" s="23" t="s">
        <v>3628</v>
      </c>
      <c r="I94" s="24" t="s">
        <v>20</v>
      </c>
    </row>
    <row r="95" spans="1:9" ht="26.25" customHeight="1">
      <c r="A95" s="154">
        <f t="shared" si="0"/>
        <v>92</v>
      </c>
      <c r="B95" s="180"/>
      <c r="C95" s="31" t="s">
        <v>3629</v>
      </c>
      <c r="D95" s="19" t="s">
        <v>3630</v>
      </c>
      <c r="E95" s="20" t="s">
        <v>3631</v>
      </c>
      <c r="F95" s="32" t="s">
        <v>3632</v>
      </c>
      <c r="G95" s="22" t="s">
        <v>53</v>
      </c>
      <c r="H95" s="23" t="s">
        <v>3633</v>
      </c>
      <c r="I95" s="24" t="s">
        <v>55</v>
      </c>
    </row>
    <row r="96" spans="1:9" ht="26.25" customHeight="1">
      <c r="A96" s="154">
        <f t="shared" si="0"/>
        <v>93</v>
      </c>
      <c r="B96" s="179"/>
      <c r="C96" s="19" t="s">
        <v>3634</v>
      </c>
      <c r="D96" s="19" t="s">
        <v>3635</v>
      </c>
      <c r="E96" s="100" t="s">
        <v>4963</v>
      </c>
      <c r="F96" s="32" t="s">
        <v>4964</v>
      </c>
      <c r="G96" s="22" t="s">
        <v>53</v>
      </c>
      <c r="H96" s="23" t="s">
        <v>3638</v>
      </c>
      <c r="I96" s="24" t="s">
        <v>20</v>
      </c>
    </row>
    <row r="97" spans="1:9" ht="26.25" customHeight="1">
      <c r="A97" s="154">
        <f t="shared" si="0"/>
        <v>94</v>
      </c>
      <c r="B97" s="179"/>
      <c r="C97" s="19" t="s">
        <v>1779</v>
      </c>
      <c r="D97" s="19" t="s">
        <v>3584</v>
      </c>
      <c r="E97" s="20" t="s">
        <v>1781</v>
      </c>
      <c r="F97" s="32" t="s">
        <v>52</v>
      </c>
      <c r="G97" s="22" t="s">
        <v>53</v>
      </c>
      <c r="H97" s="23" t="s">
        <v>3639</v>
      </c>
      <c r="I97" s="24" t="s">
        <v>20</v>
      </c>
    </row>
    <row r="98" spans="1:9" ht="26.25" customHeight="1">
      <c r="A98" s="154">
        <f t="shared" si="0"/>
        <v>95</v>
      </c>
      <c r="B98" s="179"/>
      <c r="C98" s="19" t="s">
        <v>3640</v>
      </c>
      <c r="D98" s="19" t="s">
        <v>2015</v>
      </c>
      <c r="E98" s="20" t="s">
        <v>3641</v>
      </c>
      <c r="F98" s="32" t="s">
        <v>4965</v>
      </c>
      <c r="G98" s="22" t="s">
        <v>53</v>
      </c>
      <c r="H98" s="23" t="s">
        <v>3643</v>
      </c>
      <c r="I98" s="24" t="s">
        <v>20</v>
      </c>
    </row>
    <row r="99" spans="1:9" ht="26.25" customHeight="1">
      <c r="A99" s="154">
        <f t="shared" si="0"/>
        <v>96</v>
      </c>
      <c r="B99" s="180"/>
      <c r="C99" s="31" t="s">
        <v>3680</v>
      </c>
      <c r="D99" s="19" t="s">
        <v>3681</v>
      </c>
      <c r="E99" s="20" t="s">
        <v>3682</v>
      </c>
      <c r="F99" s="32" t="s">
        <v>3683</v>
      </c>
      <c r="G99" s="22" t="s">
        <v>53</v>
      </c>
      <c r="H99" s="23" t="s">
        <v>3684</v>
      </c>
      <c r="I99" s="24" t="s">
        <v>55</v>
      </c>
    </row>
    <row r="100" spans="1:9" ht="26.25" customHeight="1">
      <c r="A100" s="154">
        <f t="shared" si="0"/>
        <v>97</v>
      </c>
      <c r="B100" s="180"/>
      <c r="C100" s="31" t="s">
        <v>3690</v>
      </c>
      <c r="D100" s="19" t="s">
        <v>3691</v>
      </c>
      <c r="E100" s="20" t="s">
        <v>3692</v>
      </c>
      <c r="F100" s="32" t="s">
        <v>3693</v>
      </c>
      <c r="G100" s="22" t="s">
        <v>53</v>
      </c>
      <c r="H100" s="23" t="s">
        <v>3694</v>
      </c>
      <c r="I100" s="24" t="s">
        <v>55</v>
      </c>
    </row>
    <row r="101" spans="1:9" ht="26.25" customHeight="1">
      <c r="A101" s="154">
        <f t="shared" si="0"/>
        <v>98</v>
      </c>
      <c r="B101" s="180"/>
      <c r="C101" s="31" t="s">
        <v>3695</v>
      </c>
      <c r="D101" s="19" t="s">
        <v>3696</v>
      </c>
      <c r="E101" s="20" t="s">
        <v>3697</v>
      </c>
      <c r="F101" s="32" t="s">
        <v>3698</v>
      </c>
      <c r="G101" s="22" t="s">
        <v>53</v>
      </c>
      <c r="H101" s="23" t="s">
        <v>3699</v>
      </c>
      <c r="I101" s="24" t="s">
        <v>55</v>
      </c>
    </row>
    <row r="102" spans="1:9" ht="26.25" customHeight="1">
      <c r="A102" s="154">
        <f t="shared" si="0"/>
        <v>99</v>
      </c>
      <c r="B102" s="179"/>
      <c r="C102" s="19" t="s">
        <v>3700</v>
      </c>
      <c r="D102" s="19" t="s">
        <v>3701</v>
      </c>
      <c r="E102" s="20" t="s">
        <v>3702</v>
      </c>
      <c r="F102" s="32" t="s">
        <v>3736</v>
      </c>
      <c r="G102" s="22" t="s">
        <v>53</v>
      </c>
      <c r="H102" s="23" t="s">
        <v>3703</v>
      </c>
      <c r="I102" s="24" t="s">
        <v>20</v>
      </c>
    </row>
    <row r="103" spans="1:9" ht="26.25" customHeight="1">
      <c r="A103" s="154">
        <f t="shared" si="0"/>
        <v>100</v>
      </c>
      <c r="B103" s="179"/>
      <c r="C103" s="19" t="s">
        <v>3704</v>
      </c>
      <c r="D103" s="19" t="s">
        <v>3705</v>
      </c>
      <c r="E103" s="20" t="s">
        <v>3706</v>
      </c>
      <c r="F103" s="32" t="s">
        <v>178</v>
      </c>
      <c r="G103" s="22" t="s">
        <v>53</v>
      </c>
      <c r="H103" s="23" t="s">
        <v>3707</v>
      </c>
      <c r="I103" s="24" t="s">
        <v>20</v>
      </c>
    </row>
    <row r="104" spans="1:9" ht="26.25" customHeight="1">
      <c r="A104" s="154">
        <f t="shared" si="0"/>
        <v>101</v>
      </c>
      <c r="B104" s="179"/>
      <c r="C104" s="19" t="s">
        <v>3734</v>
      </c>
      <c r="D104" s="19" t="s">
        <v>3735</v>
      </c>
      <c r="E104" s="20" t="s">
        <v>1802</v>
      </c>
      <c r="F104" s="32" t="s">
        <v>3736</v>
      </c>
      <c r="G104" s="22" t="s">
        <v>53</v>
      </c>
      <c r="H104" s="23" t="s">
        <v>3737</v>
      </c>
      <c r="I104" s="24" t="s">
        <v>20</v>
      </c>
    </row>
    <row r="105" spans="1:9" ht="26.25" customHeight="1">
      <c r="A105" s="154">
        <f t="shared" si="0"/>
        <v>102</v>
      </c>
      <c r="B105" s="179"/>
      <c r="C105" s="19" t="s">
        <v>3756</v>
      </c>
      <c r="D105" s="19" t="s">
        <v>3757</v>
      </c>
      <c r="E105" s="20" t="s">
        <v>3758</v>
      </c>
      <c r="F105" s="32" t="s">
        <v>4966</v>
      </c>
      <c r="G105" s="22" t="s">
        <v>53</v>
      </c>
      <c r="H105" s="23" t="s">
        <v>3759</v>
      </c>
      <c r="I105" s="24" t="s">
        <v>20</v>
      </c>
    </row>
    <row r="106" spans="1:9" ht="26.25" customHeight="1">
      <c r="A106" s="154">
        <f t="shared" si="0"/>
        <v>103</v>
      </c>
      <c r="B106" s="179"/>
      <c r="C106" s="19" t="s">
        <v>3789</v>
      </c>
      <c r="D106" s="19" t="s">
        <v>3790</v>
      </c>
      <c r="E106" s="100" t="s">
        <v>4967</v>
      </c>
      <c r="F106" s="32" t="s">
        <v>2902</v>
      </c>
      <c r="G106" s="22" t="s">
        <v>53</v>
      </c>
      <c r="H106" s="23" t="s">
        <v>3793</v>
      </c>
      <c r="I106" s="24" t="s">
        <v>20</v>
      </c>
    </row>
    <row r="107" spans="1:9" ht="26.25" customHeight="1">
      <c r="A107" s="154">
        <f t="shared" si="0"/>
        <v>104</v>
      </c>
      <c r="B107" s="180"/>
      <c r="C107" s="31" t="s">
        <v>3828</v>
      </c>
      <c r="D107" s="19" t="s">
        <v>3829</v>
      </c>
      <c r="E107" s="20" t="s">
        <v>3830</v>
      </c>
      <c r="F107" s="32" t="s">
        <v>170</v>
      </c>
      <c r="G107" s="22" t="s">
        <v>53</v>
      </c>
      <c r="H107" s="23" t="s">
        <v>3831</v>
      </c>
      <c r="I107" s="24" t="s">
        <v>55</v>
      </c>
    </row>
    <row r="108" spans="1:9" ht="26.25" customHeight="1">
      <c r="A108" s="154">
        <f t="shared" si="0"/>
        <v>105</v>
      </c>
      <c r="B108" s="179"/>
      <c r="C108" s="19" t="s">
        <v>3841</v>
      </c>
      <c r="D108" s="19" t="s">
        <v>4968</v>
      </c>
      <c r="E108" s="103" t="s">
        <v>3843</v>
      </c>
      <c r="F108" s="32" t="s">
        <v>4969</v>
      </c>
      <c r="G108" s="22" t="s">
        <v>53</v>
      </c>
      <c r="H108" s="23" t="s">
        <v>3844</v>
      </c>
      <c r="I108" s="24" t="s">
        <v>20</v>
      </c>
    </row>
    <row r="109" spans="1:9" ht="26.25" customHeight="1">
      <c r="A109" s="154">
        <f t="shared" si="0"/>
        <v>106</v>
      </c>
      <c r="B109" s="179"/>
      <c r="C109" s="19" t="s">
        <v>3845</v>
      </c>
      <c r="D109" s="19" t="s">
        <v>3846</v>
      </c>
      <c r="E109" s="20" t="s">
        <v>3847</v>
      </c>
      <c r="F109" s="32" t="s">
        <v>4970</v>
      </c>
      <c r="G109" s="22" t="s">
        <v>53</v>
      </c>
      <c r="H109" s="23" t="s">
        <v>3849</v>
      </c>
      <c r="I109" s="24" t="s">
        <v>20</v>
      </c>
    </row>
    <row r="110" spans="1:9" ht="26.25" customHeight="1">
      <c r="A110" s="154">
        <f t="shared" si="0"/>
        <v>107</v>
      </c>
      <c r="B110" s="179"/>
      <c r="C110" s="19" t="s">
        <v>3938</v>
      </c>
      <c r="D110" s="19" t="s">
        <v>2015</v>
      </c>
      <c r="E110" s="20" t="s">
        <v>1741</v>
      </c>
      <c r="F110" s="32" t="s">
        <v>3939</v>
      </c>
      <c r="G110" s="22" t="s">
        <v>53</v>
      </c>
      <c r="H110" s="23" t="s">
        <v>3940</v>
      </c>
      <c r="I110" s="24" t="s">
        <v>20</v>
      </c>
    </row>
    <row r="111" spans="1:9" ht="26.25" customHeight="1">
      <c r="A111" s="154">
        <f t="shared" si="0"/>
        <v>108</v>
      </c>
      <c r="B111" s="179"/>
      <c r="C111" s="19" t="s">
        <v>3941</v>
      </c>
      <c r="D111" s="19" t="s">
        <v>2015</v>
      </c>
      <c r="E111" s="20" t="s">
        <v>1747</v>
      </c>
      <c r="F111" s="32" t="s">
        <v>3942</v>
      </c>
      <c r="G111" s="22" t="s">
        <v>63</v>
      </c>
      <c r="H111" s="23" t="s">
        <v>3943</v>
      </c>
      <c r="I111" s="24" t="s">
        <v>20</v>
      </c>
    </row>
    <row r="112" spans="1:9" ht="26.25" customHeight="1">
      <c r="A112" s="154">
        <f t="shared" si="0"/>
        <v>109</v>
      </c>
      <c r="B112" s="179"/>
      <c r="C112" s="19" t="s">
        <v>3944</v>
      </c>
      <c r="D112" s="19" t="s">
        <v>2015</v>
      </c>
      <c r="E112" s="20" t="s">
        <v>1752</v>
      </c>
      <c r="F112" s="32" t="s">
        <v>52</v>
      </c>
      <c r="G112" s="22" t="s">
        <v>63</v>
      </c>
      <c r="H112" s="23" t="s">
        <v>3945</v>
      </c>
      <c r="I112" s="24" t="s">
        <v>20</v>
      </c>
    </row>
    <row r="113" spans="1:9" ht="26.25" customHeight="1">
      <c r="A113" s="154">
        <f t="shared" si="0"/>
        <v>110</v>
      </c>
      <c r="B113" s="183"/>
      <c r="C113" s="22" t="s">
        <v>4110</v>
      </c>
      <c r="D113" s="42" t="s">
        <v>4111</v>
      </c>
      <c r="E113" s="104" t="s">
        <v>4112</v>
      </c>
      <c r="F113" s="32" t="s">
        <v>2718</v>
      </c>
      <c r="G113" s="22" t="s">
        <v>53</v>
      </c>
      <c r="H113" s="23" t="s">
        <v>4113</v>
      </c>
      <c r="I113" s="24" t="s">
        <v>55</v>
      </c>
    </row>
    <row r="114" spans="1:9" ht="26.25" customHeight="1">
      <c r="A114" s="154">
        <f t="shared" si="0"/>
        <v>111</v>
      </c>
      <c r="B114" s="179"/>
      <c r="C114" s="19" t="s">
        <v>4126</v>
      </c>
      <c r="D114" s="19" t="s">
        <v>4127</v>
      </c>
      <c r="E114" s="20" t="s">
        <v>4128</v>
      </c>
      <c r="F114" s="32" t="s">
        <v>3736</v>
      </c>
      <c r="G114" s="22" t="s">
        <v>53</v>
      </c>
      <c r="H114" s="23" t="s">
        <v>4129</v>
      </c>
      <c r="I114" s="24" t="s">
        <v>20</v>
      </c>
    </row>
    <row r="115" spans="1:9" ht="26.25" customHeight="1">
      <c r="A115" s="154">
        <f t="shared" si="0"/>
        <v>112</v>
      </c>
      <c r="B115" s="180"/>
      <c r="C115" s="31" t="s">
        <v>4138</v>
      </c>
      <c r="D115" s="19" t="s">
        <v>4139</v>
      </c>
      <c r="E115" s="20" t="s">
        <v>4140</v>
      </c>
      <c r="F115" s="32" t="s">
        <v>4141</v>
      </c>
      <c r="G115" s="22" t="s">
        <v>53</v>
      </c>
      <c r="H115" s="23" t="s">
        <v>4142</v>
      </c>
      <c r="I115" s="24" t="s">
        <v>55</v>
      </c>
    </row>
    <row r="116" spans="1:9" ht="26.25" customHeight="1">
      <c r="A116" s="154">
        <f t="shared" si="0"/>
        <v>113</v>
      </c>
      <c r="B116" s="179"/>
      <c r="C116" s="19" t="s">
        <v>4143</v>
      </c>
      <c r="D116" s="19" t="s">
        <v>4139</v>
      </c>
      <c r="E116" s="20" t="s">
        <v>1760</v>
      </c>
      <c r="F116" s="32" t="s">
        <v>4144</v>
      </c>
      <c r="G116" s="22" t="s">
        <v>53</v>
      </c>
      <c r="H116" s="23" t="s">
        <v>4145</v>
      </c>
      <c r="I116" s="24" t="s">
        <v>20</v>
      </c>
    </row>
    <row r="117" spans="1:9" ht="26.25" customHeight="1">
      <c r="A117" s="154">
        <f t="shared" si="0"/>
        <v>114</v>
      </c>
      <c r="B117" s="179"/>
      <c r="C117" s="19" t="s">
        <v>4165</v>
      </c>
      <c r="D117" s="19" t="s">
        <v>4166</v>
      </c>
      <c r="E117" s="20" t="s">
        <v>4167</v>
      </c>
      <c r="F117" s="32" t="s">
        <v>4971</v>
      </c>
      <c r="G117" s="22" t="s">
        <v>53</v>
      </c>
      <c r="H117" s="23" t="s">
        <v>4169</v>
      </c>
      <c r="I117" s="24" t="s">
        <v>20</v>
      </c>
    </row>
    <row r="118" spans="1:9" ht="26.25" customHeight="1">
      <c r="A118" s="154">
        <f t="shared" si="0"/>
        <v>115</v>
      </c>
      <c r="B118" s="179"/>
      <c r="C118" s="19" t="s">
        <v>4170</v>
      </c>
      <c r="D118" s="19" t="s">
        <v>4171</v>
      </c>
      <c r="E118" s="20" t="s">
        <v>4172</v>
      </c>
      <c r="F118" s="32" t="s">
        <v>52</v>
      </c>
      <c r="G118" s="22" t="s">
        <v>53</v>
      </c>
      <c r="H118" s="23" t="s">
        <v>4173</v>
      </c>
      <c r="I118" s="24" t="s">
        <v>20</v>
      </c>
    </row>
    <row r="119" spans="1:9" ht="26.25" customHeight="1">
      <c r="A119" s="154">
        <f t="shared" si="0"/>
        <v>116</v>
      </c>
      <c r="B119" s="180"/>
      <c r="C119" s="31" t="s">
        <v>4174</v>
      </c>
      <c r="D119" s="19" t="s">
        <v>4175</v>
      </c>
      <c r="E119" s="20" t="s">
        <v>4176</v>
      </c>
      <c r="F119" s="32" t="s">
        <v>4177</v>
      </c>
      <c r="G119" s="22" t="s">
        <v>53</v>
      </c>
      <c r="H119" s="23" t="s">
        <v>4178</v>
      </c>
      <c r="I119" s="24" t="s">
        <v>55</v>
      </c>
    </row>
    <row r="120" spans="1:9" ht="26.25" customHeight="1">
      <c r="A120" s="154">
        <f t="shared" si="0"/>
        <v>117</v>
      </c>
      <c r="B120" s="180"/>
      <c r="C120" s="31" t="s">
        <v>4179</v>
      </c>
      <c r="D120" s="19" t="s">
        <v>4180</v>
      </c>
      <c r="E120" s="20" t="s">
        <v>4181</v>
      </c>
      <c r="F120" s="32" t="s">
        <v>4182</v>
      </c>
      <c r="G120" s="22" t="s">
        <v>53</v>
      </c>
      <c r="H120" s="23" t="s">
        <v>4183</v>
      </c>
      <c r="I120" s="24" t="s">
        <v>55</v>
      </c>
    </row>
    <row r="121" spans="1:9" ht="26.25" customHeight="1">
      <c r="A121" s="154">
        <f t="shared" si="0"/>
        <v>118</v>
      </c>
      <c r="B121" s="180"/>
      <c r="C121" s="31" t="s">
        <v>4184</v>
      </c>
      <c r="D121" s="19" t="s">
        <v>4180</v>
      </c>
      <c r="E121" s="20" t="s">
        <v>4185</v>
      </c>
      <c r="F121" s="32" t="s">
        <v>4186</v>
      </c>
      <c r="G121" s="22" t="s">
        <v>53</v>
      </c>
      <c r="H121" s="23" t="s">
        <v>4187</v>
      </c>
      <c r="I121" s="24" t="s">
        <v>55</v>
      </c>
    </row>
    <row r="122" spans="1:9" ht="26.25" customHeight="1">
      <c r="A122" s="154">
        <f t="shared" si="0"/>
        <v>119</v>
      </c>
      <c r="B122" s="179"/>
      <c r="C122" s="19" t="s">
        <v>4188</v>
      </c>
      <c r="D122" s="19" t="s">
        <v>4180</v>
      </c>
      <c r="E122" s="20" t="s">
        <v>4189</v>
      </c>
      <c r="F122" s="32" t="s">
        <v>4972</v>
      </c>
      <c r="G122" s="22" t="s">
        <v>53</v>
      </c>
      <c r="H122" s="23" t="s">
        <v>4191</v>
      </c>
      <c r="I122" s="24" t="s">
        <v>20</v>
      </c>
    </row>
    <row r="123" spans="1:9" ht="26.25" customHeight="1">
      <c r="A123" s="154">
        <f t="shared" si="0"/>
        <v>120</v>
      </c>
      <c r="B123" s="180"/>
      <c r="C123" s="31" t="s">
        <v>4222</v>
      </c>
      <c r="D123" s="19" t="s">
        <v>4223</v>
      </c>
      <c r="E123" s="20" t="s">
        <v>4224</v>
      </c>
      <c r="F123" s="32" t="s">
        <v>4225</v>
      </c>
      <c r="G123" s="22" t="s">
        <v>53</v>
      </c>
      <c r="H123" s="23" t="s">
        <v>4226</v>
      </c>
      <c r="I123" s="24" t="s">
        <v>55</v>
      </c>
    </row>
    <row r="124" spans="1:9" ht="26.25" customHeight="1">
      <c r="A124" s="154">
        <f t="shared" si="0"/>
        <v>121</v>
      </c>
      <c r="B124" s="180"/>
      <c r="C124" s="31" t="s">
        <v>4227</v>
      </c>
      <c r="D124" s="19" t="s">
        <v>4223</v>
      </c>
      <c r="E124" s="20" t="s">
        <v>4228</v>
      </c>
      <c r="F124" s="32" t="s">
        <v>4225</v>
      </c>
      <c r="G124" s="22" t="s">
        <v>53</v>
      </c>
      <c r="H124" s="23" t="s">
        <v>4229</v>
      </c>
      <c r="I124" s="24" t="s">
        <v>55</v>
      </c>
    </row>
    <row r="125" spans="1:9" ht="26.25" customHeight="1">
      <c r="A125" s="154">
        <f t="shared" si="0"/>
        <v>122</v>
      </c>
      <c r="B125" s="180"/>
      <c r="C125" s="31" t="s">
        <v>4230</v>
      </c>
      <c r="D125" s="19" t="s">
        <v>4223</v>
      </c>
      <c r="E125" s="20" t="s">
        <v>4231</v>
      </c>
      <c r="F125" s="32" t="s">
        <v>4225</v>
      </c>
      <c r="G125" s="22" t="s">
        <v>53</v>
      </c>
      <c r="H125" s="23" t="s">
        <v>4232</v>
      </c>
      <c r="I125" s="24" t="s">
        <v>55</v>
      </c>
    </row>
    <row r="126" spans="1:9" ht="26.25" customHeight="1">
      <c r="A126" s="154">
        <f t="shared" si="0"/>
        <v>123</v>
      </c>
      <c r="B126" s="180"/>
      <c r="C126" s="31" t="s">
        <v>4233</v>
      </c>
      <c r="D126" s="19" t="s">
        <v>4223</v>
      </c>
      <c r="E126" s="20" t="s">
        <v>4234</v>
      </c>
      <c r="F126" s="32" t="s">
        <v>4225</v>
      </c>
      <c r="G126" s="22" t="s">
        <v>53</v>
      </c>
      <c r="H126" s="23" t="s">
        <v>4235</v>
      </c>
      <c r="I126" s="24" t="s">
        <v>55</v>
      </c>
    </row>
    <row r="127" spans="1:9" ht="26.25" customHeight="1">
      <c r="A127" s="154">
        <f t="shared" si="0"/>
        <v>124</v>
      </c>
      <c r="B127" s="180"/>
      <c r="C127" s="31" t="s">
        <v>4236</v>
      </c>
      <c r="D127" s="19" t="s">
        <v>4223</v>
      </c>
      <c r="E127" s="20" t="s">
        <v>4237</v>
      </c>
      <c r="F127" s="32" t="s">
        <v>4238</v>
      </c>
      <c r="G127" s="22" t="s">
        <v>53</v>
      </c>
      <c r="H127" s="23" t="s">
        <v>4239</v>
      </c>
      <c r="I127" s="24" t="s">
        <v>55</v>
      </c>
    </row>
    <row r="128" spans="1:9" ht="26.25" customHeight="1">
      <c r="A128" s="154">
        <f t="shared" si="0"/>
        <v>125</v>
      </c>
      <c r="B128" s="180"/>
      <c r="C128" s="31" t="s">
        <v>4240</v>
      </c>
      <c r="D128" s="19" t="s">
        <v>4223</v>
      </c>
      <c r="E128" s="20" t="s">
        <v>4241</v>
      </c>
      <c r="F128" s="32" t="s">
        <v>4225</v>
      </c>
      <c r="G128" s="22" t="s">
        <v>53</v>
      </c>
      <c r="H128" s="23" t="s">
        <v>4242</v>
      </c>
      <c r="I128" s="24" t="s">
        <v>55</v>
      </c>
    </row>
    <row r="129" spans="1:10" ht="26.25" customHeight="1">
      <c r="A129" s="154">
        <f t="shared" si="0"/>
        <v>126</v>
      </c>
      <c r="B129" s="180"/>
      <c r="C129" s="31" t="s">
        <v>4243</v>
      </c>
      <c r="D129" s="19" t="s">
        <v>4223</v>
      </c>
      <c r="E129" s="20" t="s">
        <v>4244</v>
      </c>
      <c r="F129" s="32" t="s">
        <v>4225</v>
      </c>
      <c r="G129" s="22" t="s">
        <v>53</v>
      </c>
      <c r="H129" s="23" t="s">
        <v>4245</v>
      </c>
      <c r="I129" s="24" t="s">
        <v>55</v>
      </c>
    </row>
    <row r="130" spans="1:10" ht="26.25" customHeight="1">
      <c r="A130" s="154">
        <f t="shared" si="0"/>
        <v>127</v>
      </c>
      <c r="B130" s="180"/>
      <c r="C130" s="31" t="s">
        <v>4246</v>
      </c>
      <c r="D130" s="19" t="s">
        <v>4223</v>
      </c>
      <c r="E130" s="20" t="s">
        <v>4247</v>
      </c>
      <c r="F130" s="32" t="s">
        <v>4248</v>
      </c>
      <c r="G130" s="22" t="s">
        <v>53</v>
      </c>
      <c r="H130" s="23" t="s">
        <v>4249</v>
      </c>
      <c r="I130" s="24" t="s">
        <v>55</v>
      </c>
    </row>
    <row r="131" spans="1:10" ht="26.25" customHeight="1">
      <c r="A131" s="154">
        <f t="shared" si="0"/>
        <v>128</v>
      </c>
      <c r="B131" s="180"/>
      <c r="C131" s="31" t="s">
        <v>4250</v>
      </c>
      <c r="D131" s="19" t="s">
        <v>4223</v>
      </c>
      <c r="E131" s="20" t="s">
        <v>4251</v>
      </c>
      <c r="F131" s="32" t="s">
        <v>4225</v>
      </c>
      <c r="G131" s="22" t="s">
        <v>53</v>
      </c>
      <c r="H131" s="23" t="s">
        <v>4252</v>
      </c>
      <c r="I131" s="24" t="s">
        <v>55</v>
      </c>
    </row>
    <row r="132" spans="1:10" ht="26.25" customHeight="1">
      <c r="A132" s="154">
        <f t="shared" si="0"/>
        <v>129</v>
      </c>
      <c r="B132" s="180"/>
      <c r="C132" s="31" t="s">
        <v>4253</v>
      </c>
      <c r="D132" s="19" t="s">
        <v>4223</v>
      </c>
      <c r="E132" s="20" t="s">
        <v>4254</v>
      </c>
      <c r="F132" s="32" t="s">
        <v>4255</v>
      </c>
      <c r="G132" s="22" t="s">
        <v>53</v>
      </c>
      <c r="H132" s="23" t="s">
        <v>4256</v>
      </c>
      <c r="I132" s="24" t="s">
        <v>55</v>
      </c>
    </row>
    <row r="133" spans="1:10" ht="26.25" customHeight="1">
      <c r="A133" s="154">
        <f t="shared" si="0"/>
        <v>130</v>
      </c>
      <c r="B133" s="180"/>
      <c r="C133" s="31" t="s">
        <v>4257</v>
      </c>
      <c r="D133" s="19" t="s">
        <v>4223</v>
      </c>
      <c r="E133" s="20" t="s">
        <v>4258</v>
      </c>
      <c r="F133" s="32" t="s">
        <v>4225</v>
      </c>
      <c r="G133" s="22" t="s">
        <v>53</v>
      </c>
      <c r="H133" s="23" t="s">
        <v>4259</v>
      </c>
      <c r="I133" s="24" t="s">
        <v>55</v>
      </c>
    </row>
    <row r="134" spans="1:10" ht="26.25" customHeight="1">
      <c r="A134" s="159">
        <f t="shared" si="0"/>
        <v>131</v>
      </c>
      <c r="B134" s="106"/>
      <c r="C134" s="85" t="s">
        <v>4260</v>
      </c>
      <c r="D134" s="160" t="s">
        <v>4223</v>
      </c>
      <c r="E134" s="113" t="s">
        <v>4261</v>
      </c>
      <c r="F134" s="105" t="s">
        <v>4225</v>
      </c>
      <c r="G134" s="22" t="s">
        <v>53</v>
      </c>
      <c r="H134" s="23" t="s">
        <v>4262</v>
      </c>
      <c r="I134" s="24" t="s">
        <v>55</v>
      </c>
    </row>
    <row r="135" spans="1:10" ht="26.25" customHeight="1">
      <c r="A135" s="161">
        <f t="shared" si="0"/>
        <v>132</v>
      </c>
      <c r="B135" s="184"/>
      <c r="C135" s="185" t="s">
        <v>4263</v>
      </c>
      <c r="D135" s="118" t="s">
        <v>4223</v>
      </c>
      <c r="E135" s="119" t="s">
        <v>4264</v>
      </c>
      <c r="F135" s="162" t="s">
        <v>4225</v>
      </c>
      <c r="G135" s="186" t="s">
        <v>53</v>
      </c>
      <c r="H135" s="187" t="s">
        <v>4265</v>
      </c>
      <c r="I135" s="165" t="s">
        <v>55</v>
      </c>
    </row>
    <row r="136" spans="1:10" ht="16.5" customHeight="1">
      <c r="A136" s="46"/>
      <c r="B136" s="6"/>
      <c r="C136" s="6"/>
      <c r="D136" s="166"/>
      <c r="E136" s="167"/>
      <c r="F136" s="168"/>
      <c r="G136" s="174"/>
      <c r="H136" s="188"/>
      <c r="I136" s="171"/>
      <c r="J136" s="5"/>
    </row>
    <row r="137" spans="1:10" ht="16.5" customHeight="1">
      <c r="A137" s="46"/>
      <c r="B137" s="172"/>
      <c r="C137" s="172"/>
      <c r="D137" s="173"/>
      <c r="E137" s="171"/>
      <c r="F137" s="168"/>
      <c r="G137" s="189"/>
      <c r="H137" s="190"/>
      <c r="I137" s="171"/>
      <c r="J137" s="5"/>
    </row>
    <row r="138" spans="1:10" ht="16.5" customHeight="1">
      <c r="A138" s="46"/>
      <c r="F138" s="5"/>
      <c r="G138" s="177"/>
      <c r="H138" s="5"/>
    </row>
    <row r="139" spans="1:10" ht="16.5" customHeight="1">
      <c r="A139" s="46"/>
      <c r="F139" s="5"/>
      <c r="G139" s="177"/>
      <c r="H139" s="5"/>
    </row>
    <row r="140" spans="1:10" ht="16.5" customHeight="1">
      <c r="A140" s="46"/>
      <c r="F140" s="5"/>
      <c r="G140" s="167"/>
      <c r="H140" s="5"/>
    </row>
    <row r="141" spans="1:10" ht="16.5" customHeight="1">
      <c r="A141" s="46"/>
      <c r="F141" s="5"/>
      <c r="G141" s="167"/>
      <c r="H141" s="5"/>
    </row>
    <row r="142" spans="1:10" ht="16.5" customHeight="1">
      <c r="A142" s="46"/>
      <c r="G142" s="167"/>
    </row>
    <row r="143" spans="1:10" ht="16.5" customHeight="1">
      <c r="A143" s="46"/>
      <c r="G143" s="167"/>
    </row>
    <row r="144" spans="1:10" ht="16.5" customHeight="1">
      <c r="A144" s="46"/>
      <c r="G144" s="167"/>
    </row>
    <row r="145" spans="1:7" ht="16.5" customHeight="1">
      <c r="A145" s="46"/>
      <c r="G145" s="167"/>
    </row>
    <row r="146" spans="1:7" ht="16.5" customHeight="1">
      <c r="A146" s="46"/>
      <c r="G146" s="167"/>
    </row>
    <row r="147" spans="1:7" ht="16.5" customHeight="1">
      <c r="A147" s="46"/>
      <c r="G147" s="167"/>
    </row>
    <row r="148" spans="1:7" ht="16.5" customHeight="1">
      <c r="A148" s="46"/>
      <c r="G148" s="167"/>
    </row>
    <row r="149" spans="1:7" ht="16.5" customHeight="1">
      <c r="A149" s="46"/>
      <c r="G149" s="167"/>
    </row>
    <row r="150" spans="1:7" ht="16.5" customHeight="1">
      <c r="A150" s="46"/>
      <c r="G150" s="167"/>
    </row>
    <row r="151" spans="1:7" ht="16.5" customHeight="1">
      <c r="A151" s="46"/>
      <c r="G151" s="167"/>
    </row>
    <row r="152" spans="1:7" ht="16.5" customHeight="1">
      <c r="A152" s="46"/>
      <c r="G152" s="167"/>
    </row>
    <row r="153" spans="1:7" ht="16.5" customHeight="1">
      <c r="A153" s="46"/>
      <c r="G153" s="167"/>
    </row>
    <row r="154" spans="1:7" ht="16.5" customHeight="1">
      <c r="A154" s="46"/>
      <c r="G154" s="167"/>
    </row>
    <row r="155" spans="1:7" ht="16.5" customHeight="1">
      <c r="A155" s="46"/>
      <c r="G155" s="167"/>
    </row>
    <row r="156" spans="1:7" ht="16.5" customHeight="1">
      <c r="A156" s="46"/>
      <c r="G156" s="167"/>
    </row>
    <row r="157" spans="1:7" ht="16.5" customHeight="1">
      <c r="A157" s="46"/>
      <c r="G157" s="167"/>
    </row>
    <row r="158" spans="1:7" ht="16.5" customHeight="1">
      <c r="A158" s="46"/>
      <c r="G158" s="167"/>
    </row>
    <row r="159" spans="1:7" ht="16.5" customHeight="1">
      <c r="A159" s="46"/>
      <c r="G159" s="167"/>
    </row>
    <row r="160" spans="1:7" ht="16.5" customHeight="1">
      <c r="A160" s="46"/>
      <c r="G160" s="167"/>
    </row>
    <row r="161" spans="1:7" ht="16.5" customHeight="1">
      <c r="A161" s="46"/>
      <c r="G161" s="167"/>
    </row>
    <row r="162" spans="1:7" ht="16.5" customHeight="1">
      <c r="A162" s="46"/>
      <c r="G162" s="167"/>
    </row>
    <row r="163" spans="1:7" ht="16.5" customHeight="1">
      <c r="A163" s="46"/>
      <c r="G163" s="167"/>
    </row>
    <row r="164" spans="1:7" ht="16.5" customHeight="1">
      <c r="A164" s="46"/>
      <c r="G164" s="167"/>
    </row>
    <row r="165" spans="1:7" ht="16.5" customHeight="1">
      <c r="A165" s="46"/>
      <c r="G165" s="167"/>
    </row>
    <row r="166" spans="1:7" ht="16.5" customHeight="1">
      <c r="A166" s="46"/>
      <c r="G166" s="167"/>
    </row>
    <row r="167" spans="1:7" ht="16.5" customHeight="1">
      <c r="A167" s="46"/>
      <c r="G167" s="167"/>
    </row>
    <row r="168" spans="1:7" ht="16.5" customHeight="1">
      <c r="A168" s="46"/>
      <c r="G168" s="167"/>
    </row>
    <row r="169" spans="1:7" ht="16.5" customHeight="1">
      <c r="A169" s="46"/>
      <c r="G169" s="167"/>
    </row>
    <row r="170" spans="1:7" ht="16.5" customHeight="1">
      <c r="A170" s="46"/>
      <c r="G170" s="167"/>
    </row>
    <row r="171" spans="1:7" ht="16.5" customHeight="1">
      <c r="A171" s="46"/>
      <c r="G171" s="167"/>
    </row>
    <row r="172" spans="1:7" ht="16.5" customHeight="1">
      <c r="A172" s="46"/>
      <c r="G172" s="167"/>
    </row>
    <row r="173" spans="1:7" ht="16.5" customHeight="1">
      <c r="A173" s="46"/>
      <c r="G173" s="167"/>
    </row>
    <row r="174" spans="1:7" ht="16.5" customHeight="1">
      <c r="A174" s="46"/>
      <c r="G174" s="167"/>
    </row>
    <row r="175" spans="1:7" ht="16.5" customHeight="1">
      <c r="A175" s="46"/>
      <c r="G175" s="167"/>
    </row>
    <row r="176" spans="1:7" ht="16.5" customHeight="1">
      <c r="A176" s="46"/>
      <c r="G176" s="167"/>
    </row>
    <row r="177" spans="1:7" ht="16.5" customHeight="1">
      <c r="A177" s="46"/>
      <c r="G177" s="167"/>
    </row>
    <row r="178" spans="1:7" ht="16.5" customHeight="1">
      <c r="A178" s="46"/>
      <c r="G178" s="167"/>
    </row>
    <row r="179" spans="1:7" ht="16.5" customHeight="1">
      <c r="A179" s="46"/>
      <c r="G179" s="167"/>
    </row>
    <row r="180" spans="1:7" ht="16.5" customHeight="1">
      <c r="A180" s="46"/>
      <c r="G180" s="167"/>
    </row>
    <row r="181" spans="1:7" ht="16.5" customHeight="1">
      <c r="A181" s="46"/>
      <c r="G181" s="167"/>
    </row>
    <row r="182" spans="1:7" ht="16.5" customHeight="1">
      <c r="A182" s="46"/>
      <c r="G182" s="167"/>
    </row>
    <row r="183" spans="1:7" ht="16.5" customHeight="1">
      <c r="A183" s="46"/>
      <c r="G183" s="167"/>
    </row>
    <row r="184" spans="1:7" ht="16.5" customHeight="1">
      <c r="A184" s="46"/>
      <c r="G184" s="167"/>
    </row>
    <row r="185" spans="1:7" ht="16.5" customHeight="1">
      <c r="A185" s="46"/>
      <c r="G185" s="167"/>
    </row>
    <row r="186" spans="1:7" ht="16.5" customHeight="1">
      <c r="A186" s="46"/>
      <c r="G186" s="167"/>
    </row>
    <row r="187" spans="1:7" ht="16.5" customHeight="1">
      <c r="A187" s="46"/>
      <c r="G187" s="167"/>
    </row>
    <row r="188" spans="1:7" ht="16.5" customHeight="1">
      <c r="A188" s="46"/>
      <c r="G188" s="167"/>
    </row>
    <row r="189" spans="1:7" ht="16.5" customHeight="1">
      <c r="A189" s="46"/>
      <c r="G189" s="167"/>
    </row>
    <row r="190" spans="1:7" ht="16.5" customHeight="1">
      <c r="A190" s="46"/>
      <c r="G190" s="167"/>
    </row>
    <row r="191" spans="1:7" ht="16.5" customHeight="1">
      <c r="A191" s="46"/>
      <c r="G191" s="167"/>
    </row>
    <row r="192" spans="1:7" ht="16.5" customHeight="1">
      <c r="A192" s="46"/>
      <c r="G192" s="167"/>
    </row>
    <row r="193" spans="1:7" ht="16.5" customHeight="1">
      <c r="A193" s="46"/>
      <c r="G193" s="167"/>
    </row>
    <row r="194" spans="1:7" ht="16.5" customHeight="1">
      <c r="A194" s="46"/>
      <c r="G194" s="167"/>
    </row>
    <row r="195" spans="1:7" ht="16.5" customHeight="1">
      <c r="A195" s="46"/>
      <c r="G195" s="167"/>
    </row>
    <row r="196" spans="1:7" ht="16.5" customHeight="1">
      <c r="A196" s="46"/>
      <c r="G196" s="167"/>
    </row>
    <row r="197" spans="1:7" ht="16.5" customHeight="1">
      <c r="A197" s="46"/>
      <c r="G197" s="167"/>
    </row>
    <row r="198" spans="1:7" ht="16.5" customHeight="1">
      <c r="A198" s="46"/>
      <c r="G198" s="167"/>
    </row>
    <row r="199" spans="1:7" ht="16.5" customHeight="1">
      <c r="A199" s="46"/>
      <c r="G199" s="167"/>
    </row>
    <row r="200" spans="1:7" ht="16.5" customHeight="1">
      <c r="A200" s="46"/>
      <c r="G200" s="167"/>
    </row>
    <row r="201" spans="1:7" ht="16.5" customHeight="1">
      <c r="A201" s="46"/>
      <c r="G201" s="167"/>
    </row>
    <row r="202" spans="1:7" ht="16.5" customHeight="1">
      <c r="A202" s="46"/>
      <c r="G202" s="167"/>
    </row>
    <row r="203" spans="1:7" ht="16.5" customHeight="1">
      <c r="A203" s="46"/>
      <c r="G203" s="167"/>
    </row>
    <row r="204" spans="1:7" ht="16.5" customHeight="1">
      <c r="A204" s="46"/>
      <c r="G204" s="167"/>
    </row>
    <row r="205" spans="1:7" ht="16.5" customHeight="1">
      <c r="A205" s="46"/>
      <c r="G205" s="167"/>
    </row>
    <row r="206" spans="1:7" ht="16.5" customHeight="1">
      <c r="A206" s="46"/>
      <c r="G206" s="167"/>
    </row>
    <row r="207" spans="1:7" ht="16.5" customHeight="1">
      <c r="A207" s="46"/>
      <c r="G207" s="167"/>
    </row>
    <row r="208" spans="1:7" ht="16.5" customHeight="1">
      <c r="A208" s="46"/>
      <c r="G208" s="167"/>
    </row>
    <row r="209" spans="1:7" ht="16.5" customHeight="1">
      <c r="A209" s="46"/>
      <c r="G209" s="167"/>
    </row>
    <row r="210" spans="1:7" ht="16.5" customHeight="1">
      <c r="A210" s="46"/>
      <c r="G210" s="167"/>
    </row>
    <row r="211" spans="1:7" ht="16.5" customHeight="1">
      <c r="A211" s="46"/>
      <c r="G211" s="167"/>
    </row>
    <row r="212" spans="1:7" ht="16.5" customHeight="1">
      <c r="A212" s="46"/>
      <c r="G212" s="167"/>
    </row>
    <row r="213" spans="1:7" ht="16.5" customHeight="1">
      <c r="A213" s="46"/>
      <c r="G213" s="167"/>
    </row>
    <row r="214" spans="1:7" ht="16.5" customHeight="1">
      <c r="A214" s="46"/>
      <c r="G214" s="167"/>
    </row>
    <row r="215" spans="1:7" ht="16.5" customHeight="1">
      <c r="A215" s="46"/>
      <c r="G215" s="167"/>
    </row>
    <row r="216" spans="1:7" ht="16.5" customHeight="1">
      <c r="A216" s="46"/>
      <c r="G216" s="167"/>
    </row>
    <row r="217" spans="1:7" ht="16.5" customHeight="1">
      <c r="A217" s="46"/>
      <c r="G217" s="167"/>
    </row>
    <row r="218" spans="1:7" ht="16.5" customHeight="1">
      <c r="A218" s="46"/>
      <c r="G218" s="167"/>
    </row>
    <row r="219" spans="1:7" ht="16.5" customHeight="1">
      <c r="A219" s="46"/>
      <c r="G219" s="167"/>
    </row>
    <row r="220" spans="1:7" ht="16.5" customHeight="1">
      <c r="A220" s="46"/>
      <c r="G220" s="167"/>
    </row>
    <row r="221" spans="1:7" ht="16.5" customHeight="1">
      <c r="A221" s="46"/>
      <c r="G221" s="167"/>
    </row>
    <row r="222" spans="1:7" ht="16.5" customHeight="1">
      <c r="A222" s="46"/>
      <c r="G222" s="167"/>
    </row>
    <row r="223" spans="1:7" ht="16.5" customHeight="1">
      <c r="A223" s="46"/>
      <c r="G223" s="167"/>
    </row>
    <row r="224" spans="1:7" ht="16.5" customHeight="1">
      <c r="A224" s="46"/>
      <c r="G224" s="167"/>
    </row>
    <row r="225" spans="1:7" ht="16.5" customHeight="1">
      <c r="A225" s="46"/>
      <c r="G225" s="167"/>
    </row>
    <row r="226" spans="1:7" ht="16.5" customHeight="1">
      <c r="A226" s="46"/>
      <c r="G226" s="167"/>
    </row>
    <row r="227" spans="1:7" ht="16.5" customHeight="1">
      <c r="A227" s="46"/>
      <c r="G227" s="167"/>
    </row>
    <row r="228" spans="1:7" ht="16.5" customHeight="1">
      <c r="A228" s="46"/>
      <c r="G228" s="167"/>
    </row>
    <row r="229" spans="1:7" ht="16.5" customHeight="1">
      <c r="A229" s="46"/>
      <c r="G229" s="167"/>
    </row>
    <row r="230" spans="1:7" ht="16.5" customHeight="1">
      <c r="A230" s="46"/>
      <c r="G230" s="167"/>
    </row>
    <row r="231" spans="1:7" ht="16.5" customHeight="1">
      <c r="A231" s="46"/>
      <c r="G231" s="167"/>
    </row>
    <row r="232" spans="1:7" ht="16.5" customHeight="1">
      <c r="A232" s="46"/>
      <c r="G232" s="167"/>
    </row>
    <row r="233" spans="1:7" ht="16.5" customHeight="1">
      <c r="A233" s="46"/>
      <c r="G233" s="167"/>
    </row>
    <row r="234" spans="1:7" ht="16.5" customHeight="1">
      <c r="A234" s="46"/>
      <c r="G234" s="167"/>
    </row>
    <row r="235" spans="1:7" ht="16.5" customHeight="1">
      <c r="A235" s="46"/>
      <c r="G235" s="167"/>
    </row>
    <row r="236" spans="1:7" ht="16.5" customHeight="1">
      <c r="A236" s="46"/>
      <c r="G236" s="167"/>
    </row>
    <row r="237" spans="1:7" ht="16.5" customHeight="1">
      <c r="A237" s="46"/>
      <c r="G237" s="167"/>
    </row>
    <row r="238" spans="1:7" ht="16.5" customHeight="1">
      <c r="A238" s="46"/>
      <c r="G238" s="167"/>
    </row>
    <row r="239" spans="1:7" ht="16.5" customHeight="1">
      <c r="A239" s="46"/>
      <c r="G239" s="167"/>
    </row>
    <row r="240" spans="1:7" ht="16.5" customHeight="1">
      <c r="A240" s="46"/>
      <c r="G240" s="167"/>
    </row>
    <row r="241" spans="1:7" ht="16.5" customHeight="1">
      <c r="A241" s="46"/>
      <c r="G241" s="167"/>
    </row>
    <row r="242" spans="1:7" ht="16.5" customHeight="1">
      <c r="A242" s="46"/>
      <c r="G242" s="167"/>
    </row>
    <row r="243" spans="1:7" ht="16.5" customHeight="1">
      <c r="A243" s="46"/>
      <c r="G243" s="167"/>
    </row>
    <row r="244" spans="1:7" ht="16.5" customHeight="1">
      <c r="A244" s="46"/>
      <c r="G244" s="167"/>
    </row>
    <row r="245" spans="1:7" ht="16.5" customHeight="1">
      <c r="A245" s="46"/>
      <c r="G245" s="167"/>
    </row>
    <row r="246" spans="1:7" ht="16.5" customHeight="1">
      <c r="A246" s="46"/>
      <c r="G246" s="167"/>
    </row>
    <row r="247" spans="1:7" ht="16.5" customHeight="1">
      <c r="A247" s="46"/>
      <c r="G247" s="167"/>
    </row>
    <row r="248" spans="1:7" ht="16.5" customHeight="1">
      <c r="A248" s="46"/>
      <c r="G248" s="167"/>
    </row>
    <row r="249" spans="1:7" ht="16.5" customHeight="1">
      <c r="A249" s="46"/>
      <c r="G249" s="167"/>
    </row>
    <row r="250" spans="1:7" ht="16.5" customHeight="1">
      <c r="A250" s="46"/>
      <c r="G250" s="167"/>
    </row>
    <row r="251" spans="1:7" ht="16.5" customHeight="1">
      <c r="A251" s="46"/>
      <c r="G251" s="167"/>
    </row>
    <row r="252" spans="1:7" ht="16.5" customHeight="1">
      <c r="A252" s="46"/>
      <c r="G252" s="167"/>
    </row>
    <row r="253" spans="1:7" ht="16.5" customHeight="1">
      <c r="A253" s="46"/>
      <c r="G253" s="167"/>
    </row>
    <row r="254" spans="1:7" ht="16.5" customHeight="1">
      <c r="A254" s="46"/>
      <c r="G254" s="167"/>
    </row>
    <row r="255" spans="1:7" ht="16.5" customHeight="1">
      <c r="A255" s="46"/>
      <c r="G255" s="167"/>
    </row>
    <row r="256" spans="1:7" ht="16.5" customHeight="1">
      <c r="A256" s="46"/>
      <c r="G256" s="167"/>
    </row>
    <row r="257" spans="1:7" ht="16.5" customHeight="1">
      <c r="A257" s="46"/>
      <c r="G257" s="167"/>
    </row>
    <row r="258" spans="1:7" ht="16.5" customHeight="1">
      <c r="A258" s="46"/>
      <c r="G258" s="167"/>
    </row>
    <row r="259" spans="1:7" ht="16.5" customHeight="1">
      <c r="A259" s="46"/>
      <c r="G259" s="167"/>
    </row>
    <row r="260" spans="1:7" ht="16.5" customHeight="1">
      <c r="A260" s="46"/>
      <c r="G260" s="167"/>
    </row>
    <row r="261" spans="1:7" ht="16.5" customHeight="1">
      <c r="A261" s="46"/>
      <c r="G261" s="167"/>
    </row>
    <row r="262" spans="1:7" ht="16.5" customHeight="1">
      <c r="A262" s="46"/>
      <c r="G262" s="167"/>
    </row>
    <row r="263" spans="1:7" ht="16.5" customHeight="1">
      <c r="A263" s="46"/>
      <c r="G263" s="167"/>
    </row>
    <row r="264" spans="1:7" ht="16.5" customHeight="1">
      <c r="A264" s="46"/>
      <c r="G264" s="167"/>
    </row>
    <row r="265" spans="1:7" ht="16.5" customHeight="1">
      <c r="A265" s="46"/>
      <c r="G265" s="167"/>
    </row>
    <row r="266" spans="1:7" ht="16.5" customHeight="1">
      <c r="A266" s="46"/>
      <c r="G266" s="167"/>
    </row>
    <row r="267" spans="1:7" ht="16.5" customHeight="1">
      <c r="A267" s="46"/>
      <c r="G267" s="167"/>
    </row>
    <row r="268" spans="1:7" ht="16.5" customHeight="1">
      <c r="A268" s="46"/>
      <c r="G268" s="167"/>
    </row>
    <row r="269" spans="1:7" ht="16.5" customHeight="1">
      <c r="A269" s="46"/>
      <c r="G269" s="167"/>
    </row>
    <row r="270" spans="1:7" ht="16.5" customHeight="1">
      <c r="A270" s="46"/>
      <c r="G270" s="167"/>
    </row>
    <row r="271" spans="1:7" ht="16.5" customHeight="1">
      <c r="A271" s="46"/>
      <c r="G271" s="167"/>
    </row>
    <row r="272" spans="1:7" ht="16.5" customHeight="1">
      <c r="A272" s="46"/>
      <c r="G272" s="167"/>
    </row>
    <row r="273" spans="1:7" ht="16.5" customHeight="1">
      <c r="A273" s="46"/>
      <c r="G273" s="167"/>
    </row>
    <row r="274" spans="1:7" ht="16.5" customHeight="1">
      <c r="A274" s="46"/>
      <c r="G274" s="167"/>
    </row>
    <row r="275" spans="1:7" ht="16.5" customHeight="1">
      <c r="A275" s="46"/>
      <c r="G275" s="167"/>
    </row>
    <row r="276" spans="1:7" ht="16.5" customHeight="1">
      <c r="A276" s="46"/>
      <c r="G276" s="167"/>
    </row>
    <row r="277" spans="1:7" ht="16.5" customHeight="1">
      <c r="A277" s="46"/>
      <c r="G277" s="167"/>
    </row>
    <row r="278" spans="1:7" ht="16.5" customHeight="1">
      <c r="A278" s="46"/>
      <c r="G278" s="167"/>
    </row>
    <row r="279" spans="1:7" ht="16.5" customHeight="1">
      <c r="A279" s="46"/>
      <c r="G279" s="167"/>
    </row>
    <row r="280" spans="1:7" ht="16.5" customHeight="1">
      <c r="A280" s="46"/>
      <c r="G280" s="167"/>
    </row>
    <row r="281" spans="1:7" ht="16.5" customHeight="1">
      <c r="A281" s="46"/>
      <c r="G281" s="167"/>
    </row>
    <row r="282" spans="1:7" ht="16.5" customHeight="1">
      <c r="A282" s="46"/>
      <c r="G282" s="167"/>
    </row>
    <row r="283" spans="1:7" ht="16.5" customHeight="1">
      <c r="A283" s="46"/>
      <c r="G283" s="167"/>
    </row>
    <row r="284" spans="1:7" ht="16.5" customHeight="1">
      <c r="A284" s="46"/>
      <c r="G284" s="167"/>
    </row>
    <row r="285" spans="1:7" ht="16.5" customHeight="1">
      <c r="A285" s="46"/>
      <c r="G285" s="167"/>
    </row>
    <row r="286" spans="1:7" ht="16.5" customHeight="1">
      <c r="A286" s="46"/>
      <c r="G286" s="167"/>
    </row>
    <row r="287" spans="1:7" ht="16.5" customHeight="1">
      <c r="A287" s="46"/>
      <c r="G287" s="167"/>
    </row>
    <row r="288" spans="1:7" ht="16.5" customHeight="1">
      <c r="A288" s="46"/>
      <c r="G288" s="167"/>
    </row>
    <row r="289" spans="1:7" ht="16.5" customHeight="1">
      <c r="A289" s="46"/>
      <c r="G289" s="167"/>
    </row>
    <row r="290" spans="1:7" ht="16.5" customHeight="1">
      <c r="A290" s="46"/>
      <c r="G290" s="167"/>
    </row>
    <row r="291" spans="1:7" ht="16.5" customHeight="1">
      <c r="A291" s="46"/>
      <c r="G291" s="167"/>
    </row>
    <row r="292" spans="1:7" ht="16.5" customHeight="1">
      <c r="A292" s="46"/>
      <c r="G292" s="167"/>
    </row>
    <row r="293" spans="1:7" ht="16.5" customHeight="1">
      <c r="A293" s="46"/>
      <c r="G293" s="167"/>
    </row>
    <row r="294" spans="1:7" ht="16.5" customHeight="1">
      <c r="A294" s="46"/>
      <c r="G294" s="167"/>
    </row>
    <row r="295" spans="1:7" ht="16.5" customHeight="1">
      <c r="A295" s="46"/>
      <c r="G295" s="167"/>
    </row>
    <row r="296" spans="1:7" ht="16.5" customHeight="1">
      <c r="A296" s="46"/>
      <c r="G296" s="167"/>
    </row>
    <row r="297" spans="1:7" ht="16.5" customHeight="1">
      <c r="A297" s="46"/>
      <c r="G297" s="167"/>
    </row>
    <row r="298" spans="1:7" ht="16.5" customHeight="1">
      <c r="A298" s="46"/>
      <c r="G298" s="167"/>
    </row>
    <row r="299" spans="1:7" ht="16.5" customHeight="1">
      <c r="A299" s="46"/>
      <c r="G299" s="167"/>
    </row>
    <row r="300" spans="1:7" ht="16.5" customHeight="1">
      <c r="A300" s="46"/>
      <c r="G300" s="167"/>
    </row>
    <row r="301" spans="1:7" ht="16.5" customHeight="1">
      <c r="A301" s="46"/>
      <c r="G301" s="167"/>
    </row>
    <row r="302" spans="1:7" ht="16.5" customHeight="1">
      <c r="A302" s="46"/>
      <c r="G302" s="167"/>
    </row>
    <row r="303" spans="1:7" ht="16.5" customHeight="1">
      <c r="A303" s="46"/>
      <c r="G303" s="167"/>
    </row>
    <row r="304" spans="1:7" ht="16.5" customHeight="1">
      <c r="A304" s="46"/>
      <c r="G304" s="167"/>
    </row>
    <row r="305" spans="1:7" ht="16.5" customHeight="1">
      <c r="A305" s="46"/>
      <c r="G305" s="167"/>
    </row>
    <row r="306" spans="1:7" ht="16.5" customHeight="1">
      <c r="A306" s="46"/>
      <c r="G306" s="167"/>
    </row>
    <row r="307" spans="1:7" ht="16.5" customHeight="1">
      <c r="A307" s="46"/>
      <c r="G307" s="167"/>
    </row>
    <row r="308" spans="1:7" ht="16.5" customHeight="1">
      <c r="A308" s="46"/>
      <c r="G308" s="167"/>
    </row>
    <row r="309" spans="1:7" ht="16.5" customHeight="1">
      <c r="A309" s="46"/>
      <c r="G309" s="167"/>
    </row>
    <row r="310" spans="1:7" ht="16.5" customHeight="1">
      <c r="A310" s="46"/>
      <c r="G310" s="167"/>
    </row>
    <row r="311" spans="1:7" ht="16.5" customHeight="1">
      <c r="A311" s="46"/>
      <c r="G311" s="167"/>
    </row>
    <row r="312" spans="1:7" ht="16.5" customHeight="1">
      <c r="A312" s="46"/>
      <c r="G312" s="167"/>
    </row>
    <row r="313" spans="1:7" ht="16.5" customHeight="1">
      <c r="A313" s="46"/>
      <c r="G313" s="167"/>
    </row>
    <row r="314" spans="1:7" ht="16.5" customHeight="1">
      <c r="A314" s="46"/>
      <c r="G314" s="167"/>
    </row>
    <row r="315" spans="1:7" ht="16.5" customHeight="1">
      <c r="A315" s="46"/>
      <c r="G315" s="167"/>
    </row>
    <row r="316" spans="1:7" ht="16.5" customHeight="1">
      <c r="A316" s="46"/>
      <c r="G316" s="167"/>
    </row>
    <row r="317" spans="1:7" ht="16.5" customHeight="1">
      <c r="A317" s="46"/>
      <c r="G317" s="167"/>
    </row>
    <row r="318" spans="1:7" ht="16.5" customHeight="1">
      <c r="A318" s="46"/>
      <c r="G318" s="167"/>
    </row>
    <row r="319" spans="1:7" ht="16.5" customHeight="1">
      <c r="A319" s="46"/>
      <c r="G319" s="167"/>
    </row>
    <row r="320" spans="1:7" ht="16.5" customHeight="1">
      <c r="A320" s="46"/>
      <c r="G320" s="167"/>
    </row>
    <row r="321" spans="1:7" ht="16.5" customHeight="1">
      <c r="A321" s="46"/>
      <c r="G321" s="167"/>
    </row>
    <row r="322" spans="1:7" ht="16.5" customHeight="1">
      <c r="A322" s="46"/>
      <c r="G322" s="167"/>
    </row>
    <row r="323" spans="1:7" ht="16.5" customHeight="1">
      <c r="A323" s="46"/>
      <c r="G323" s="167"/>
    </row>
    <row r="324" spans="1:7" ht="16.5" customHeight="1">
      <c r="A324" s="46"/>
      <c r="G324" s="167"/>
    </row>
    <row r="325" spans="1:7" ht="16.5" customHeight="1">
      <c r="A325" s="46"/>
      <c r="G325" s="167"/>
    </row>
    <row r="326" spans="1:7" ht="16.5" customHeight="1">
      <c r="A326" s="46"/>
      <c r="G326" s="167"/>
    </row>
    <row r="327" spans="1:7" ht="16.5" customHeight="1">
      <c r="A327" s="46"/>
      <c r="G327" s="167"/>
    </row>
    <row r="328" spans="1:7" ht="16.5" customHeight="1">
      <c r="A328" s="46"/>
      <c r="G328" s="167"/>
    </row>
    <row r="329" spans="1:7" ht="16.5" customHeight="1">
      <c r="A329" s="46"/>
      <c r="G329" s="167"/>
    </row>
    <row r="330" spans="1:7" ht="16.5" customHeight="1">
      <c r="A330" s="46"/>
      <c r="G330" s="167"/>
    </row>
    <row r="331" spans="1:7" ht="16.5" customHeight="1">
      <c r="A331" s="46"/>
      <c r="G331" s="167"/>
    </row>
    <row r="332" spans="1:7" ht="16.5" customHeight="1">
      <c r="A332" s="46"/>
      <c r="G332" s="167"/>
    </row>
    <row r="333" spans="1:7" ht="16.5" customHeight="1">
      <c r="A333" s="46"/>
      <c r="G333" s="167"/>
    </row>
    <row r="334" spans="1:7" ht="16.5" customHeight="1">
      <c r="A334" s="46"/>
      <c r="G334" s="167"/>
    </row>
    <row r="335" spans="1:7" ht="16.5" customHeight="1">
      <c r="A335" s="46"/>
      <c r="G335" s="167"/>
    </row>
    <row r="336" spans="1:7" ht="16.5" customHeight="1">
      <c r="A336" s="46"/>
      <c r="G336" s="167"/>
    </row>
    <row r="337" spans="1:7" ht="16.5" customHeight="1">
      <c r="A337" s="46"/>
      <c r="G337" s="167"/>
    </row>
    <row r="338" spans="1:7" ht="16.5" customHeight="1">
      <c r="A338" s="46"/>
      <c r="G338" s="167"/>
    </row>
    <row r="339" spans="1:7" ht="16.5" customHeight="1">
      <c r="A339" s="46"/>
      <c r="G339" s="167"/>
    </row>
    <row r="340" spans="1:7" ht="16.5" customHeight="1">
      <c r="A340" s="46"/>
      <c r="G340" s="167"/>
    </row>
    <row r="341" spans="1:7" ht="16.5" customHeight="1">
      <c r="A341" s="46"/>
      <c r="G341" s="167"/>
    </row>
    <row r="342" spans="1:7" ht="16.5" customHeight="1">
      <c r="A342" s="46"/>
      <c r="G342" s="167"/>
    </row>
    <row r="343" spans="1:7" ht="16.5" customHeight="1">
      <c r="A343" s="46"/>
      <c r="G343" s="167"/>
    </row>
    <row r="344" spans="1:7" ht="16.5" customHeight="1">
      <c r="A344" s="46"/>
      <c r="G344" s="167"/>
    </row>
    <row r="345" spans="1:7" ht="16.5" customHeight="1">
      <c r="A345" s="46"/>
      <c r="G345" s="167"/>
    </row>
    <row r="346" spans="1:7" ht="16.5" customHeight="1">
      <c r="A346" s="46"/>
      <c r="G346" s="167"/>
    </row>
    <row r="347" spans="1:7" ht="16.5" customHeight="1">
      <c r="A347" s="46"/>
      <c r="G347" s="167"/>
    </row>
    <row r="348" spans="1:7" ht="16.5" customHeight="1">
      <c r="A348" s="46"/>
      <c r="G348" s="167"/>
    </row>
    <row r="349" spans="1:7" ht="16.5" customHeight="1">
      <c r="A349" s="46"/>
      <c r="G349" s="167"/>
    </row>
    <row r="350" spans="1:7" ht="16.5" customHeight="1">
      <c r="A350" s="46"/>
      <c r="G350" s="167"/>
    </row>
    <row r="351" spans="1:7" ht="16.5" customHeight="1">
      <c r="A351" s="46"/>
      <c r="G351" s="167"/>
    </row>
    <row r="352" spans="1:7" ht="16.5" customHeight="1">
      <c r="A352" s="46"/>
      <c r="G352" s="167"/>
    </row>
    <row r="353" spans="1:7" ht="16.5" customHeight="1">
      <c r="A353" s="46"/>
      <c r="G353" s="167"/>
    </row>
    <row r="354" spans="1:7" ht="16.5" customHeight="1">
      <c r="A354" s="46"/>
      <c r="G354" s="167"/>
    </row>
    <row r="355" spans="1:7" ht="16.5" customHeight="1">
      <c r="A355" s="46"/>
      <c r="G355" s="167"/>
    </row>
    <row r="356" spans="1:7" ht="16.5" customHeight="1">
      <c r="A356" s="46"/>
      <c r="G356" s="167"/>
    </row>
    <row r="357" spans="1:7" ht="16.5" customHeight="1">
      <c r="A357" s="46"/>
      <c r="G357" s="167"/>
    </row>
    <row r="358" spans="1:7" ht="16.5" customHeight="1">
      <c r="A358" s="46"/>
      <c r="G358" s="167"/>
    </row>
    <row r="359" spans="1:7" ht="16.5" customHeight="1">
      <c r="A359" s="46"/>
      <c r="G359" s="167"/>
    </row>
    <row r="360" spans="1:7" ht="16.5" customHeight="1">
      <c r="A360" s="46"/>
      <c r="G360" s="167"/>
    </row>
    <row r="361" spans="1:7" ht="16.5" customHeight="1">
      <c r="A361" s="46"/>
      <c r="G361" s="167"/>
    </row>
    <row r="362" spans="1:7" ht="16.5" customHeight="1">
      <c r="A362" s="46"/>
      <c r="G362" s="167"/>
    </row>
    <row r="363" spans="1:7" ht="16.5" customHeight="1">
      <c r="A363" s="46"/>
      <c r="G363" s="167"/>
    </row>
    <row r="364" spans="1:7" ht="16.5" customHeight="1">
      <c r="A364" s="46"/>
      <c r="G364" s="167"/>
    </row>
    <row r="365" spans="1:7" ht="16.5" customHeight="1">
      <c r="A365" s="46"/>
      <c r="G365" s="167"/>
    </row>
    <row r="366" spans="1:7" ht="16.5" customHeight="1">
      <c r="A366" s="46"/>
      <c r="G366" s="167"/>
    </row>
    <row r="367" spans="1:7" ht="16.5" customHeight="1">
      <c r="A367" s="46"/>
      <c r="G367" s="167"/>
    </row>
    <row r="368" spans="1:7" ht="16.5" customHeight="1">
      <c r="A368" s="46"/>
      <c r="G368" s="167"/>
    </row>
    <row r="369" spans="1:7" ht="16.5" customHeight="1">
      <c r="A369" s="46"/>
      <c r="G369" s="167"/>
    </row>
    <row r="370" spans="1:7" ht="16.5" customHeight="1">
      <c r="A370" s="46"/>
      <c r="G370" s="167"/>
    </row>
    <row r="371" spans="1:7" ht="16.5" customHeight="1">
      <c r="A371" s="46"/>
      <c r="G371" s="167"/>
    </row>
    <row r="372" spans="1:7" ht="16.5" customHeight="1">
      <c r="A372" s="46"/>
      <c r="G372" s="167"/>
    </row>
    <row r="373" spans="1:7" ht="16.5" customHeight="1">
      <c r="A373" s="46"/>
      <c r="G373" s="167"/>
    </row>
    <row r="374" spans="1:7" ht="16.5" customHeight="1">
      <c r="A374" s="46"/>
      <c r="G374" s="167"/>
    </row>
    <row r="375" spans="1:7" ht="16.5" customHeight="1">
      <c r="A375" s="46"/>
      <c r="G375" s="167"/>
    </row>
    <row r="376" spans="1:7" ht="16.5" customHeight="1">
      <c r="A376" s="46"/>
      <c r="G376" s="167"/>
    </row>
    <row r="377" spans="1:7" ht="16.5" customHeight="1">
      <c r="A377" s="46"/>
      <c r="G377" s="167"/>
    </row>
    <row r="378" spans="1:7" ht="16.5" customHeight="1">
      <c r="A378" s="46"/>
      <c r="G378" s="167"/>
    </row>
    <row r="379" spans="1:7" ht="16.5" customHeight="1">
      <c r="A379" s="46"/>
      <c r="G379" s="167"/>
    </row>
    <row r="380" spans="1:7" ht="16.5" customHeight="1">
      <c r="A380" s="46"/>
      <c r="G380" s="167"/>
    </row>
    <row r="381" spans="1:7" ht="16.5" customHeight="1">
      <c r="A381" s="46"/>
      <c r="G381" s="167"/>
    </row>
    <row r="382" spans="1:7" ht="16.5" customHeight="1">
      <c r="A382" s="46"/>
      <c r="G382" s="167"/>
    </row>
    <row r="383" spans="1:7" ht="16.5" customHeight="1">
      <c r="A383" s="46"/>
      <c r="G383" s="167"/>
    </row>
    <row r="384" spans="1:7" ht="16.5" customHeight="1">
      <c r="A384" s="46"/>
      <c r="G384" s="167"/>
    </row>
    <row r="385" spans="1:7" ht="16.5" customHeight="1">
      <c r="A385" s="46"/>
      <c r="G385" s="167"/>
    </row>
    <row r="386" spans="1:7" ht="16.5" customHeight="1">
      <c r="A386" s="46"/>
      <c r="G386" s="167"/>
    </row>
    <row r="387" spans="1:7" ht="16.5" customHeight="1">
      <c r="A387" s="46"/>
      <c r="G387" s="167"/>
    </row>
    <row r="388" spans="1:7" ht="16.5" customHeight="1">
      <c r="A388" s="46"/>
      <c r="G388" s="167"/>
    </row>
    <row r="389" spans="1:7" ht="16.5" customHeight="1">
      <c r="A389" s="46"/>
      <c r="G389" s="167"/>
    </row>
    <row r="390" spans="1:7" ht="16.5" customHeight="1">
      <c r="A390" s="46"/>
      <c r="G390" s="167"/>
    </row>
    <row r="391" spans="1:7" ht="16.5" customHeight="1">
      <c r="A391" s="46"/>
      <c r="G391" s="167"/>
    </row>
    <row r="392" spans="1:7" ht="16.5" customHeight="1">
      <c r="A392" s="46"/>
      <c r="G392" s="167"/>
    </row>
    <row r="393" spans="1:7" ht="16.5" customHeight="1">
      <c r="A393" s="46"/>
      <c r="G393" s="167"/>
    </row>
    <row r="394" spans="1:7" ht="16.5" customHeight="1">
      <c r="A394" s="46"/>
      <c r="G394" s="167"/>
    </row>
    <row r="395" spans="1:7" ht="16.5" customHeight="1">
      <c r="A395" s="46"/>
      <c r="G395" s="167"/>
    </row>
    <row r="396" spans="1:7" ht="16.5" customHeight="1">
      <c r="A396" s="46"/>
      <c r="G396" s="167"/>
    </row>
    <row r="397" spans="1:7" ht="16.5" customHeight="1">
      <c r="A397" s="46"/>
      <c r="G397" s="167"/>
    </row>
    <row r="398" spans="1:7" ht="16.5" customHeight="1">
      <c r="A398" s="46"/>
      <c r="G398" s="167"/>
    </row>
    <row r="399" spans="1:7" ht="16.5" customHeight="1">
      <c r="A399" s="46"/>
      <c r="G399" s="167"/>
    </row>
    <row r="400" spans="1:7" ht="16.5" customHeight="1">
      <c r="A400" s="46"/>
      <c r="G400" s="167"/>
    </row>
    <row r="401" spans="1:7" ht="16.5" customHeight="1">
      <c r="A401" s="46"/>
      <c r="G401" s="167"/>
    </row>
    <row r="402" spans="1:7" ht="16.5" customHeight="1">
      <c r="A402" s="46"/>
      <c r="G402" s="167"/>
    </row>
    <row r="403" spans="1:7" ht="16.5" customHeight="1">
      <c r="A403" s="46"/>
      <c r="G403" s="167"/>
    </row>
    <row r="404" spans="1:7" ht="16.5" customHeight="1">
      <c r="A404" s="46"/>
      <c r="G404" s="167"/>
    </row>
    <row r="405" spans="1:7" ht="16.5" customHeight="1">
      <c r="A405" s="46"/>
      <c r="G405" s="167"/>
    </row>
    <row r="406" spans="1:7" ht="16.5" customHeight="1">
      <c r="A406" s="46"/>
      <c r="G406" s="167"/>
    </row>
    <row r="407" spans="1:7" ht="16.5" customHeight="1">
      <c r="A407" s="46"/>
      <c r="G407" s="167"/>
    </row>
    <row r="408" spans="1:7" ht="16.5" customHeight="1">
      <c r="A408" s="46"/>
      <c r="G408" s="167"/>
    </row>
    <row r="409" spans="1:7" ht="16.5" customHeight="1">
      <c r="A409" s="46"/>
      <c r="G409" s="167"/>
    </row>
    <row r="410" spans="1:7" ht="16.5" customHeight="1">
      <c r="A410" s="46"/>
      <c r="G410" s="167"/>
    </row>
    <row r="411" spans="1:7" ht="16.5" customHeight="1">
      <c r="A411" s="46"/>
      <c r="G411" s="167"/>
    </row>
    <row r="412" spans="1:7" ht="16.5" customHeight="1">
      <c r="A412" s="46"/>
      <c r="G412" s="167"/>
    </row>
    <row r="413" spans="1:7" ht="16.5" customHeight="1">
      <c r="A413" s="46"/>
      <c r="G413" s="167"/>
    </row>
    <row r="414" spans="1:7" ht="16.5" customHeight="1">
      <c r="A414" s="46"/>
      <c r="G414" s="167"/>
    </row>
    <row r="415" spans="1:7" ht="16.5" customHeight="1">
      <c r="A415" s="46"/>
      <c r="G415" s="167"/>
    </row>
    <row r="416" spans="1:7" ht="16.5" customHeight="1">
      <c r="A416" s="46"/>
      <c r="G416" s="167"/>
    </row>
    <row r="417" spans="1:7" ht="16.5" customHeight="1">
      <c r="A417" s="46"/>
      <c r="G417" s="167"/>
    </row>
    <row r="418" spans="1:7" ht="16.5" customHeight="1">
      <c r="A418" s="46"/>
      <c r="G418" s="167"/>
    </row>
    <row r="419" spans="1:7" ht="16.5" customHeight="1">
      <c r="A419" s="46"/>
      <c r="G419" s="167"/>
    </row>
    <row r="420" spans="1:7" ht="16.5" customHeight="1">
      <c r="A420" s="46"/>
      <c r="G420" s="167"/>
    </row>
    <row r="421" spans="1:7" ht="16.5" customHeight="1">
      <c r="A421" s="46"/>
      <c r="G421" s="167"/>
    </row>
    <row r="422" spans="1:7" ht="16.5" customHeight="1">
      <c r="A422" s="46"/>
      <c r="G422" s="167"/>
    </row>
    <row r="423" spans="1:7" ht="16.5" customHeight="1">
      <c r="A423" s="46"/>
      <c r="G423" s="167"/>
    </row>
    <row r="424" spans="1:7" ht="16.5" customHeight="1">
      <c r="A424" s="46"/>
      <c r="G424" s="167"/>
    </row>
    <row r="425" spans="1:7" ht="16.5" customHeight="1">
      <c r="A425" s="46"/>
      <c r="G425" s="167"/>
    </row>
    <row r="426" spans="1:7" ht="16.5" customHeight="1">
      <c r="A426" s="46"/>
      <c r="G426" s="167"/>
    </row>
    <row r="427" spans="1:7" ht="16.5" customHeight="1">
      <c r="A427" s="46"/>
      <c r="G427" s="167"/>
    </row>
    <row r="428" spans="1:7" ht="16.5" customHeight="1">
      <c r="A428" s="46"/>
      <c r="G428" s="167"/>
    </row>
    <row r="429" spans="1:7" ht="16.5" customHeight="1">
      <c r="A429" s="46"/>
      <c r="G429" s="167"/>
    </row>
    <row r="430" spans="1:7" ht="16.5" customHeight="1">
      <c r="A430" s="46"/>
      <c r="G430" s="167"/>
    </row>
    <row r="431" spans="1:7" ht="16.5" customHeight="1">
      <c r="A431" s="46"/>
      <c r="G431" s="167"/>
    </row>
    <row r="432" spans="1:7" ht="16.5" customHeight="1">
      <c r="A432" s="46"/>
      <c r="G432" s="167"/>
    </row>
    <row r="433" spans="1:7" ht="16.5" customHeight="1">
      <c r="A433" s="46"/>
      <c r="G433" s="167"/>
    </row>
    <row r="434" spans="1:7" ht="16.5" customHeight="1">
      <c r="A434" s="46"/>
      <c r="G434" s="167"/>
    </row>
    <row r="435" spans="1:7" ht="16.5" customHeight="1">
      <c r="A435" s="46"/>
      <c r="G435" s="167"/>
    </row>
    <row r="436" spans="1:7" ht="16.5" customHeight="1">
      <c r="A436" s="46"/>
      <c r="G436" s="167"/>
    </row>
    <row r="437" spans="1:7" ht="16.5" customHeight="1">
      <c r="A437" s="46"/>
      <c r="G437" s="167"/>
    </row>
    <row r="438" spans="1:7" ht="16.5" customHeight="1">
      <c r="A438" s="46"/>
      <c r="G438" s="167"/>
    </row>
    <row r="439" spans="1:7" ht="16.5" customHeight="1">
      <c r="A439" s="46"/>
      <c r="G439" s="167"/>
    </row>
    <row r="440" spans="1:7" ht="16.5" customHeight="1">
      <c r="A440" s="46"/>
      <c r="G440" s="167"/>
    </row>
    <row r="441" spans="1:7" ht="16.5" customHeight="1">
      <c r="A441" s="46"/>
      <c r="G441" s="167"/>
    </row>
    <row r="442" spans="1:7" ht="16.5" customHeight="1">
      <c r="A442" s="46"/>
      <c r="G442" s="167"/>
    </row>
    <row r="443" spans="1:7" ht="16.5" customHeight="1">
      <c r="A443" s="46"/>
      <c r="G443" s="167"/>
    </row>
    <row r="444" spans="1:7" ht="16.5" customHeight="1">
      <c r="A444" s="46"/>
      <c r="G444" s="167"/>
    </row>
    <row r="445" spans="1:7" ht="16.5" customHeight="1">
      <c r="A445" s="46"/>
      <c r="G445" s="167"/>
    </row>
    <row r="446" spans="1:7" ht="16.5" customHeight="1">
      <c r="A446" s="46"/>
      <c r="G446" s="167"/>
    </row>
    <row r="447" spans="1:7" ht="16.5" customHeight="1">
      <c r="A447" s="46"/>
      <c r="G447" s="167"/>
    </row>
    <row r="448" spans="1:7" ht="16.5" customHeight="1">
      <c r="A448" s="46"/>
      <c r="G448" s="167"/>
    </row>
    <row r="449" spans="1:7" ht="16.5" customHeight="1">
      <c r="A449" s="46"/>
      <c r="G449" s="167"/>
    </row>
    <row r="450" spans="1:7" ht="16.5" customHeight="1">
      <c r="A450" s="46"/>
      <c r="G450" s="167"/>
    </row>
    <row r="451" spans="1:7" ht="16.5" customHeight="1">
      <c r="A451" s="46"/>
      <c r="G451" s="167"/>
    </row>
    <row r="452" spans="1:7" ht="16.5" customHeight="1">
      <c r="A452" s="46"/>
      <c r="G452" s="167"/>
    </row>
    <row r="453" spans="1:7" ht="16.5" customHeight="1">
      <c r="A453" s="46"/>
      <c r="G453" s="167"/>
    </row>
    <row r="454" spans="1:7" ht="16.5" customHeight="1">
      <c r="A454" s="46"/>
      <c r="G454" s="167"/>
    </row>
    <row r="455" spans="1:7" ht="16.5" customHeight="1">
      <c r="A455" s="46"/>
      <c r="G455" s="167"/>
    </row>
    <row r="456" spans="1:7" ht="16.5" customHeight="1">
      <c r="A456" s="46"/>
      <c r="G456" s="167"/>
    </row>
    <row r="457" spans="1:7" ht="16.5" customHeight="1">
      <c r="A457" s="46"/>
      <c r="G457" s="167"/>
    </row>
    <row r="458" spans="1:7" ht="16.5" customHeight="1">
      <c r="A458" s="46"/>
      <c r="G458" s="167"/>
    </row>
    <row r="459" spans="1:7" ht="16.5" customHeight="1">
      <c r="A459" s="46"/>
      <c r="G459" s="167"/>
    </row>
    <row r="460" spans="1:7" ht="16.5" customHeight="1">
      <c r="A460" s="46"/>
      <c r="G460" s="167"/>
    </row>
    <row r="461" spans="1:7" ht="16.5" customHeight="1">
      <c r="A461" s="46"/>
      <c r="G461" s="167"/>
    </row>
    <row r="462" spans="1:7" ht="16.5" customHeight="1">
      <c r="A462" s="46"/>
      <c r="G462" s="167"/>
    </row>
    <row r="463" spans="1:7" ht="16.5" customHeight="1">
      <c r="A463" s="46"/>
      <c r="G463" s="167"/>
    </row>
    <row r="464" spans="1:7" ht="16.5" customHeight="1">
      <c r="A464" s="46"/>
      <c r="G464" s="167"/>
    </row>
    <row r="465" spans="1:7" ht="16.5" customHeight="1">
      <c r="A465" s="46"/>
      <c r="G465" s="167"/>
    </row>
    <row r="466" spans="1:7" ht="16.5" customHeight="1">
      <c r="A466" s="46"/>
      <c r="G466" s="167"/>
    </row>
    <row r="467" spans="1:7" ht="16.5" customHeight="1">
      <c r="A467" s="46"/>
      <c r="G467" s="167"/>
    </row>
    <row r="468" spans="1:7" ht="16.5" customHeight="1">
      <c r="A468" s="46"/>
      <c r="G468" s="167"/>
    </row>
    <row r="469" spans="1:7" ht="16.5" customHeight="1">
      <c r="A469" s="46"/>
      <c r="G469" s="167"/>
    </row>
    <row r="470" spans="1:7" ht="16.5" customHeight="1">
      <c r="A470" s="46"/>
      <c r="G470" s="167"/>
    </row>
    <row r="471" spans="1:7" ht="16.5" customHeight="1">
      <c r="A471" s="46"/>
      <c r="G471" s="167"/>
    </row>
    <row r="472" spans="1:7" ht="16.5" customHeight="1">
      <c r="A472" s="46"/>
      <c r="G472" s="167"/>
    </row>
    <row r="473" spans="1:7" ht="16.5" customHeight="1">
      <c r="A473" s="46"/>
      <c r="G473" s="167"/>
    </row>
    <row r="474" spans="1:7" ht="16.5" customHeight="1">
      <c r="A474" s="46"/>
      <c r="G474" s="167"/>
    </row>
    <row r="475" spans="1:7" ht="16.5" customHeight="1">
      <c r="A475" s="46"/>
      <c r="G475" s="167"/>
    </row>
    <row r="476" spans="1:7" ht="16.5" customHeight="1">
      <c r="A476" s="46"/>
      <c r="G476" s="167"/>
    </row>
    <row r="477" spans="1:7" ht="16.5" customHeight="1">
      <c r="A477" s="46"/>
      <c r="G477" s="167"/>
    </row>
    <row r="478" spans="1:7" ht="16.5" customHeight="1">
      <c r="A478" s="46"/>
      <c r="G478" s="167"/>
    </row>
    <row r="479" spans="1:7" ht="16.5" customHeight="1">
      <c r="A479" s="46"/>
      <c r="G479" s="167"/>
    </row>
    <row r="480" spans="1:7" ht="16.5" customHeight="1">
      <c r="A480" s="46"/>
      <c r="G480" s="167"/>
    </row>
    <row r="481" spans="1:7" ht="16.5" customHeight="1">
      <c r="A481" s="46"/>
      <c r="G481" s="167"/>
    </row>
    <row r="482" spans="1:7" ht="16.5" customHeight="1">
      <c r="A482" s="46"/>
      <c r="G482" s="167"/>
    </row>
    <row r="483" spans="1:7" ht="16.5" customHeight="1">
      <c r="A483" s="46"/>
      <c r="G483" s="167"/>
    </row>
    <row r="484" spans="1:7" ht="16.5" customHeight="1">
      <c r="A484" s="46"/>
      <c r="G484" s="167"/>
    </row>
    <row r="485" spans="1:7" ht="16.5" customHeight="1">
      <c r="A485" s="46"/>
      <c r="G485" s="167"/>
    </row>
    <row r="486" spans="1:7" ht="16.5" customHeight="1">
      <c r="A486" s="46"/>
      <c r="G486" s="167"/>
    </row>
    <row r="487" spans="1:7" ht="16.5" customHeight="1">
      <c r="A487" s="46"/>
      <c r="G487" s="167"/>
    </row>
    <row r="488" spans="1:7" ht="16.5" customHeight="1">
      <c r="A488" s="46"/>
      <c r="G488" s="167"/>
    </row>
    <row r="489" spans="1:7" ht="16.5" customHeight="1">
      <c r="A489" s="46"/>
      <c r="G489" s="167"/>
    </row>
    <row r="490" spans="1:7" ht="16.5" customHeight="1">
      <c r="A490" s="46"/>
      <c r="G490" s="167"/>
    </row>
    <row r="491" spans="1:7" ht="16.5" customHeight="1">
      <c r="A491" s="46"/>
      <c r="G491" s="167"/>
    </row>
    <row r="492" spans="1:7" ht="16.5" customHeight="1">
      <c r="A492" s="46"/>
      <c r="G492" s="167"/>
    </row>
    <row r="493" spans="1:7" ht="16.5" customHeight="1">
      <c r="A493" s="46"/>
      <c r="G493" s="167"/>
    </row>
    <row r="494" spans="1:7" ht="16.5" customHeight="1">
      <c r="A494" s="46"/>
      <c r="G494" s="167"/>
    </row>
    <row r="495" spans="1:7" ht="16.5" customHeight="1">
      <c r="A495" s="46"/>
      <c r="G495" s="167"/>
    </row>
    <row r="496" spans="1:7" ht="16.5" customHeight="1">
      <c r="A496" s="46"/>
      <c r="G496" s="167"/>
    </row>
    <row r="497" spans="1:7" ht="16.5" customHeight="1">
      <c r="A497" s="46"/>
      <c r="G497" s="167"/>
    </row>
    <row r="498" spans="1:7" ht="16.5" customHeight="1">
      <c r="A498" s="46"/>
      <c r="G498" s="167"/>
    </row>
    <row r="499" spans="1:7" ht="16.5" customHeight="1">
      <c r="A499" s="46"/>
      <c r="G499" s="167"/>
    </row>
    <row r="500" spans="1:7" ht="16.5" customHeight="1">
      <c r="A500" s="46"/>
      <c r="G500" s="167"/>
    </row>
    <row r="501" spans="1:7" ht="16.5" customHeight="1">
      <c r="A501" s="46"/>
      <c r="G501" s="167"/>
    </row>
    <row r="502" spans="1:7" ht="16.5" customHeight="1">
      <c r="A502" s="46"/>
      <c r="G502" s="167"/>
    </row>
    <row r="503" spans="1:7" ht="16.5" customHeight="1">
      <c r="A503" s="46"/>
      <c r="G503" s="167"/>
    </row>
    <row r="504" spans="1:7" ht="16.5" customHeight="1">
      <c r="A504" s="46"/>
      <c r="G504" s="167"/>
    </row>
    <row r="505" spans="1:7" ht="16.5" customHeight="1">
      <c r="A505" s="46"/>
      <c r="G505" s="167"/>
    </row>
    <row r="506" spans="1:7" ht="16.5" customHeight="1">
      <c r="A506" s="46"/>
      <c r="G506" s="167"/>
    </row>
    <row r="507" spans="1:7" ht="16.5" customHeight="1">
      <c r="A507" s="46"/>
      <c r="G507" s="167"/>
    </row>
    <row r="508" spans="1:7" ht="16.5" customHeight="1">
      <c r="A508" s="46"/>
      <c r="G508" s="167"/>
    </row>
    <row r="509" spans="1:7" ht="16.5" customHeight="1">
      <c r="A509" s="46"/>
      <c r="G509" s="167"/>
    </row>
    <row r="510" spans="1:7" ht="16.5" customHeight="1">
      <c r="A510" s="46"/>
      <c r="G510" s="167"/>
    </row>
    <row r="511" spans="1:7" ht="16.5" customHeight="1">
      <c r="A511" s="46"/>
      <c r="G511" s="167"/>
    </row>
    <row r="512" spans="1:7" ht="16.5" customHeight="1">
      <c r="A512" s="46"/>
      <c r="G512" s="167"/>
    </row>
    <row r="513" spans="1:7" ht="16.5" customHeight="1">
      <c r="A513" s="46"/>
      <c r="G513" s="167"/>
    </row>
    <row r="514" spans="1:7" ht="16.5" customHeight="1">
      <c r="A514" s="46"/>
      <c r="G514" s="167"/>
    </row>
    <row r="515" spans="1:7" ht="16.5" customHeight="1">
      <c r="A515" s="46"/>
      <c r="G515" s="167"/>
    </row>
    <row r="516" spans="1:7" ht="16.5" customHeight="1">
      <c r="A516" s="46"/>
      <c r="G516" s="167"/>
    </row>
    <row r="517" spans="1:7" ht="16.5" customHeight="1">
      <c r="A517" s="46"/>
      <c r="G517" s="167"/>
    </row>
    <row r="518" spans="1:7" ht="16.5" customHeight="1">
      <c r="A518" s="46"/>
      <c r="G518" s="167"/>
    </row>
    <row r="519" spans="1:7" ht="16.5" customHeight="1">
      <c r="A519" s="46"/>
      <c r="G519" s="167"/>
    </row>
    <row r="520" spans="1:7" ht="16.5" customHeight="1">
      <c r="A520" s="46"/>
      <c r="G520" s="167"/>
    </row>
    <row r="521" spans="1:7" ht="16.5" customHeight="1">
      <c r="A521" s="46"/>
      <c r="G521" s="167"/>
    </row>
    <row r="522" spans="1:7" ht="16.5" customHeight="1">
      <c r="A522" s="46"/>
      <c r="G522" s="167"/>
    </row>
    <row r="523" spans="1:7" ht="16.5" customHeight="1">
      <c r="A523" s="46"/>
      <c r="G523" s="167"/>
    </row>
    <row r="524" spans="1:7" ht="16.5" customHeight="1">
      <c r="A524" s="46"/>
      <c r="G524" s="167"/>
    </row>
    <row r="525" spans="1:7" ht="16.5" customHeight="1">
      <c r="A525" s="46"/>
      <c r="G525" s="167"/>
    </row>
    <row r="526" spans="1:7" ht="16.5" customHeight="1">
      <c r="A526" s="46"/>
      <c r="G526" s="167"/>
    </row>
    <row r="527" spans="1:7" ht="16.5" customHeight="1">
      <c r="A527" s="46"/>
      <c r="G527" s="167"/>
    </row>
    <row r="528" spans="1:7" ht="16.5" customHeight="1">
      <c r="A528" s="46"/>
      <c r="G528" s="167"/>
    </row>
    <row r="529" spans="1:7" ht="16.5" customHeight="1">
      <c r="A529" s="46"/>
      <c r="G529" s="167"/>
    </row>
    <row r="530" spans="1:7" ht="16.5" customHeight="1">
      <c r="A530" s="46"/>
      <c r="G530" s="167"/>
    </row>
    <row r="531" spans="1:7" ht="16.5" customHeight="1">
      <c r="A531" s="46"/>
      <c r="G531" s="167"/>
    </row>
    <row r="532" spans="1:7" ht="16.5" customHeight="1">
      <c r="A532" s="46"/>
      <c r="G532" s="167"/>
    </row>
    <row r="533" spans="1:7" ht="16.5" customHeight="1">
      <c r="A533" s="46"/>
      <c r="G533" s="167"/>
    </row>
    <row r="534" spans="1:7" ht="16.5" customHeight="1">
      <c r="A534" s="46"/>
      <c r="G534" s="167"/>
    </row>
    <row r="535" spans="1:7" ht="16.5" customHeight="1">
      <c r="A535" s="46"/>
      <c r="G535" s="167"/>
    </row>
    <row r="536" spans="1:7" ht="16.5" customHeight="1">
      <c r="A536" s="46"/>
      <c r="G536" s="167"/>
    </row>
    <row r="537" spans="1:7" ht="16.5" customHeight="1">
      <c r="A537" s="46"/>
      <c r="G537" s="167"/>
    </row>
    <row r="538" spans="1:7" ht="16.5" customHeight="1">
      <c r="A538" s="46"/>
      <c r="G538" s="167"/>
    </row>
    <row r="539" spans="1:7" ht="16.5" customHeight="1">
      <c r="A539" s="46"/>
      <c r="G539" s="167"/>
    </row>
    <row r="540" spans="1:7" ht="16.5" customHeight="1">
      <c r="A540" s="46"/>
      <c r="G540" s="167"/>
    </row>
    <row r="541" spans="1:7" ht="16.5" customHeight="1">
      <c r="A541" s="46"/>
      <c r="G541" s="167"/>
    </row>
    <row r="542" spans="1:7" ht="16.5" customHeight="1">
      <c r="A542" s="46"/>
      <c r="G542" s="167"/>
    </row>
    <row r="543" spans="1:7" ht="16.5" customHeight="1">
      <c r="A543" s="46"/>
      <c r="G543" s="167"/>
    </row>
    <row r="544" spans="1:7" ht="16.5" customHeight="1">
      <c r="A544" s="46"/>
      <c r="G544" s="167"/>
    </row>
    <row r="545" spans="1:7" ht="16.5" customHeight="1">
      <c r="A545" s="46"/>
      <c r="G545" s="167"/>
    </row>
    <row r="546" spans="1:7" ht="16.5" customHeight="1">
      <c r="A546" s="46"/>
      <c r="G546" s="167"/>
    </row>
    <row r="547" spans="1:7" ht="16.5" customHeight="1">
      <c r="A547" s="46"/>
      <c r="G547" s="167"/>
    </row>
    <row r="548" spans="1:7" ht="16.5" customHeight="1">
      <c r="A548" s="46"/>
      <c r="G548" s="167"/>
    </row>
    <row r="549" spans="1:7" ht="16.5" customHeight="1">
      <c r="A549" s="46"/>
      <c r="G549" s="167"/>
    </row>
    <row r="550" spans="1:7" ht="16.5" customHeight="1">
      <c r="A550" s="46"/>
      <c r="G550" s="167"/>
    </row>
    <row r="551" spans="1:7" ht="16.5" customHeight="1">
      <c r="A551" s="46"/>
      <c r="G551" s="167"/>
    </row>
    <row r="552" spans="1:7" ht="16.5" customHeight="1">
      <c r="A552" s="46"/>
      <c r="G552" s="167"/>
    </row>
    <row r="553" spans="1:7" ht="16.5" customHeight="1">
      <c r="A553" s="46"/>
      <c r="G553" s="167"/>
    </row>
    <row r="554" spans="1:7" ht="16.5" customHeight="1">
      <c r="A554" s="46"/>
      <c r="G554" s="167"/>
    </row>
    <row r="555" spans="1:7" ht="16.5" customHeight="1">
      <c r="A555" s="46"/>
      <c r="G555" s="167"/>
    </row>
    <row r="556" spans="1:7" ht="16.5" customHeight="1">
      <c r="A556" s="46"/>
      <c r="G556" s="167"/>
    </row>
    <row r="557" spans="1:7" ht="16.5" customHeight="1">
      <c r="A557" s="46"/>
      <c r="G557" s="167"/>
    </row>
    <row r="558" spans="1:7" ht="16.5" customHeight="1">
      <c r="A558" s="46"/>
      <c r="G558" s="167"/>
    </row>
    <row r="559" spans="1:7" ht="16.5" customHeight="1">
      <c r="A559" s="46"/>
      <c r="G559" s="167"/>
    </row>
    <row r="560" spans="1:7" ht="16.5" customHeight="1">
      <c r="A560" s="46"/>
      <c r="G560" s="167"/>
    </row>
    <row r="561" spans="1:7" ht="16.5" customHeight="1">
      <c r="A561" s="46"/>
      <c r="G561" s="167"/>
    </row>
    <row r="562" spans="1:7" ht="16.5" customHeight="1">
      <c r="A562" s="46"/>
      <c r="G562" s="167"/>
    </row>
    <row r="563" spans="1:7" ht="16.5" customHeight="1">
      <c r="A563" s="46"/>
      <c r="G563" s="167"/>
    </row>
    <row r="564" spans="1:7" ht="16.5" customHeight="1">
      <c r="A564" s="46"/>
      <c r="G564" s="167"/>
    </row>
    <row r="565" spans="1:7" ht="16.5" customHeight="1">
      <c r="A565" s="46"/>
      <c r="G565" s="167"/>
    </row>
    <row r="566" spans="1:7" ht="16.5" customHeight="1">
      <c r="A566" s="46"/>
      <c r="G566" s="167"/>
    </row>
    <row r="567" spans="1:7" ht="16.5" customHeight="1">
      <c r="A567" s="46"/>
      <c r="G567" s="167"/>
    </row>
    <row r="568" spans="1:7" ht="16.5" customHeight="1">
      <c r="A568" s="46"/>
      <c r="G568" s="167"/>
    </row>
    <row r="569" spans="1:7" ht="16.5" customHeight="1">
      <c r="A569" s="46"/>
      <c r="G569" s="167"/>
    </row>
    <row r="570" spans="1:7" ht="16.5" customHeight="1">
      <c r="A570" s="46"/>
      <c r="G570" s="167"/>
    </row>
    <row r="571" spans="1:7" ht="16.5" customHeight="1">
      <c r="A571" s="46"/>
      <c r="G571" s="167"/>
    </row>
    <row r="572" spans="1:7" ht="16.5" customHeight="1">
      <c r="A572" s="46"/>
      <c r="G572" s="167"/>
    </row>
    <row r="573" spans="1:7" ht="16.5" customHeight="1">
      <c r="A573" s="46"/>
      <c r="G573" s="167"/>
    </row>
    <row r="574" spans="1:7" ht="16.5" customHeight="1">
      <c r="A574" s="46"/>
      <c r="G574" s="167"/>
    </row>
    <row r="575" spans="1:7" ht="16.5" customHeight="1">
      <c r="A575" s="46"/>
      <c r="G575" s="167"/>
    </row>
    <row r="576" spans="1:7" ht="16.5" customHeight="1">
      <c r="A576" s="46"/>
      <c r="G576" s="167"/>
    </row>
    <row r="577" spans="1:7" ht="16.5" customHeight="1">
      <c r="A577" s="46"/>
      <c r="G577" s="167"/>
    </row>
    <row r="578" spans="1:7" ht="16.5" customHeight="1">
      <c r="A578" s="46"/>
      <c r="G578" s="167"/>
    </row>
    <row r="579" spans="1:7" ht="16.5" customHeight="1">
      <c r="A579" s="46"/>
      <c r="G579" s="167"/>
    </row>
    <row r="580" spans="1:7" ht="16.5" customHeight="1">
      <c r="A580" s="46"/>
      <c r="G580" s="167"/>
    </row>
    <row r="581" spans="1:7" ht="16.5" customHeight="1">
      <c r="A581" s="46"/>
      <c r="G581" s="167"/>
    </row>
    <row r="582" spans="1:7" ht="16.5" customHeight="1">
      <c r="A582" s="46"/>
      <c r="G582" s="167"/>
    </row>
    <row r="583" spans="1:7" ht="16.5" customHeight="1">
      <c r="A583" s="46"/>
      <c r="G583" s="167"/>
    </row>
    <row r="584" spans="1:7" ht="16.5" customHeight="1">
      <c r="A584" s="46"/>
      <c r="G584" s="167"/>
    </row>
    <row r="585" spans="1:7" ht="16.5" customHeight="1">
      <c r="A585" s="46"/>
      <c r="G585" s="167"/>
    </row>
    <row r="586" spans="1:7" ht="16.5" customHeight="1">
      <c r="A586" s="46"/>
      <c r="G586" s="167"/>
    </row>
    <row r="587" spans="1:7" ht="16.5" customHeight="1">
      <c r="A587" s="46"/>
      <c r="G587" s="167"/>
    </row>
    <row r="588" spans="1:7" ht="16.5" customHeight="1">
      <c r="A588" s="46"/>
      <c r="G588" s="167"/>
    </row>
    <row r="589" spans="1:7" ht="16.5" customHeight="1">
      <c r="A589" s="46"/>
      <c r="G589" s="167"/>
    </row>
    <row r="590" spans="1:7" ht="16.5" customHeight="1">
      <c r="A590" s="46"/>
      <c r="G590" s="167"/>
    </row>
    <row r="591" spans="1:7" ht="16.5" customHeight="1">
      <c r="A591" s="46"/>
      <c r="G591" s="167"/>
    </row>
    <row r="592" spans="1:7" ht="16.5" customHeight="1">
      <c r="A592" s="46"/>
      <c r="G592" s="167"/>
    </row>
    <row r="593" spans="1:7" ht="16.5" customHeight="1">
      <c r="A593" s="46"/>
      <c r="G593" s="167"/>
    </row>
    <row r="594" spans="1:7" ht="16.5" customHeight="1">
      <c r="A594" s="46"/>
      <c r="G594" s="167"/>
    </row>
    <row r="595" spans="1:7" ht="16.5" customHeight="1">
      <c r="A595" s="46"/>
      <c r="G595" s="167"/>
    </row>
    <row r="596" spans="1:7" ht="16.5" customHeight="1">
      <c r="A596" s="46"/>
      <c r="G596" s="167"/>
    </row>
    <row r="597" spans="1:7" ht="16.5" customHeight="1">
      <c r="A597" s="46"/>
      <c r="G597" s="167"/>
    </row>
    <row r="598" spans="1:7" ht="16.5" customHeight="1">
      <c r="A598" s="46"/>
      <c r="G598" s="167"/>
    </row>
    <row r="599" spans="1:7" ht="16.5" customHeight="1">
      <c r="A599" s="46"/>
      <c r="G599" s="167"/>
    </row>
    <row r="600" spans="1:7" ht="16.5" customHeight="1">
      <c r="A600" s="46"/>
      <c r="G600" s="167"/>
    </row>
    <row r="601" spans="1:7" ht="16.5" customHeight="1">
      <c r="A601" s="46"/>
      <c r="G601" s="167"/>
    </row>
    <row r="602" spans="1:7" ht="16.5" customHeight="1">
      <c r="A602" s="46"/>
      <c r="G602" s="167"/>
    </row>
    <row r="603" spans="1:7" ht="16.5" customHeight="1">
      <c r="A603" s="46"/>
      <c r="G603" s="167"/>
    </row>
    <row r="604" spans="1:7" ht="16.5" customHeight="1">
      <c r="A604" s="46"/>
      <c r="G604" s="167"/>
    </row>
    <row r="605" spans="1:7" ht="16.5" customHeight="1">
      <c r="A605" s="46"/>
      <c r="G605" s="167"/>
    </row>
    <row r="606" spans="1:7" ht="16.5" customHeight="1">
      <c r="A606" s="46"/>
      <c r="G606" s="167"/>
    </row>
    <row r="607" spans="1:7" ht="16.5" customHeight="1">
      <c r="A607" s="46"/>
      <c r="G607" s="167"/>
    </row>
    <row r="608" spans="1:7" ht="16.5" customHeight="1">
      <c r="A608" s="46"/>
      <c r="G608" s="167"/>
    </row>
    <row r="609" spans="1:7" ht="16.5" customHeight="1">
      <c r="A609" s="46"/>
      <c r="G609" s="167"/>
    </row>
    <row r="610" spans="1:7" ht="16.5" customHeight="1">
      <c r="A610" s="46"/>
      <c r="G610" s="167"/>
    </row>
    <row r="611" spans="1:7" ht="16.5" customHeight="1">
      <c r="A611" s="46"/>
      <c r="G611" s="167"/>
    </row>
    <row r="612" spans="1:7" ht="16.5" customHeight="1">
      <c r="A612" s="46"/>
      <c r="G612" s="167"/>
    </row>
    <row r="613" spans="1:7" ht="16.5" customHeight="1">
      <c r="A613" s="46"/>
      <c r="G613" s="167"/>
    </row>
    <row r="614" spans="1:7" ht="16.5" customHeight="1">
      <c r="A614" s="46"/>
      <c r="G614" s="167"/>
    </row>
    <row r="615" spans="1:7" ht="16.5" customHeight="1">
      <c r="A615" s="46"/>
      <c r="G615" s="167"/>
    </row>
    <row r="616" spans="1:7" ht="16.5" customHeight="1">
      <c r="A616" s="46"/>
      <c r="G616" s="167"/>
    </row>
    <row r="617" spans="1:7" ht="16.5" customHeight="1">
      <c r="A617" s="46"/>
      <c r="G617" s="167"/>
    </row>
    <row r="618" spans="1:7" ht="16.5" customHeight="1">
      <c r="A618" s="46"/>
      <c r="G618" s="167"/>
    </row>
    <row r="619" spans="1:7" ht="16.5" customHeight="1">
      <c r="A619" s="46"/>
      <c r="G619" s="167"/>
    </row>
    <row r="620" spans="1:7" ht="16.5" customHeight="1">
      <c r="A620" s="46"/>
      <c r="G620" s="167"/>
    </row>
    <row r="621" spans="1:7" ht="16.5" customHeight="1">
      <c r="A621" s="46"/>
      <c r="G621" s="167"/>
    </row>
    <row r="622" spans="1:7" ht="16.5" customHeight="1">
      <c r="A622" s="46"/>
      <c r="G622" s="167"/>
    </row>
    <row r="623" spans="1:7" ht="16.5" customHeight="1">
      <c r="A623" s="46"/>
      <c r="G623" s="167"/>
    </row>
    <row r="624" spans="1:7" ht="16.5" customHeight="1">
      <c r="A624" s="46"/>
      <c r="G624" s="167"/>
    </row>
    <row r="625" spans="1:7" ht="16.5" customHeight="1">
      <c r="A625" s="46"/>
      <c r="G625" s="167"/>
    </row>
    <row r="626" spans="1:7" ht="16.5" customHeight="1">
      <c r="A626" s="46"/>
      <c r="G626" s="167"/>
    </row>
    <row r="627" spans="1:7" ht="16.5" customHeight="1">
      <c r="A627" s="46"/>
      <c r="G627" s="167"/>
    </row>
    <row r="628" spans="1:7" ht="16.5" customHeight="1">
      <c r="A628" s="46"/>
      <c r="G628" s="167"/>
    </row>
    <row r="629" spans="1:7" ht="16.5" customHeight="1">
      <c r="A629" s="46"/>
      <c r="G629" s="167"/>
    </row>
    <row r="630" spans="1:7" ht="16.5" customHeight="1">
      <c r="A630" s="46"/>
      <c r="G630" s="167"/>
    </row>
    <row r="631" spans="1:7" ht="16.5" customHeight="1">
      <c r="A631" s="46"/>
      <c r="G631" s="167"/>
    </row>
    <row r="632" spans="1:7" ht="16.5" customHeight="1">
      <c r="A632" s="46"/>
      <c r="G632" s="167"/>
    </row>
    <row r="633" spans="1:7" ht="16.5" customHeight="1">
      <c r="A633" s="46"/>
      <c r="G633" s="167"/>
    </row>
    <row r="634" spans="1:7" ht="16.5" customHeight="1">
      <c r="A634" s="46"/>
      <c r="G634" s="167"/>
    </row>
    <row r="635" spans="1:7" ht="16.5" customHeight="1">
      <c r="A635" s="46"/>
      <c r="G635" s="167"/>
    </row>
    <row r="636" spans="1:7" ht="16.5" customHeight="1">
      <c r="A636" s="46"/>
      <c r="G636" s="167"/>
    </row>
    <row r="637" spans="1:7" ht="16.5" customHeight="1">
      <c r="A637" s="46"/>
      <c r="G637" s="167"/>
    </row>
    <row r="638" spans="1:7" ht="16.5" customHeight="1">
      <c r="A638" s="46"/>
      <c r="G638" s="167"/>
    </row>
    <row r="639" spans="1:7" ht="16.5" customHeight="1">
      <c r="A639" s="46"/>
      <c r="G639" s="167"/>
    </row>
    <row r="640" spans="1:7" ht="16.5" customHeight="1">
      <c r="A640" s="46"/>
      <c r="G640" s="167"/>
    </row>
    <row r="641" spans="1:7" ht="16.5" customHeight="1">
      <c r="A641" s="46"/>
      <c r="G641" s="167"/>
    </row>
    <row r="642" spans="1:7" ht="16.5" customHeight="1">
      <c r="A642" s="46"/>
      <c r="G642" s="167"/>
    </row>
    <row r="643" spans="1:7" ht="16.5" customHeight="1">
      <c r="A643" s="46"/>
      <c r="G643" s="167"/>
    </row>
    <row r="644" spans="1:7" ht="16.5" customHeight="1">
      <c r="A644" s="46"/>
      <c r="G644" s="167"/>
    </row>
    <row r="645" spans="1:7" ht="16.5" customHeight="1">
      <c r="A645" s="46"/>
      <c r="G645" s="167"/>
    </row>
    <row r="646" spans="1:7" ht="16.5" customHeight="1">
      <c r="A646" s="46"/>
      <c r="G646" s="167"/>
    </row>
    <row r="647" spans="1:7" ht="16.5" customHeight="1">
      <c r="A647" s="46"/>
      <c r="G647" s="167"/>
    </row>
    <row r="648" spans="1:7" ht="16.5" customHeight="1">
      <c r="A648" s="46"/>
      <c r="G648" s="167"/>
    </row>
    <row r="649" spans="1:7" ht="16.5" customHeight="1">
      <c r="A649" s="46"/>
      <c r="G649" s="167"/>
    </row>
    <row r="650" spans="1:7" ht="16.5" customHeight="1">
      <c r="A650" s="46"/>
      <c r="G650" s="167"/>
    </row>
    <row r="651" spans="1:7" ht="16.5" customHeight="1">
      <c r="A651" s="46"/>
      <c r="G651" s="167"/>
    </row>
    <row r="652" spans="1:7" ht="16.5" customHeight="1">
      <c r="A652" s="46"/>
      <c r="G652" s="167"/>
    </row>
    <row r="653" spans="1:7" ht="16.5" customHeight="1">
      <c r="A653" s="46"/>
      <c r="G653" s="167"/>
    </row>
    <row r="654" spans="1:7" ht="16.5" customHeight="1">
      <c r="A654" s="46"/>
      <c r="G654" s="167"/>
    </row>
    <row r="655" spans="1:7" ht="16.5" customHeight="1">
      <c r="A655" s="46"/>
      <c r="G655" s="167"/>
    </row>
    <row r="656" spans="1:7" ht="16.5" customHeight="1">
      <c r="A656" s="46"/>
      <c r="G656" s="167"/>
    </row>
    <row r="657" spans="1:7" ht="16.5" customHeight="1">
      <c r="A657" s="46"/>
      <c r="G657" s="167"/>
    </row>
    <row r="658" spans="1:7" ht="16.5" customHeight="1">
      <c r="A658" s="46"/>
      <c r="G658" s="167"/>
    </row>
    <row r="659" spans="1:7" ht="16.5" customHeight="1">
      <c r="A659" s="46"/>
      <c r="G659" s="167"/>
    </row>
    <row r="660" spans="1:7" ht="16.5" customHeight="1">
      <c r="A660" s="46"/>
      <c r="G660" s="167"/>
    </row>
    <row r="661" spans="1:7" ht="16.5" customHeight="1">
      <c r="A661" s="46"/>
      <c r="G661" s="167"/>
    </row>
    <row r="662" spans="1:7" ht="16.5" customHeight="1">
      <c r="A662" s="46"/>
      <c r="G662" s="167"/>
    </row>
    <row r="663" spans="1:7" ht="16.5" customHeight="1">
      <c r="A663" s="46"/>
      <c r="G663" s="167"/>
    </row>
    <row r="664" spans="1:7" ht="16.5" customHeight="1">
      <c r="A664" s="46"/>
      <c r="G664" s="167"/>
    </row>
    <row r="665" spans="1:7" ht="16.5" customHeight="1">
      <c r="A665" s="46"/>
      <c r="G665" s="167"/>
    </row>
    <row r="666" spans="1:7" ht="16.5" customHeight="1">
      <c r="A666" s="46"/>
      <c r="G666" s="167"/>
    </row>
    <row r="667" spans="1:7" ht="16.5" customHeight="1">
      <c r="A667" s="46"/>
      <c r="G667" s="167"/>
    </row>
    <row r="668" spans="1:7" ht="16.5" customHeight="1">
      <c r="A668" s="46"/>
      <c r="G668" s="167"/>
    </row>
    <row r="669" spans="1:7" ht="16.5" customHeight="1">
      <c r="A669" s="46"/>
      <c r="G669" s="167"/>
    </row>
    <row r="670" spans="1:7" ht="16.5" customHeight="1">
      <c r="A670" s="46"/>
      <c r="G670" s="167"/>
    </row>
    <row r="671" spans="1:7" ht="16.5" customHeight="1">
      <c r="A671" s="46"/>
      <c r="G671" s="167"/>
    </row>
    <row r="672" spans="1:7" ht="16.5" customHeight="1">
      <c r="A672" s="46"/>
      <c r="G672" s="167"/>
    </row>
    <row r="673" spans="1:7" ht="16.5" customHeight="1">
      <c r="A673" s="46"/>
      <c r="G673" s="167"/>
    </row>
    <row r="674" spans="1:7" ht="16.5" customHeight="1">
      <c r="A674" s="46"/>
      <c r="G674" s="167"/>
    </row>
    <row r="675" spans="1:7" ht="16.5" customHeight="1">
      <c r="A675" s="46"/>
      <c r="G675" s="167"/>
    </row>
    <row r="676" spans="1:7" ht="16.5" customHeight="1">
      <c r="A676" s="46"/>
      <c r="G676" s="167"/>
    </row>
    <row r="677" spans="1:7" ht="16.5" customHeight="1">
      <c r="A677" s="46"/>
      <c r="G677" s="167"/>
    </row>
    <row r="678" spans="1:7" ht="16.5" customHeight="1">
      <c r="A678" s="46"/>
      <c r="G678" s="167"/>
    </row>
    <row r="679" spans="1:7" ht="16.5" customHeight="1">
      <c r="A679" s="46"/>
      <c r="G679" s="167"/>
    </row>
    <row r="680" spans="1:7" ht="16.5" customHeight="1">
      <c r="A680" s="46"/>
      <c r="G680" s="167"/>
    </row>
    <row r="681" spans="1:7" ht="16.5" customHeight="1">
      <c r="A681" s="46"/>
      <c r="G681" s="167"/>
    </row>
    <row r="682" spans="1:7" ht="16.5" customHeight="1">
      <c r="A682" s="46"/>
      <c r="G682" s="167"/>
    </row>
    <row r="683" spans="1:7" ht="16.5" customHeight="1">
      <c r="A683" s="46"/>
      <c r="G683" s="167"/>
    </row>
    <row r="684" spans="1:7" ht="16.5" customHeight="1">
      <c r="A684" s="46"/>
      <c r="G684" s="167"/>
    </row>
    <row r="685" spans="1:7" ht="16.5" customHeight="1">
      <c r="A685" s="46"/>
      <c r="G685" s="167"/>
    </row>
    <row r="686" spans="1:7" ht="16.5" customHeight="1">
      <c r="A686" s="46"/>
      <c r="G686" s="167"/>
    </row>
    <row r="687" spans="1:7" ht="16.5" customHeight="1">
      <c r="A687" s="46"/>
      <c r="G687" s="167"/>
    </row>
    <row r="688" spans="1:7" ht="16.5" customHeight="1">
      <c r="A688" s="46"/>
      <c r="G688" s="167"/>
    </row>
    <row r="689" spans="1:7" ht="16.5" customHeight="1">
      <c r="A689" s="46"/>
      <c r="G689" s="167"/>
    </row>
    <row r="690" spans="1:7" ht="16.5" customHeight="1">
      <c r="A690" s="46"/>
      <c r="G690" s="167"/>
    </row>
    <row r="691" spans="1:7" ht="16.5" customHeight="1">
      <c r="A691" s="46"/>
      <c r="G691" s="167"/>
    </row>
    <row r="692" spans="1:7" ht="16.5" customHeight="1">
      <c r="A692" s="46"/>
      <c r="G692" s="167"/>
    </row>
    <row r="693" spans="1:7" ht="16.5" customHeight="1">
      <c r="A693" s="46"/>
      <c r="G693" s="167"/>
    </row>
    <row r="694" spans="1:7" ht="16.5" customHeight="1">
      <c r="A694" s="46"/>
      <c r="G694" s="167"/>
    </row>
    <row r="695" spans="1:7" ht="16.5" customHeight="1">
      <c r="A695" s="46"/>
      <c r="G695" s="167"/>
    </row>
    <row r="696" spans="1:7" ht="16.5" customHeight="1">
      <c r="A696" s="46"/>
      <c r="G696" s="167"/>
    </row>
    <row r="697" spans="1:7" ht="16.5" customHeight="1">
      <c r="A697" s="46"/>
      <c r="G697" s="167"/>
    </row>
    <row r="698" spans="1:7" ht="16.5" customHeight="1">
      <c r="A698" s="46"/>
      <c r="G698" s="167"/>
    </row>
    <row r="699" spans="1:7" ht="16.5" customHeight="1">
      <c r="A699" s="46"/>
      <c r="G699" s="167"/>
    </row>
    <row r="700" spans="1:7" ht="16.5" customHeight="1">
      <c r="A700" s="46"/>
      <c r="G700" s="167"/>
    </row>
    <row r="701" spans="1:7" ht="16.5" customHeight="1">
      <c r="A701" s="46"/>
      <c r="G701" s="167"/>
    </row>
    <row r="702" spans="1:7" ht="16.5" customHeight="1">
      <c r="A702" s="46"/>
      <c r="G702" s="167"/>
    </row>
    <row r="703" spans="1:7" ht="16.5" customHeight="1">
      <c r="A703" s="46"/>
      <c r="G703" s="167"/>
    </row>
    <row r="704" spans="1:7" ht="16.5" customHeight="1">
      <c r="A704" s="46"/>
      <c r="G704" s="167"/>
    </row>
    <row r="705" spans="1:7" ht="16.5" customHeight="1">
      <c r="A705" s="46"/>
      <c r="G705" s="167"/>
    </row>
    <row r="706" spans="1:7" ht="16.5" customHeight="1">
      <c r="A706" s="46"/>
      <c r="G706" s="167"/>
    </row>
    <row r="707" spans="1:7" ht="16.5" customHeight="1">
      <c r="A707" s="46"/>
      <c r="G707" s="167"/>
    </row>
    <row r="708" spans="1:7" ht="16.5" customHeight="1">
      <c r="A708" s="46"/>
      <c r="G708" s="167"/>
    </row>
    <row r="709" spans="1:7" ht="16.5" customHeight="1">
      <c r="A709" s="46"/>
      <c r="G709" s="167"/>
    </row>
    <row r="710" spans="1:7" ht="16.5" customHeight="1">
      <c r="A710" s="46"/>
      <c r="G710" s="167"/>
    </row>
    <row r="711" spans="1:7" ht="16.5" customHeight="1">
      <c r="A711" s="46"/>
      <c r="G711" s="167"/>
    </row>
    <row r="712" spans="1:7" ht="16.5" customHeight="1">
      <c r="A712" s="46"/>
      <c r="G712" s="167"/>
    </row>
    <row r="713" spans="1:7" ht="16.5" customHeight="1">
      <c r="A713" s="46"/>
      <c r="G713" s="167"/>
    </row>
    <row r="714" spans="1:7" ht="16.5" customHeight="1">
      <c r="A714" s="46"/>
      <c r="G714" s="167"/>
    </row>
    <row r="715" spans="1:7" ht="16.5" customHeight="1">
      <c r="A715" s="46"/>
      <c r="G715" s="167"/>
    </row>
    <row r="716" spans="1:7" ht="16.5" customHeight="1">
      <c r="A716" s="46"/>
      <c r="G716" s="167"/>
    </row>
    <row r="717" spans="1:7" ht="16.5" customHeight="1">
      <c r="A717" s="46"/>
      <c r="G717" s="167"/>
    </row>
    <row r="718" spans="1:7" ht="16.5" customHeight="1">
      <c r="A718" s="46"/>
      <c r="G718" s="167"/>
    </row>
    <row r="719" spans="1:7" ht="16.5" customHeight="1">
      <c r="A719" s="46"/>
      <c r="G719" s="167"/>
    </row>
    <row r="720" spans="1:7" ht="16.5" customHeight="1">
      <c r="A720" s="46"/>
      <c r="G720" s="167"/>
    </row>
    <row r="721" spans="1:7" ht="16.5" customHeight="1">
      <c r="A721" s="46"/>
      <c r="G721" s="167"/>
    </row>
    <row r="722" spans="1:7" ht="16.5" customHeight="1">
      <c r="A722" s="46"/>
      <c r="G722" s="167"/>
    </row>
    <row r="723" spans="1:7" ht="16.5" customHeight="1">
      <c r="A723" s="46"/>
      <c r="G723" s="167"/>
    </row>
    <row r="724" spans="1:7" ht="16.5" customHeight="1">
      <c r="A724" s="46"/>
      <c r="G724" s="167"/>
    </row>
    <row r="725" spans="1:7" ht="16.5" customHeight="1">
      <c r="A725" s="46"/>
      <c r="G725" s="167"/>
    </row>
    <row r="726" spans="1:7" ht="16.5" customHeight="1">
      <c r="A726" s="46"/>
      <c r="G726" s="167"/>
    </row>
    <row r="727" spans="1:7" ht="16.5" customHeight="1">
      <c r="A727" s="46"/>
      <c r="G727" s="167"/>
    </row>
    <row r="728" spans="1:7" ht="16.5" customHeight="1">
      <c r="A728" s="46"/>
      <c r="G728" s="167"/>
    </row>
    <row r="729" spans="1:7" ht="16.5" customHeight="1">
      <c r="A729" s="46"/>
      <c r="G729" s="167"/>
    </row>
    <row r="730" spans="1:7" ht="16.5" customHeight="1">
      <c r="A730" s="46"/>
      <c r="G730" s="167"/>
    </row>
    <row r="731" spans="1:7" ht="16.5" customHeight="1">
      <c r="A731" s="46"/>
      <c r="G731" s="167"/>
    </row>
    <row r="732" spans="1:7" ht="16.5" customHeight="1">
      <c r="A732" s="46"/>
      <c r="G732" s="167"/>
    </row>
    <row r="733" spans="1:7" ht="16.5" customHeight="1">
      <c r="A733" s="46"/>
      <c r="G733" s="167"/>
    </row>
    <row r="734" spans="1:7" ht="16.5" customHeight="1">
      <c r="A734" s="46"/>
      <c r="G734" s="167"/>
    </row>
    <row r="735" spans="1:7" ht="16.5" customHeight="1">
      <c r="A735" s="46"/>
      <c r="G735" s="167"/>
    </row>
    <row r="736" spans="1:7" ht="16.5" customHeight="1">
      <c r="A736" s="46"/>
      <c r="G736" s="167"/>
    </row>
    <row r="737" spans="1:7" ht="16.5" customHeight="1">
      <c r="A737" s="46"/>
      <c r="G737" s="167"/>
    </row>
    <row r="738" spans="1:7" ht="16.5" customHeight="1">
      <c r="A738" s="46"/>
      <c r="G738" s="167"/>
    </row>
    <row r="739" spans="1:7" ht="16.5" customHeight="1">
      <c r="A739" s="46"/>
      <c r="G739" s="167"/>
    </row>
    <row r="740" spans="1:7" ht="16.5" customHeight="1">
      <c r="A740" s="46"/>
      <c r="G740" s="167"/>
    </row>
    <row r="741" spans="1:7" ht="16.5" customHeight="1">
      <c r="A741" s="46"/>
      <c r="G741" s="167"/>
    </row>
    <row r="742" spans="1:7" ht="16.5" customHeight="1">
      <c r="A742" s="46"/>
      <c r="G742" s="167"/>
    </row>
    <row r="743" spans="1:7" ht="16.5" customHeight="1">
      <c r="A743" s="46"/>
      <c r="G743" s="167"/>
    </row>
    <row r="744" spans="1:7" ht="16.5" customHeight="1">
      <c r="A744" s="46"/>
      <c r="G744" s="167"/>
    </row>
    <row r="745" spans="1:7" ht="16.5" customHeight="1">
      <c r="A745" s="46"/>
      <c r="G745" s="167"/>
    </row>
    <row r="746" spans="1:7" ht="16.5" customHeight="1">
      <c r="A746" s="46"/>
      <c r="G746" s="167"/>
    </row>
    <row r="747" spans="1:7" ht="16.5" customHeight="1">
      <c r="A747" s="46"/>
      <c r="G747" s="167"/>
    </row>
    <row r="748" spans="1:7" ht="16.5" customHeight="1">
      <c r="A748" s="46"/>
      <c r="G748" s="167"/>
    </row>
    <row r="749" spans="1:7" ht="16.5" customHeight="1">
      <c r="A749" s="46"/>
      <c r="G749" s="167"/>
    </row>
    <row r="750" spans="1:7" ht="16.5" customHeight="1">
      <c r="A750" s="46"/>
      <c r="G750" s="167"/>
    </row>
    <row r="751" spans="1:7" ht="16.5" customHeight="1">
      <c r="A751" s="46"/>
      <c r="G751" s="167"/>
    </row>
    <row r="752" spans="1:7" ht="16.5" customHeight="1">
      <c r="A752" s="46"/>
      <c r="G752" s="167"/>
    </row>
    <row r="753" spans="1:7" ht="16.5" customHeight="1">
      <c r="A753" s="46"/>
      <c r="G753" s="167"/>
    </row>
    <row r="754" spans="1:7" ht="16.5" customHeight="1">
      <c r="A754" s="46"/>
      <c r="G754" s="167"/>
    </row>
    <row r="755" spans="1:7" ht="16.5" customHeight="1">
      <c r="A755" s="46"/>
      <c r="G755" s="167"/>
    </row>
    <row r="756" spans="1:7" ht="16.5" customHeight="1">
      <c r="A756" s="46"/>
      <c r="G756" s="167"/>
    </row>
    <row r="757" spans="1:7" ht="16.5" customHeight="1">
      <c r="A757" s="46"/>
      <c r="G757" s="167"/>
    </row>
    <row r="758" spans="1:7" ht="16.5" customHeight="1">
      <c r="A758" s="46"/>
      <c r="G758" s="167"/>
    </row>
    <row r="759" spans="1:7" ht="16.5" customHeight="1">
      <c r="A759" s="46"/>
      <c r="G759" s="167"/>
    </row>
    <row r="760" spans="1:7" ht="16.5" customHeight="1">
      <c r="A760" s="46"/>
      <c r="G760" s="167"/>
    </row>
    <row r="761" spans="1:7" ht="16.5" customHeight="1">
      <c r="A761" s="46"/>
      <c r="G761" s="167"/>
    </row>
    <row r="762" spans="1:7" ht="16.5" customHeight="1">
      <c r="A762" s="46"/>
      <c r="G762" s="167"/>
    </row>
    <row r="763" spans="1:7" ht="16.5" customHeight="1">
      <c r="A763" s="46"/>
      <c r="G763" s="167"/>
    </row>
    <row r="764" spans="1:7" ht="16.5" customHeight="1">
      <c r="A764" s="46"/>
      <c r="G764" s="167"/>
    </row>
    <row r="765" spans="1:7" ht="16.5" customHeight="1">
      <c r="A765" s="46"/>
      <c r="G765" s="167"/>
    </row>
    <row r="766" spans="1:7" ht="16.5" customHeight="1">
      <c r="A766" s="46"/>
      <c r="G766" s="167"/>
    </row>
    <row r="767" spans="1:7" ht="16.5" customHeight="1">
      <c r="A767" s="46"/>
      <c r="G767" s="167"/>
    </row>
    <row r="768" spans="1:7" ht="16.5" customHeight="1">
      <c r="A768" s="46"/>
      <c r="G768" s="167"/>
    </row>
    <row r="769" spans="1:7" ht="16.5" customHeight="1">
      <c r="A769" s="46"/>
      <c r="G769" s="167"/>
    </row>
    <row r="770" spans="1:7" ht="16.5" customHeight="1">
      <c r="A770" s="46"/>
      <c r="G770" s="167"/>
    </row>
    <row r="771" spans="1:7" ht="16.5" customHeight="1">
      <c r="A771" s="46"/>
      <c r="G771" s="167"/>
    </row>
    <row r="772" spans="1:7" ht="16.5" customHeight="1">
      <c r="A772" s="46"/>
      <c r="G772" s="167"/>
    </row>
    <row r="773" spans="1:7" ht="16.5" customHeight="1">
      <c r="A773" s="46"/>
      <c r="G773" s="167"/>
    </row>
    <row r="774" spans="1:7" ht="16.5" customHeight="1">
      <c r="A774" s="46"/>
      <c r="G774" s="167"/>
    </row>
    <row r="775" spans="1:7" ht="16.5" customHeight="1">
      <c r="A775" s="46"/>
      <c r="G775" s="167"/>
    </row>
    <row r="776" spans="1:7" ht="16.5" customHeight="1">
      <c r="A776" s="46"/>
      <c r="G776" s="167"/>
    </row>
    <row r="777" spans="1:7" ht="16.5" customHeight="1">
      <c r="A777" s="46"/>
      <c r="G777" s="167"/>
    </row>
    <row r="778" spans="1:7" ht="16.5" customHeight="1">
      <c r="A778" s="46"/>
      <c r="G778" s="167"/>
    </row>
    <row r="779" spans="1:7" ht="16.5" customHeight="1">
      <c r="A779" s="46"/>
      <c r="G779" s="167"/>
    </row>
    <row r="780" spans="1:7" ht="16.5" customHeight="1">
      <c r="A780" s="46"/>
      <c r="G780" s="167"/>
    </row>
    <row r="781" spans="1:7" ht="16.5" customHeight="1">
      <c r="A781" s="46"/>
      <c r="G781" s="167"/>
    </row>
    <row r="782" spans="1:7" ht="16.5" customHeight="1">
      <c r="A782" s="46"/>
      <c r="G782" s="167"/>
    </row>
    <row r="783" spans="1:7" ht="16.5" customHeight="1">
      <c r="A783" s="46"/>
      <c r="G783" s="167"/>
    </row>
    <row r="784" spans="1:7" ht="16.5" customHeight="1">
      <c r="A784" s="46"/>
      <c r="G784" s="167"/>
    </row>
    <row r="785" spans="1:7" ht="16.5" customHeight="1">
      <c r="A785" s="46"/>
      <c r="G785" s="167"/>
    </row>
    <row r="786" spans="1:7" ht="16.5" customHeight="1">
      <c r="A786" s="46"/>
      <c r="G786" s="167"/>
    </row>
    <row r="787" spans="1:7" ht="16.5" customHeight="1">
      <c r="A787" s="46"/>
      <c r="G787" s="167"/>
    </row>
    <row r="788" spans="1:7" ht="16.5" customHeight="1">
      <c r="A788" s="46"/>
      <c r="G788" s="167"/>
    </row>
    <row r="789" spans="1:7" ht="16.5" customHeight="1">
      <c r="A789" s="46"/>
      <c r="G789" s="167"/>
    </row>
    <row r="790" spans="1:7" ht="16.5" customHeight="1">
      <c r="A790" s="46"/>
      <c r="G790" s="167"/>
    </row>
    <row r="791" spans="1:7" ht="16.5" customHeight="1">
      <c r="A791" s="46"/>
      <c r="G791" s="167"/>
    </row>
    <row r="792" spans="1:7" ht="16.5" customHeight="1">
      <c r="A792" s="46"/>
      <c r="G792" s="167"/>
    </row>
    <row r="793" spans="1:7" ht="16.5" customHeight="1">
      <c r="A793" s="46"/>
      <c r="G793" s="167"/>
    </row>
    <row r="794" spans="1:7" ht="16.5" customHeight="1">
      <c r="A794" s="46"/>
      <c r="G794" s="167"/>
    </row>
    <row r="795" spans="1:7" ht="16.5" customHeight="1">
      <c r="A795" s="46"/>
      <c r="G795" s="167"/>
    </row>
    <row r="796" spans="1:7" ht="16.5" customHeight="1">
      <c r="A796" s="46"/>
      <c r="G796" s="167"/>
    </row>
    <row r="797" spans="1:7" ht="16.5" customHeight="1">
      <c r="A797" s="46"/>
      <c r="G797" s="167"/>
    </row>
    <row r="798" spans="1:7" ht="16.5" customHeight="1">
      <c r="A798" s="46"/>
      <c r="G798" s="167"/>
    </row>
    <row r="799" spans="1:7" ht="16.5" customHeight="1">
      <c r="A799" s="46"/>
      <c r="G799" s="167"/>
    </row>
    <row r="800" spans="1:7" ht="16.5" customHeight="1">
      <c r="A800" s="46"/>
      <c r="G800" s="167"/>
    </row>
    <row r="801" spans="1:7" ht="16.5" customHeight="1">
      <c r="A801" s="46"/>
      <c r="G801" s="167"/>
    </row>
    <row r="802" spans="1:7" ht="16.5" customHeight="1">
      <c r="A802" s="46"/>
      <c r="G802" s="167"/>
    </row>
    <row r="803" spans="1:7" ht="16.5" customHeight="1">
      <c r="A803" s="46"/>
      <c r="G803" s="167"/>
    </row>
    <row r="804" spans="1:7" ht="16.5" customHeight="1">
      <c r="A804" s="46"/>
      <c r="G804" s="167"/>
    </row>
    <row r="805" spans="1:7" ht="16.5" customHeight="1">
      <c r="A805" s="46"/>
      <c r="G805" s="167"/>
    </row>
    <row r="806" spans="1:7" ht="16.5" customHeight="1">
      <c r="A806" s="46"/>
      <c r="G806" s="167"/>
    </row>
    <row r="807" spans="1:7" ht="16.5" customHeight="1">
      <c r="A807" s="46"/>
      <c r="G807" s="167"/>
    </row>
    <row r="808" spans="1:7" ht="16.5" customHeight="1">
      <c r="A808" s="46"/>
      <c r="G808" s="167"/>
    </row>
    <row r="809" spans="1:7" ht="16.5" customHeight="1">
      <c r="A809" s="46"/>
      <c r="G809" s="167"/>
    </row>
    <row r="810" spans="1:7" ht="16.5" customHeight="1">
      <c r="A810" s="46"/>
      <c r="G810" s="167"/>
    </row>
    <row r="811" spans="1:7" ht="16.5" customHeight="1">
      <c r="A811" s="46"/>
      <c r="G811" s="167"/>
    </row>
    <row r="812" spans="1:7" ht="16.5" customHeight="1">
      <c r="A812" s="46"/>
      <c r="G812" s="167"/>
    </row>
    <row r="813" spans="1:7" ht="16.5" customHeight="1">
      <c r="A813" s="46"/>
      <c r="G813" s="167"/>
    </row>
    <row r="814" spans="1:7" ht="16.5" customHeight="1">
      <c r="A814" s="46"/>
      <c r="G814" s="167"/>
    </row>
    <row r="815" spans="1:7" ht="16.5" customHeight="1">
      <c r="A815" s="46"/>
      <c r="G815" s="167"/>
    </row>
    <row r="816" spans="1:7" ht="16.5" customHeight="1">
      <c r="A816" s="46"/>
      <c r="G816" s="167"/>
    </row>
    <row r="817" spans="1:7" ht="16.5" customHeight="1">
      <c r="A817" s="46"/>
      <c r="G817" s="167"/>
    </row>
    <row r="818" spans="1:7" ht="16.5" customHeight="1">
      <c r="A818" s="46"/>
      <c r="G818" s="167"/>
    </row>
    <row r="819" spans="1:7" ht="16.5" customHeight="1">
      <c r="A819" s="46"/>
      <c r="G819" s="167"/>
    </row>
    <row r="820" spans="1:7" ht="16.5" customHeight="1">
      <c r="A820" s="46"/>
      <c r="G820" s="167"/>
    </row>
    <row r="821" spans="1:7" ht="16.5" customHeight="1">
      <c r="A821" s="46"/>
      <c r="G821" s="167"/>
    </row>
    <row r="822" spans="1:7" ht="16.5" customHeight="1">
      <c r="A822" s="46"/>
      <c r="G822" s="167"/>
    </row>
    <row r="823" spans="1:7" ht="16.5" customHeight="1">
      <c r="A823" s="46"/>
      <c r="G823" s="167"/>
    </row>
    <row r="824" spans="1:7" ht="16.5" customHeight="1">
      <c r="A824" s="46"/>
      <c r="G824" s="167"/>
    </row>
    <row r="825" spans="1:7" ht="16.5" customHeight="1">
      <c r="A825" s="46"/>
      <c r="G825" s="167"/>
    </row>
    <row r="826" spans="1:7" ht="16.5" customHeight="1">
      <c r="A826" s="46"/>
      <c r="G826" s="167"/>
    </row>
    <row r="827" spans="1:7" ht="16.5" customHeight="1">
      <c r="A827" s="46"/>
      <c r="G827" s="167"/>
    </row>
    <row r="828" spans="1:7" ht="16.5" customHeight="1">
      <c r="A828" s="46"/>
      <c r="G828" s="167"/>
    </row>
    <row r="829" spans="1:7" ht="16.5" customHeight="1">
      <c r="A829" s="46"/>
      <c r="G829" s="167"/>
    </row>
    <row r="830" spans="1:7" ht="16.5" customHeight="1">
      <c r="A830" s="46"/>
      <c r="G830" s="167"/>
    </row>
    <row r="831" spans="1:7" ht="16.5" customHeight="1">
      <c r="A831" s="46"/>
      <c r="G831" s="167"/>
    </row>
    <row r="832" spans="1:7" ht="16.5" customHeight="1">
      <c r="A832" s="46"/>
      <c r="G832" s="167"/>
    </row>
    <row r="833" spans="1:7" ht="16.5" customHeight="1">
      <c r="A833" s="46"/>
      <c r="G833" s="167"/>
    </row>
    <row r="834" spans="1:7" ht="16.5" customHeight="1">
      <c r="A834" s="46"/>
      <c r="G834" s="167"/>
    </row>
    <row r="835" spans="1:7" ht="16.5" customHeight="1">
      <c r="A835" s="46"/>
      <c r="G835" s="167"/>
    </row>
    <row r="836" spans="1:7" ht="16.5" customHeight="1">
      <c r="A836" s="46"/>
      <c r="G836" s="167"/>
    </row>
    <row r="837" spans="1:7" ht="16.5" customHeight="1">
      <c r="A837" s="46"/>
      <c r="G837" s="167"/>
    </row>
    <row r="838" spans="1:7" ht="16.5" customHeight="1">
      <c r="A838" s="46"/>
      <c r="G838" s="167"/>
    </row>
    <row r="839" spans="1:7" ht="16.5" customHeight="1">
      <c r="A839" s="46"/>
      <c r="G839" s="167"/>
    </row>
    <row r="840" spans="1:7" ht="16.5" customHeight="1">
      <c r="A840" s="46"/>
      <c r="G840" s="167"/>
    </row>
    <row r="841" spans="1:7" ht="16.5" customHeight="1">
      <c r="A841" s="46"/>
      <c r="G841" s="167"/>
    </row>
    <row r="842" spans="1:7" ht="16.5" customHeight="1">
      <c r="A842" s="46"/>
      <c r="G842" s="167"/>
    </row>
    <row r="843" spans="1:7" ht="16.5" customHeight="1">
      <c r="A843" s="46"/>
      <c r="G843" s="167"/>
    </row>
    <row r="844" spans="1:7" ht="16.5" customHeight="1">
      <c r="A844" s="46"/>
      <c r="G844" s="167"/>
    </row>
    <row r="845" spans="1:7" ht="16.5" customHeight="1">
      <c r="A845" s="46"/>
      <c r="G845" s="167"/>
    </row>
    <row r="846" spans="1:7" ht="16.5" customHeight="1">
      <c r="A846" s="46"/>
      <c r="G846" s="167"/>
    </row>
    <row r="847" spans="1:7" ht="16.5" customHeight="1">
      <c r="A847" s="46"/>
      <c r="G847" s="167"/>
    </row>
    <row r="848" spans="1:7" ht="16.5" customHeight="1">
      <c r="A848" s="46"/>
      <c r="G848" s="167"/>
    </row>
    <row r="849" spans="1:7" ht="16.5" customHeight="1">
      <c r="A849" s="46"/>
      <c r="G849" s="167"/>
    </row>
    <row r="850" spans="1:7" ht="16.5" customHeight="1">
      <c r="A850" s="46"/>
      <c r="G850" s="167"/>
    </row>
    <row r="851" spans="1:7" ht="16.5" customHeight="1">
      <c r="A851" s="46"/>
      <c r="G851" s="167"/>
    </row>
    <row r="852" spans="1:7" ht="16.5" customHeight="1">
      <c r="A852" s="46"/>
      <c r="G852" s="167"/>
    </row>
    <row r="853" spans="1:7" ht="16.5" customHeight="1">
      <c r="A853" s="46"/>
      <c r="G853" s="167"/>
    </row>
    <row r="854" spans="1:7" ht="16.5" customHeight="1">
      <c r="A854" s="46"/>
      <c r="G854" s="167"/>
    </row>
    <row r="855" spans="1:7" ht="16.5" customHeight="1">
      <c r="A855" s="46"/>
      <c r="G855" s="167"/>
    </row>
    <row r="856" spans="1:7" ht="16.5" customHeight="1">
      <c r="A856" s="46"/>
      <c r="G856" s="167"/>
    </row>
    <row r="857" spans="1:7" ht="16.5" customHeight="1">
      <c r="A857" s="46"/>
      <c r="G857" s="167"/>
    </row>
    <row r="858" spans="1:7" ht="16.5" customHeight="1">
      <c r="A858" s="46"/>
      <c r="G858" s="167"/>
    </row>
    <row r="859" spans="1:7" ht="16.5" customHeight="1">
      <c r="A859" s="46"/>
      <c r="G859" s="167"/>
    </row>
    <row r="860" spans="1:7" ht="16.5" customHeight="1">
      <c r="A860" s="46"/>
      <c r="G860" s="167"/>
    </row>
    <row r="861" spans="1:7" ht="16.5" customHeight="1">
      <c r="A861" s="46"/>
      <c r="G861" s="167"/>
    </row>
    <row r="862" spans="1:7" ht="16.5" customHeight="1">
      <c r="A862" s="46"/>
      <c r="G862" s="167"/>
    </row>
    <row r="863" spans="1:7" ht="16.5" customHeight="1">
      <c r="A863" s="46"/>
      <c r="G863" s="167"/>
    </row>
    <row r="864" spans="1:7" ht="16.5" customHeight="1">
      <c r="A864" s="46"/>
      <c r="G864" s="167"/>
    </row>
    <row r="865" spans="1:7" ht="16.5" customHeight="1">
      <c r="A865" s="46"/>
      <c r="G865" s="167"/>
    </row>
    <row r="866" spans="1:7" ht="16.5" customHeight="1">
      <c r="A866" s="46"/>
      <c r="G866" s="167"/>
    </row>
    <row r="867" spans="1:7" ht="16.5" customHeight="1">
      <c r="A867" s="46"/>
      <c r="G867" s="167"/>
    </row>
    <row r="868" spans="1:7" ht="16.5" customHeight="1">
      <c r="A868" s="46"/>
      <c r="G868" s="167"/>
    </row>
    <row r="869" spans="1:7" ht="16.5" customHeight="1">
      <c r="A869" s="46"/>
      <c r="G869" s="167"/>
    </row>
    <row r="870" spans="1:7" ht="16.5" customHeight="1">
      <c r="A870" s="46"/>
      <c r="G870" s="167"/>
    </row>
    <row r="871" spans="1:7" ht="16.5" customHeight="1">
      <c r="A871" s="46"/>
      <c r="G871" s="167"/>
    </row>
    <row r="872" spans="1:7" ht="16.5" customHeight="1">
      <c r="A872" s="46"/>
      <c r="G872" s="167"/>
    </row>
    <row r="873" spans="1:7" ht="16.5" customHeight="1">
      <c r="A873" s="46"/>
      <c r="G873" s="167"/>
    </row>
    <row r="874" spans="1:7" ht="16.5" customHeight="1">
      <c r="A874" s="46"/>
      <c r="G874" s="167"/>
    </row>
    <row r="875" spans="1:7" ht="16.5" customHeight="1">
      <c r="A875" s="46"/>
      <c r="G875" s="167"/>
    </row>
    <row r="876" spans="1:7" ht="16.5" customHeight="1">
      <c r="A876" s="46"/>
      <c r="G876" s="167"/>
    </row>
    <row r="877" spans="1:7" ht="16.5" customHeight="1">
      <c r="A877" s="46"/>
      <c r="G877" s="167"/>
    </row>
    <row r="878" spans="1:7" ht="16.5" customHeight="1">
      <c r="A878" s="46"/>
      <c r="G878" s="167"/>
    </row>
    <row r="879" spans="1:7" ht="16.5" customHeight="1">
      <c r="A879" s="46"/>
      <c r="G879" s="167"/>
    </row>
    <row r="880" spans="1:7" ht="16.5" customHeight="1">
      <c r="A880" s="46"/>
      <c r="G880" s="167"/>
    </row>
    <row r="881" spans="1:7" ht="16.5" customHeight="1">
      <c r="A881" s="46"/>
      <c r="G881" s="167"/>
    </row>
    <row r="882" spans="1:7" ht="16.5" customHeight="1">
      <c r="A882" s="46"/>
      <c r="G882" s="167"/>
    </row>
    <row r="883" spans="1:7" ht="16.5" customHeight="1">
      <c r="A883" s="46"/>
      <c r="G883" s="167"/>
    </row>
    <row r="884" spans="1:7" ht="16.5" customHeight="1">
      <c r="A884" s="46"/>
      <c r="G884" s="167"/>
    </row>
    <row r="885" spans="1:7" ht="16.5" customHeight="1">
      <c r="A885" s="46"/>
      <c r="G885" s="167"/>
    </row>
    <row r="886" spans="1:7" ht="16.5" customHeight="1">
      <c r="A886" s="46"/>
      <c r="G886" s="167"/>
    </row>
    <row r="887" spans="1:7" ht="16.5" customHeight="1">
      <c r="A887" s="46"/>
      <c r="G887" s="167"/>
    </row>
    <row r="888" spans="1:7" ht="16.5" customHeight="1">
      <c r="A888" s="46"/>
      <c r="G888" s="167"/>
    </row>
    <row r="889" spans="1:7" ht="16.5" customHeight="1">
      <c r="A889" s="46"/>
      <c r="G889" s="167"/>
    </row>
    <row r="890" spans="1:7" ht="16.5" customHeight="1">
      <c r="A890" s="46"/>
      <c r="G890" s="167"/>
    </row>
    <row r="891" spans="1:7" ht="16.5" customHeight="1">
      <c r="A891" s="46"/>
      <c r="G891" s="167"/>
    </row>
    <row r="892" spans="1:7" ht="16.5" customHeight="1">
      <c r="A892" s="46"/>
      <c r="G892" s="167"/>
    </row>
    <row r="893" spans="1:7" ht="16.5" customHeight="1">
      <c r="A893" s="46"/>
      <c r="G893" s="167"/>
    </row>
    <row r="894" spans="1:7" ht="16.5" customHeight="1">
      <c r="A894" s="46"/>
      <c r="G894" s="167"/>
    </row>
    <row r="895" spans="1:7" ht="16.5" customHeight="1">
      <c r="A895" s="46"/>
      <c r="G895" s="167"/>
    </row>
    <row r="896" spans="1:7" ht="16.5" customHeight="1">
      <c r="A896" s="46"/>
      <c r="G896" s="167"/>
    </row>
    <row r="897" spans="1:7" ht="16.5" customHeight="1">
      <c r="A897" s="46"/>
      <c r="G897" s="167"/>
    </row>
    <row r="898" spans="1:7" ht="16.5" customHeight="1">
      <c r="A898" s="46"/>
      <c r="G898" s="167"/>
    </row>
    <row r="899" spans="1:7" ht="16.5" customHeight="1">
      <c r="A899" s="46"/>
      <c r="G899" s="167"/>
    </row>
    <row r="900" spans="1:7" ht="16.5" customHeight="1">
      <c r="A900" s="46"/>
      <c r="G900" s="167"/>
    </row>
    <row r="901" spans="1:7" ht="16.5" customHeight="1">
      <c r="A901" s="46"/>
      <c r="G901" s="167"/>
    </row>
    <row r="902" spans="1:7" ht="16.5" customHeight="1">
      <c r="A902" s="46"/>
      <c r="G902" s="167"/>
    </row>
    <row r="903" spans="1:7" ht="16.5" customHeight="1">
      <c r="A903" s="46"/>
      <c r="G903" s="167"/>
    </row>
    <row r="904" spans="1:7" ht="16.5" customHeight="1">
      <c r="A904" s="46"/>
      <c r="G904" s="167"/>
    </row>
    <row r="905" spans="1:7" ht="16.5" customHeight="1">
      <c r="A905" s="46"/>
      <c r="G905" s="167"/>
    </row>
    <row r="906" spans="1:7" ht="16.5" customHeight="1">
      <c r="A906" s="46"/>
      <c r="G906" s="167"/>
    </row>
    <row r="907" spans="1:7" ht="16.5" customHeight="1">
      <c r="A907" s="46"/>
      <c r="G907" s="167"/>
    </row>
    <row r="908" spans="1:7" ht="16.5" customHeight="1">
      <c r="A908" s="46"/>
      <c r="G908" s="167"/>
    </row>
    <row r="909" spans="1:7" ht="16.5" customHeight="1">
      <c r="A909" s="46"/>
      <c r="G909" s="167"/>
    </row>
    <row r="910" spans="1:7" ht="16.5" customHeight="1">
      <c r="A910" s="46"/>
      <c r="G910" s="167"/>
    </row>
    <row r="911" spans="1:7" ht="16.5" customHeight="1">
      <c r="A911" s="46"/>
      <c r="G911" s="167"/>
    </row>
    <row r="912" spans="1:7" ht="16.5" customHeight="1">
      <c r="A912" s="46"/>
      <c r="G912" s="167"/>
    </row>
    <row r="913" spans="1:7" ht="16.5" customHeight="1">
      <c r="A913" s="46"/>
      <c r="G913" s="167"/>
    </row>
    <row r="914" spans="1:7" ht="16.5" customHeight="1">
      <c r="A914" s="46"/>
      <c r="G914" s="167"/>
    </row>
    <row r="915" spans="1:7" ht="16.5" customHeight="1">
      <c r="A915" s="46"/>
      <c r="G915" s="167"/>
    </row>
    <row r="916" spans="1:7" ht="16.5" customHeight="1">
      <c r="A916" s="46"/>
      <c r="G916" s="167"/>
    </row>
    <row r="917" spans="1:7" ht="16.5" customHeight="1">
      <c r="A917" s="46"/>
      <c r="G917" s="167"/>
    </row>
    <row r="918" spans="1:7" ht="16.5" customHeight="1">
      <c r="A918" s="46"/>
      <c r="G918" s="167"/>
    </row>
    <row r="919" spans="1:7" ht="16.5" customHeight="1">
      <c r="A919" s="46"/>
      <c r="G919" s="167"/>
    </row>
    <row r="920" spans="1:7" ht="16.5" customHeight="1">
      <c r="A920" s="46"/>
      <c r="G920" s="167"/>
    </row>
    <row r="921" spans="1:7" ht="16.5" customHeight="1">
      <c r="A921" s="46"/>
      <c r="G921" s="167"/>
    </row>
    <row r="922" spans="1:7" ht="16.5" customHeight="1">
      <c r="A922" s="46"/>
      <c r="G922" s="167"/>
    </row>
    <row r="923" spans="1:7" ht="16.5" customHeight="1">
      <c r="A923" s="46"/>
      <c r="G923" s="167"/>
    </row>
    <row r="924" spans="1:7" ht="16.5" customHeight="1">
      <c r="A924" s="46"/>
      <c r="G924" s="167"/>
    </row>
    <row r="925" spans="1:7" ht="16.5" customHeight="1">
      <c r="A925" s="46"/>
      <c r="G925" s="167"/>
    </row>
    <row r="926" spans="1:7" ht="16.5" customHeight="1">
      <c r="A926" s="46"/>
      <c r="G926" s="167"/>
    </row>
    <row r="927" spans="1:7" ht="16.5" customHeight="1">
      <c r="A927" s="46"/>
      <c r="G927" s="167"/>
    </row>
    <row r="928" spans="1:7" ht="16.5" customHeight="1">
      <c r="A928" s="46"/>
      <c r="G928" s="167"/>
    </row>
    <row r="929" spans="1:7" ht="16.5" customHeight="1">
      <c r="A929" s="46"/>
      <c r="G929" s="167"/>
    </row>
    <row r="930" spans="1:7" ht="16.5" customHeight="1">
      <c r="A930" s="46"/>
      <c r="G930" s="167"/>
    </row>
    <row r="931" spans="1:7" ht="16.5" customHeight="1">
      <c r="A931" s="46"/>
      <c r="G931" s="167"/>
    </row>
    <row r="932" spans="1:7" ht="16.5" customHeight="1">
      <c r="A932" s="46"/>
      <c r="G932" s="167"/>
    </row>
    <row r="933" spans="1:7" ht="16.5" customHeight="1">
      <c r="A933" s="46"/>
      <c r="G933" s="167"/>
    </row>
    <row r="934" spans="1:7" ht="16.5" customHeight="1">
      <c r="A934" s="46"/>
      <c r="G934" s="167"/>
    </row>
    <row r="935" spans="1:7" ht="16.5" customHeight="1">
      <c r="A935" s="46"/>
      <c r="G935" s="167"/>
    </row>
    <row r="936" spans="1:7" ht="16.5" customHeight="1">
      <c r="A936" s="46"/>
      <c r="G936" s="167"/>
    </row>
    <row r="937" spans="1:7" ht="16.5" customHeight="1">
      <c r="A937" s="46"/>
      <c r="G937" s="167"/>
    </row>
    <row r="938" spans="1:7" ht="16.5" customHeight="1">
      <c r="A938" s="46"/>
      <c r="G938" s="167"/>
    </row>
    <row r="939" spans="1:7" ht="16.5" customHeight="1">
      <c r="A939" s="46"/>
      <c r="G939" s="167"/>
    </row>
    <row r="940" spans="1:7" ht="16.5" customHeight="1">
      <c r="A940" s="46"/>
      <c r="G940" s="167"/>
    </row>
    <row r="941" spans="1:7" ht="16.5" customHeight="1">
      <c r="A941" s="46"/>
      <c r="G941" s="167"/>
    </row>
    <row r="942" spans="1:7" ht="16.5" customHeight="1">
      <c r="A942" s="46"/>
      <c r="G942" s="167"/>
    </row>
    <row r="943" spans="1:7" ht="16.5" customHeight="1">
      <c r="A943" s="46"/>
      <c r="G943" s="167"/>
    </row>
    <row r="944" spans="1:7" ht="16.5" customHeight="1">
      <c r="A944" s="46"/>
      <c r="G944" s="167"/>
    </row>
    <row r="945" spans="1:7" ht="16.5" customHeight="1">
      <c r="A945" s="46"/>
      <c r="G945" s="167"/>
    </row>
    <row r="946" spans="1:7" ht="16.5" customHeight="1">
      <c r="A946" s="46"/>
      <c r="G946" s="167"/>
    </row>
    <row r="947" spans="1:7" ht="16.5" customHeight="1">
      <c r="A947" s="46"/>
      <c r="G947" s="167"/>
    </row>
    <row r="948" spans="1:7" ht="16.5" customHeight="1">
      <c r="A948" s="46"/>
      <c r="G948" s="167"/>
    </row>
    <row r="949" spans="1:7" ht="16.5" customHeight="1">
      <c r="A949" s="46"/>
      <c r="G949" s="167"/>
    </row>
    <row r="950" spans="1:7" ht="16.5" customHeight="1">
      <c r="A950" s="46"/>
      <c r="G950" s="167"/>
    </row>
    <row r="951" spans="1:7" ht="16.5" customHeight="1">
      <c r="A951" s="46"/>
      <c r="G951" s="167"/>
    </row>
    <row r="952" spans="1:7" ht="16.5" customHeight="1">
      <c r="A952" s="46"/>
      <c r="G952" s="167"/>
    </row>
    <row r="953" spans="1:7" ht="16.5" customHeight="1">
      <c r="A953" s="46"/>
      <c r="G953" s="167"/>
    </row>
    <row r="954" spans="1:7" ht="16.5" customHeight="1">
      <c r="A954" s="46"/>
      <c r="G954" s="167"/>
    </row>
    <row r="955" spans="1:7" ht="16.5" customHeight="1">
      <c r="A955" s="46"/>
      <c r="G955" s="167"/>
    </row>
    <row r="956" spans="1:7" ht="16.5" customHeight="1">
      <c r="A956" s="46"/>
      <c r="G956" s="167"/>
    </row>
    <row r="957" spans="1:7" ht="16.5" customHeight="1">
      <c r="A957" s="46"/>
      <c r="G957" s="167"/>
    </row>
    <row r="958" spans="1:7" ht="16.5" customHeight="1">
      <c r="A958" s="46"/>
      <c r="G958" s="167"/>
    </row>
    <row r="959" spans="1:7" ht="16.5" customHeight="1">
      <c r="A959" s="46"/>
      <c r="G959" s="167"/>
    </row>
    <row r="960" spans="1:7" ht="16.5" customHeight="1">
      <c r="A960" s="46"/>
      <c r="G960" s="167"/>
    </row>
    <row r="961" spans="1:7" ht="16.5" customHeight="1">
      <c r="A961" s="46"/>
      <c r="G961" s="167"/>
    </row>
    <row r="962" spans="1:7" ht="16.5" customHeight="1">
      <c r="A962" s="46"/>
      <c r="G962" s="167"/>
    </row>
    <row r="963" spans="1:7" ht="16.5" customHeight="1">
      <c r="A963" s="46"/>
      <c r="G963" s="167"/>
    </row>
    <row r="964" spans="1:7" ht="16.5" customHeight="1">
      <c r="A964" s="46"/>
      <c r="G964" s="167"/>
    </row>
    <row r="965" spans="1:7" ht="16.5" customHeight="1">
      <c r="A965" s="46"/>
      <c r="G965" s="167"/>
    </row>
    <row r="966" spans="1:7" ht="16.5" customHeight="1">
      <c r="A966" s="46"/>
      <c r="G966" s="167"/>
    </row>
    <row r="967" spans="1:7" ht="16.5" customHeight="1">
      <c r="A967" s="46"/>
      <c r="G967" s="167"/>
    </row>
    <row r="968" spans="1:7" ht="16.5" customHeight="1">
      <c r="A968" s="46"/>
      <c r="G968" s="167"/>
    </row>
    <row r="969" spans="1:7" ht="16.5" customHeight="1">
      <c r="A969" s="46"/>
      <c r="G969" s="167"/>
    </row>
    <row r="970" spans="1:7" ht="16.5" customHeight="1">
      <c r="A970" s="46"/>
      <c r="G970" s="167"/>
    </row>
    <row r="971" spans="1:7" ht="16.5" customHeight="1">
      <c r="A971" s="46"/>
      <c r="G971" s="167"/>
    </row>
    <row r="972" spans="1:7" ht="16.5" customHeight="1">
      <c r="A972" s="46"/>
      <c r="G972" s="167"/>
    </row>
    <row r="973" spans="1:7" ht="16.5" customHeight="1">
      <c r="A973" s="46"/>
      <c r="G973" s="167"/>
    </row>
    <row r="974" spans="1:7" ht="16.5" customHeight="1">
      <c r="A974" s="46"/>
      <c r="G974" s="167"/>
    </row>
    <row r="975" spans="1:7" ht="16.5" customHeight="1">
      <c r="A975" s="46"/>
      <c r="G975" s="167"/>
    </row>
    <row r="976" spans="1:7" ht="16.5" customHeight="1">
      <c r="A976" s="46"/>
      <c r="G976" s="167"/>
    </row>
    <row r="977" spans="1:7" ht="16.5" customHeight="1">
      <c r="A977" s="46"/>
      <c r="G977" s="167"/>
    </row>
    <row r="978" spans="1:7" ht="16.5" customHeight="1">
      <c r="A978" s="46"/>
      <c r="G978" s="167"/>
    </row>
    <row r="979" spans="1:7" ht="16.5" customHeight="1">
      <c r="A979" s="46"/>
      <c r="G979" s="167"/>
    </row>
    <row r="980" spans="1:7" ht="16.5" customHeight="1">
      <c r="A980" s="46"/>
      <c r="G980" s="167"/>
    </row>
    <row r="981" spans="1:7" ht="16.5" customHeight="1">
      <c r="A981" s="46"/>
      <c r="G981" s="167"/>
    </row>
    <row r="982" spans="1:7" ht="16.5" customHeight="1">
      <c r="A982" s="46"/>
      <c r="G982" s="167"/>
    </row>
    <row r="983" spans="1:7" ht="16.5" customHeight="1">
      <c r="A983" s="46"/>
      <c r="G983" s="167"/>
    </row>
    <row r="984" spans="1:7" ht="16.5" customHeight="1">
      <c r="A984" s="46"/>
      <c r="G984" s="167"/>
    </row>
    <row r="985" spans="1:7" ht="16.5" customHeight="1">
      <c r="A985" s="46"/>
      <c r="G985" s="167"/>
    </row>
    <row r="986" spans="1:7" ht="16.5" customHeight="1">
      <c r="A986" s="46"/>
      <c r="G986" s="167"/>
    </row>
    <row r="987" spans="1:7" ht="16.5" customHeight="1">
      <c r="A987" s="46"/>
      <c r="G987" s="167"/>
    </row>
    <row r="988" spans="1:7" ht="16.5" customHeight="1">
      <c r="A988" s="46"/>
      <c r="G988" s="167"/>
    </row>
    <row r="989" spans="1:7" ht="16.5" customHeight="1">
      <c r="A989" s="46"/>
      <c r="G989" s="167"/>
    </row>
    <row r="990" spans="1:7" ht="16.5" customHeight="1">
      <c r="A990" s="46"/>
      <c r="G990" s="167"/>
    </row>
    <row r="991" spans="1:7" ht="16.5" customHeight="1">
      <c r="A991" s="46"/>
      <c r="G991" s="167"/>
    </row>
    <row r="992" spans="1:7" ht="16.5" customHeight="1">
      <c r="A992" s="46"/>
      <c r="G992" s="167"/>
    </row>
    <row r="993" spans="1:7" ht="16.5" customHeight="1">
      <c r="A993" s="46"/>
      <c r="G993" s="167"/>
    </row>
    <row r="994" spans="1:7" ht="16.5" customHeight="1">
      <c r="A994" s="46"/>
      <c r="G994" s="167"/>
    </row>
    <row r="995" spans="1:7" ht="16.5" customHeight="1">
      <c r="A995" s="46"/>
      <c r="G995" s="167"/>
    </row>
    <row r="996" spans="1:7" ht="16.5" customHeight="1">
      <c r="A996" s="46"/>
      <c r="G996" s="167"/>
    </row>
    <row r="997" spans="1:7" ht="16.5" customHeight="1">
      <c r="A997" s="46"/>
      <c r="G997" s="167"/>
    </row>
    <row r="998" spans="1:7" ht="16.5" customHeight="1">
      <c r="A998" s="46"/>
      <c r="G998" s="167"/>
    </row>
    <row r="999" spans="1:7" ht="16.5" customHeight="1">
      <c r="A999" s="46"/>
      <c r="G999" s="167"/>
    </row>
    <row r="1000" spans="1:7" ht="16.5" customHeight="1">
      <c r="A1000" s="46"/>
      <c r="G1000" s="167"/>
    </row>
  </sheetData>
  <mergeCells count="1">
    <mergeCell ref="A1:I1"/>
  </mergeCells>
  <phoneticPr fontId="65" type="noConversion"/>
  <hyperlinks>
    <hyperlink ref="H4" r:id="rId1"/>
    <hyperlink ref="H5" r:id="rId2"/>
    <hyperlink ref="H6" r:id="rId3"/>
    <hyperlink ref="H7" r:id="rId4"/>
    <hyperlink ref="H8" r:id="rId5"/>
    <hyperlink ref="H9" r:id="rId6"/>
    <hyperlink ref="H10" r:id="rId7"/>
    <hyperlink ref="H11" r:id="rId8"/>
    <hyperlink ref="H12" r:id="rId9"/>
    <hyperlink ref="H13" r:id="rId10"/>
    <hyperlink ref="H14" r:id="rId11"/>
    <hyperlink ref="H15" r:id="rId12"/>
    <hyperlink ref="H16" r:id="rId13"/>
    <hyperlink ref="H17" r:id="rId14"/>
    <hyperlink ref="H18" r:id="rId15"/>
    <hyperlink ref="H19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0" r:id="rId27"/>
    <hyperlink ref="H31" r:id="rId28"/>
    <hyperlink ref="H32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0" r:id="rId37"/>
    <hyperlink ref="H41" r:id="rId38"/>
    <hyperlink ref="H42" r:id="rId39"/>
    <hyperlink ref="H43" r:id="rId40"/>
    <hyperlink ref="H44" r:id="rId41"/>
    <hyperlink ref="H45" r:id="rId42"/>
    <hyperlink ref="H46" r:id="rId43"/>
    <hyperlink ref="H47" r:id="rId44"/>
    <hyperlink ref="H48" r:id="rId45"/>
    <hyperlink ref="H49" r:id="rId46"/>
    <hyperlink ref="H50" r:id="rId47"/>
    <hyperlink ref="H51" r:id="rId48"/>
    <hyperlink ref="H52" r:id="rId49"/>
    <hyperlink ref="H53" r:id="rId50"/>
    <hyperlink ref="H54" r:id="rId51"/>
    <hyperlink ref="H55" r:id="rId52"/>
    <hyperlink ref="H56" r:id="rId53"/>
    <hyperlink ref="H57" r:id="rId54"/>
    <hyperlink ref="H58" r:id="rId55"/>
    <hyperlink ref="H59" r:id="rId56"/>
    <hyperlink ref="H60" r:id="rId57"/>
    <hyperlink ref="H61" r:id="rId58"/>
    <hyperlink ref="H62" r:id="rId59"/>
    <hyperlink ref="H63" r:id="rId60"/>
    <hyperlink ref="H64" r:id="rId61"/>
    <hyperlink ref="H65" r:id="rId62"/>
    <hyperlink ref="H66" r:id="rId63"/>
    <hyperlink ref="H67" r:id="rId64"/>
    <hyperlink ref="H68" r:id="rId65"/>
    <hyperlink ref="H69" r:id="rId66"/>
    <hyperlink ref="H70" r:id="rId67"/>
    <hyperlink ref="H71" r:id="rId68"/>
    <hyperlink ref="H72" r:id="rId69"/>
    <hyperlink ref="H73" r:id="rId70"/>
    <hyperlink ref="H74" r:id="rId71"/>
    <hyperlink ref="H75" r:id="rId72"/>
    <hyperlink ref="H76" r:id="rId73"/>
    <hyperlink ref="H77" r:id="rId74"/>
    <hyperlink ref="H78" r:id="rId75"/>
    <hyperlink ref="H79" r:id="rId76"/>
    <hyperlink ref="H80" r:id="rId77"/>
    <hyperlink ref="H81" r:id="rId78"/>
    <hyperlink ref="H82" r:id="rId79"/>
    <hyperlink ref="H83" r:id="rId80"/>
    <hyperlink ref="H84" r:id="rId81"/>
    <hyperlink ref="H85" r:id="rId82"/>
    <hyperlink ref="H86" r:id="rId83"/>
    <hyperlink ref="H87" r:id="rId84"/>
    <hyperlink ref="H88" r:id="rId85"/>
    <hyperlink ref="H89" r:id="rId86"/>
    <hyperlink ref="H90" r:id="rId87"/>
    <hyperlink ref="H91" r:id="rId88"/>
    <hyperlink ref="H92" r:id="rId89"/>
    <hyperlink ref="H93" r:id="rId90"/>
    <hyperlink ref="H94" r:id="rId91"/>
    <hyperlink ref="H95" r:id="rId92"/>
    <hyperlink ref="H96" r:id="rId93"/>
    <hyperlink ref="H97" r:id="rId94"/>
    <hyperlink ref="H98" r:id="rId95"/>
    <hyperlink ref="H99" r:id="rId96"/>
    <hyperlink ref="H100" r:id="rId97"/>
    <hyperlink ref="H101" r:id="rId98"/>
    <hyperlink ref="H102" r:id="rId99"/>
    <hyperlink ref="H103" r:id="rId100"/>
    <hyperlink ref="H104" r:id="rId101"/>
    <hyperlink ref="H105" r:id="rId102"/>
    <hyperlink ref="H106" r:id="rId103"/>
    <hyperlink ref="H107" r:id="rId104"/>
    <hyperlink ref="H108" r:id="rId105"/>
    <hyperlink ref="H109" r:id="rId106"/>
    <hyperlink ref="H110" r:id="rId107"/>
    <hyperlink ref="H111" r:id="rId108"/>
    <hyperlink ref="H112" r:id="rId109"/>
    <hyperlink ref="H113" r:id="rId110"/>
    <hyperlink ref="H114" r:id="rId111"/>
    <hyperlink ref="H115" r:id="rId112"/>
    <hyperlink ref="H116" r:id="rId113"/>
    <hyperlink ref="H117" r:id="rId114"/>
    <hyperlink ref="H118" r:id="rId115"/>
    <hyperlink ref="H119" r:id="rId116"/>
    <hyperlink ref="H120" r:id="rId117"/>
    <hyperlink ref="H121" r:id="rId118"/>
    <hyperlink ref="H122" r:id="rId119"/>
    <hyperlink ref="H123" r:id="rId120"/>
    <hyperlink ref="H124" r:id="rId121"/>
    <hyperlink ref="H125" r:id="rId122"/>
    <hyperlink ref="H126" r:id="rId123"/>
    <hyperlink ref="H127" r:id="rId124"/>
    <hyperlink ref="H128" r:id="rId125"/>
    <hyperlink ref="H129" r:id="rId126"/>
    <hyperlink ref="H130" r:id="rId127"/>
    <hyperlink ref="H131" r:id="rId128"/>
    <hyperlink ref="H132" r:id="rId129"/>
    <hyperlink ref="H133" r:id="rId130"/>
    <hyperlink ref="H134" r:id="rId131"/>
    <hyperlink ref="H135" r:id="rId132"/>
  </hyperlink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4973</v>
      </c>
      <c r="B1" s="290"/>
      <c r="C1" s="290"/>
      <c r="D1" s="290"/>
      <c r="E1" s="290"/>
      <c r="F1" s="290"/>
      <c r="G1" s="290"/>
      <c r="H1" s="290"/>
      <c r="I1" s="18" t="s">
        <v>132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191" t="s">
        <v>2</v>
      </c>
      <c r="B3" s="192" t="s">
        <v>4</v>
      </c>
      <c r="C3" s="192" t="s">
        <v>5</v>
      </c>
      <c r="D3" s="192" t="s">
        <v>6</v>
      </c>
      <c r="E3" s="192" t="s">
        <v>7</v>
      </c>
      <c r="F3" s="192" t="s">
        <v>8</v>
      </c>
      <c r="G3" s="192" t="s">
        <v>9</v>
      </c>
      <c r="H3" s="193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8" ca="1" si="0">IF(B4="","",ROW(B4)-3)</f>
        <v>1</v>
      </c>
      <c r="B4" s="19" t="str">
        <f ca="1">IFERROR(__xludf.DUMMYFUNCTION("filter('통합'!C4:I983,'통합'!B4:B983=I1)"),"#REF!")</f>
        <v>#REF!</v>
      </c>
      <c r="C4" s="19" t="s">
        <v>124</v>
      </c>
      <c r="D4" s="20" t="s">
        <v>134</v>
      </c>
      <c r="E4" s="32" t="s">
        <v>52</v>
      </c>
      <c r="F4" s="22" t="s">
        <v>42</v>
      </c>
      <c r="G4" s="23" t="s">
        <v>136</v>
      </c>
      <c r="H4" s="24" t="s">
        <v>20</v>
      </c>
    </row>
    <row r="5" spans="1:26" ht="26.25" customHeight="1">
      <c r="A5" s="154">
        <f t="shared" si="0"/>
        <v>2</v>
      </c>
      <c r="B5" s="22" t="s">
        <v>190</v>
      </c>
      <c r="C5" s="42" t="s">
        <v>191</v>
      </c>
      <c r="D5" s="43" t="s">
        <v>192</v>
      </c>
      <c r="E5" s="44" t="s">
        <v>193</v>
      </c>
      <c r="F5" s="22" t="s">
        <v>31</v>
      </c>
      <c r="G5" s="41" t="s">
        <v>194</v>
      </c>
      <c r="H5" s="45" t="s">
        <v>55</v>
      </c>
    </row>
    <row r="6" spans="1:26" ht="26.25" customHeight="1">
      <c r="A6" s="154">
        <f t="shared" si="0"/>
        <v>3</v>
      </c>
      <c r="B6" s="31" t="s">
        <v>369</v>
      </c>
      <c r="C6" s="19" t="s">
        <v>370</v>
      </c>
      <c r="D6" s="20" t="s">
        <v>371</v>
      </c>
      <c r="E6" s="32">
        <v>1999</v>
      </c>
      <c r="F6" s="22" t="s">
        <v>53</v>
      </c>
      <c r="G6" s="23" t="s">
        <v>372</v>
      </c>
      <c r="H6" s="24" t="s">
        <v>55</v>
      </c>
    </row>
    <row r="7" spans="1:26" ht="26.25" customHeight="1">
      <c r="A7" s="154">
        <f t="shared" si="0"/>
        <v>4</v>
      </c>
      <c r="B7" s="31" t="s">
        <v>409</v>
      </c>
      <c r="C7" s="19" t="s">
        <v>394</v>
      </c>
      <c r="D7" s="20" t="s">
        <v>410</v>
      </c>
      <c r="E7" s="32" t="s">
        <v>142</v>
      </c>
      <c r="F7" s="22" t="s">
        <v>42</v>
      </c>
      <c r="G7" s="23" t="s">
        <v>411</v>
      </c>
      <c r="H7" s="24" t="s">
        <v>55</v>
      </c>
    </row>
    <row r="8" spans="1:26" ht="26.25" customHeight="1">
      <c r="A8" s="154">
        <f t="shared" si="0"/>
        <v>5</v>
      </c>
      <c r="B8" s="19" t="s">
        <v>439</v>
      </c>
      <c r="C8" s="39" t="s">
        <v>440</v>
      </c>
      <c r="D8" s="20" t="s">
        <v>441</v>
      </c>
      <c r="E8" s="44" t="s">
        <v>4974</v>
      </c>
      <c r="F8" s="22" t="s">
        <v>53</v>
      </c>
      <c r="G8" s="41" t="s">
        <v>443</v>
      </c>
      <c r="H8" s="24" t="s">
        <v>20</v>
      </c>
    </row>
    <row r="9" spans="1:26" ht="26.25" customHeight="1">
      <c r="A9" s="154">
        <f t="shared" si="0"/>
        <v>6</v>
      </c>
      <c r="B9" s="31" t="s">
        <v>446</v>
      </c>
      <c r="C9" s="19" t="s">
        <v>447</v>
      </c>
      <c r="D9" s="20" t="s">
        <v>448</v>
      </c>
      <c r="E9" s="32" t="s">
        <v>449</v>
      </c>
      <c r="F9" s="22" t="s">
        <v>42</v>
      </c>
      <c r="G9" s="23" t="s">
        <v>450</v>
      </c>
      <c r="H9" s="24" t="s">
        <v>55</v>
      </c>
    </row>
    <row r="10" spans="1:26" ht="26.25" customHeight="1">
      <c r="A10" s="154">
        <f t="shared" si="0"/>
        <v>7</v>
      </c>
      <c r="B10" s="31" t="s">
        <v>524</v>
      </c>
      <c r="C10" s="19" t="s">
        <v>525</v>
      </c>
      <c r="D10" s="20" t="s">
        <v>526</v>
      </c>
      <c r="E10" s="32" t="s">
        <v>170</v>
      </c>
      <c r="F10" s="22" t="s">
        <v>42</v>
      </c>
      <c r="G10" s="23" t="s">
        <v>527</v>
      </c>
      <c r="H10" s="24" t="s">
        <v>55</v>
      </c>
    </row>
    <row r="11" spans="1:26" ht="26.25" customHeight="1">
      <c r="A11" s="154">
        <f t="shared" si="0"/>
        <v>8</v>
      </c>
      <c r="B11" s="31" t="s">
        <v>569</v>
      </c>
      <c r="C11" s="19" t="s">
        <v>271</v>
      </c>
      <c r="D11" s="20" t="s">
        <v>570</v>
      </c>
      <c r="E11" s="32">
        <v>2010</v>
      </c>
      <c r="F11" s="22" t="s">
        <v>42</v>
      </c>
      <c r="G11" s="23" t="s">
        <v>571</v>
      </c>
      <c r="H11" s="24" t="s">
        <v>55</v>
      </c>
    </row>
    <row r="12" spans="1:26" ht="26.25" customHeight="1">
      <c r="A12" s="154">
        <f t="shared" si="0"/>
        <v>9</v>
      </c>
      <c r="B12" s="31" t="s">
        <v>600</v>
      </c>
      <c r="C12" s="19" t="s">
        <v>601</v>
      </c>
      <c r="D12" s="20" t="s">
        <v>602</v>
      </c>
      <c r="E12" s="32" t="s">
        <v>603</v>
      </c>
      <c r="F12" s="22" t="s">
        <v>53</v>
      </c>
      <c r="G12" s="23" t="s">
        <v>604</v>
      </c>
      <c r="H12" s="24" t="s">
        <v>55</v>
      </c>
    </row>
    <row r="13" spans="1:26" ht="26.25" customHeight="1">
      <c r="A13" s="154">
        <f t="shared" si="0"/>
        <v>10</v>
      </c>
      <c r="B13" s="31" t="s">
        <v>513</v>
      </c>
      <c r="C13" s="19" t="s">
        <v>607</v>
      </c>
      <c r="D13" s="20" t="s">
        <v>515</v>
      </c>
      <c r="E13" s="32" t="s">
        <v>496</v>
      </c>
      <c r="F13" s="22" t="s">
        <v>53</v>
      </c>
      <c r="G13" s="23" t="s">
        <v>608</v>
      </c>
      <c r="H13" s="24" t="s">
        <v>55</v>
      </c>
    </row>
    <row r="14" spans="1:26" ht="26.25" customHeight="1">
      <c r="A14" s="154">
        <f t="shared" si="0"/>
        <v>11</v>
      </c>
      <c r="B14" s="31" t="s">
        <v>611</v>
      </c>
      <c r="C14" s="19" t="s">
        <v>612</v>
      </c>
      <c r="D14" s="20" t="s">
        <v>613</v>
      </c>
      <c r="E14" s="32" t="s">
        <v>614</v>
      </c>
      <c r="F14" s="22" t="s">
        <v>53</v>
      </c>
      <c r="G14" s="23" t="s">
        <v>615</v>
      </c>
      <c r="H14" s="24" t="s">
        <v>55</v>
      </c>
    </row>
    <row r="15" spans="1:26" ht="26.25" customHeight="1">
      <c r="A15" s="154">
        <f t="shared" si="0"/>
        <v>12</v>
      </c>
      <c r="B15" s="31" t="s">
        <v>617</v>
      </c>
      <c r="C15" s="19" t="s">
        <v>618</v>
      </c>
      <c r="D15" s="20" t="s">
        <v>619</v>
      </c>
      <c r="E15" s="32" t="s">
        <v>170</v>
      </c>
      <c r="F15" s="22" t="s">
        <v>53</v>
      </c>
      <c r="G15" s="23" t="s">
        <v>620</v>
      </c>
      <c r="H15" s="24" t="s">
        <v>55</v>
      </c>
    </row>
    <row r="16" spans="1:26" ht="26.25" customHeight="1">
      <c r="A16" s="154">
        <f t="shared" si="0"/>
        <v>13</v>
      </c>
      <c r="B16" s="31" t="s">
        <v>624</v>
      </c>
      <c r="C16" s="19" t="s">
        <v>625</v>
      </c>
      <c r="D16" s="20" t="s">
        <v>626</v>
      </c>
      <c r="E16" s="32" t="s">
        <v>222</v>
      </c>
      <c r="F16" s="22" t="s">
        <v>53</v>
      </c>
      <c r="G16" s="23" t="s">
        <v>627</v>
      </c>
      <c r="H16" s="24" t="s">
        <v>55</v>
      </c>
    </row>
    <row r="17" spans="1:8" ht="26.25" customHeight="1">
      <c r="A17" s="154">
        <f t="shared" si="0"/>
        <v>14</v>
      </c>
      <c r="B17" s="31" t="s">
        <v>631</v>
      </c>
      <c r="C17" s="19" t="s">
        <v>632</v>
      </c>
      <c r="D17" s="20" t="s">
        <v>633</v>
      </c>
      <c r="E17" s="32" t="s">
        <v>170</v>
      </c>
      <c r="F17" s="22" t="s">
        <v>53</v>
      </c>
      <c r="G17" s="23" t="s">
        <v>634</v>
      </c>
      <c r="H17" s="24" t="s">
        <v>55</v>
      </c>
    </row>
    <row r="18" spans="1:8" ht="26.25" customHeight="1">
      <c r="A18" s="154">
        <f t="shared" si="0"/>
        <v>15</v>
      </c>
      <c r="B18" s="31" t="s">
        <v>646</v>
      </c>
      <c r="C18" s="19" t="s">
        <v>647</v>
      </c>
      <c r="D18" s="20" t="s">
        <v>648</v>
      </c>
      <c r="E18" s="32" t="s">
        <v>496</v>
      </c>
      <c r="F18" s="22" t="s">
        <v>53</v>
      </c>
      <c r="G18" s="23" t="s">
        <v>830</v>
      </c>
      <c r="H18" s="24" t="s">
        <v>55</v>
      </c>
    </row>
    <row r="19" spans="1:8" ht="26.25" customHeight="1">
      <c r="A19" s="154">
        <f t="shared" si="0"/>
        <v>16</v>
      </c>
      <c r="B19" s="31" t="s">
        <v>834</v>
      </c>
      <c r="C19" s="19" t="s">
        <v>835</v>
      </c>
      <c r="D19" s="20" t="s">
        <v>836</v>
      </c>
      <c r="E19" s="32" t="s">
        <v>837</v>
      </c>
      <c r="F19" s="22" t="s">
        <v>53</v>
      </c>
      <c r="G19" s="23" t="s">
        <v>838</v>
      </c>
      <c r="H19" s="95" t="s">
        <v>20</v>
      </c>
    </row>
    <row r="20" spans="1:8" ht="26.25" customHeight="1">
      <c r="A20" s="154">
        <f t="shared" si="0"/>
        <v>17</v>
      </c>
      <c r="B20" s="31" t="s">
        <v>925</v>
      </c>
      <c r="C20" s="19" t="s">
        <v>271</v>
      </c>
      <c r="D20" s="20" t="s">
        <v>926</v>
      </c>
      <c r="E20" s="32" t="s">
        <v>222</v>
      </c>
      <c r="F20" s="22" t="s">
        <v>42</v>
      </c>
      <c r="G20" s="23" t="s">
        <v>927</v>
      </c>
      <c r="H20" s="24" t="s">
        <v>55</v>
      </c>
    </row>
    <row r="21" spans="1:8" ht="26.25" customHeight="1">
      <c r="A21" s="154">
        <f t="shared" si="0"/>
        <v>18</v>
      </c>
      <c r="B21" s="19" t="s">
        <v>931</v>
      </c>
      <c r="C21" s="19" t="s">
        <v>227</v>
      </c>
      <c r="D21" s="20" t="s">
        <v>932</v>
      </c>
      <c r="E21" s="32" t="s">
        <v>4975</v>
      </c>
      <c r="F21" s="22" t="s">
        <v>42</v>
      </c>
      <c r="G21" s="23" t="s">
        <v>934</v>
      </c>
      <c r="H21" s="24" t="s">
        <v>20</v>
      </c>
    </row>
    <row r="22" spans="1:8" ht="26.25" customHeight="1">
      <c r="A22" s="154">
        <f t="shared" si="0"/>
        <v>19</v>
      </c>
      <c r="B22" s="19" t="s">
        <v>1105</v>
      </c>
      <c r="C22" s="19" t="s">
        <v>1106</v>
      </c>
      <c r="D22" s="20" t="s">
        <v>1107</v>
      </c>
      <c r="E22" s="32" t="s">
        <v>4976</v>
      </c>
      <c r="F22" s="22" t="s">
        <v>42</v>
      </c>
      <c r="G22" s="23" t="s">
        <v>1109</v>
      </c>
      <c r="H22" s="24" t="s">
        <v>20</v>
      </c>
    </row>
    <row r="23" spans="1:8" ht="26.25" customHeight="1">
      <c r="A23" s="154">
        <f t="shared" si="0"/>
        <v>20</v>
      </c>
      <c r="B23" s="31" t="s">
        <v>238</v>
      </c>
      <c r="C23" s="19" t="s">
        <v>239</v>
      </c>
      <c r="D23" s="20" t="s">
        <v>240</v>
      </c>
      <c r="E23" s="32" t="s">
        <v>62</v>
      </c>
      <c r="F23" s="22" t="s">
        <v>53</v>
      </c>
      <c r="G23" s="23" t="s">
        <v>1149</v>
      </c>
      <c r="H23" s="24" t="s">
        <v>55</v>
      </c>
    </row>
    <row r="24" spans="1:8" ht="26.25" customHeight="1">
      <c r="A24" s="154">
        <f t="shared" si="0"/>
        <v>21</v>
      </c>
      <c r="B24" s="31" t="s">
        <v>1153</v>
      </c>
      <c r="C24" s="19" t="s">
        <v>1154</v>
      </c>
      <c r="D24" s="20" t="s">
        <v>1155</v>
      </c>
      <c r="E24" s="32" t="s">
        <v>496</v>
      </c>
      <c r="F24" s="22" t="s">
        <v>53</v>
      </c>
      <c r="G24" s="23" t="s">
        <v>1156</v>
      </c>
      <c r="H24" s="24" t="s">
        <v>55</v>
      </c>
    </row>
    <row r="25" spans="1:8" ht="26.25" customHeight="1">
      <c r="A25" s="154">
        <f t="shared" si="0"/>
        <v>22</v>
      </c>
      <c r="B25" s="31" t="s">
        <v>1159</v>
      </c>
      <c r="C25" s="19" t="s">
        <v>239</v>
      </c>
      <c r="D25" s="20" t="s">
        <v>996</v>
      </c>
      <c r="E25" s="32" t="s">
        <v>170</v>
      </c>
      <c r="F25" s="22" t="s">
        <v>53</v>
      </c>
      <c r="G25" s="23" t="s">
        <v>1160</v>
      </c>
      <c r="H25" s="24" t="s">
        <v>55</v>
      </c>
    </row>
    <row r="26" spans="1:8" ht="26.25" customHeight="1">
      <c r="A26" s="154">
        <f t="shared" si="0"/>
        <v>23</v>
      </c>
      <c r="B26" s="19" t="s">
        <v>1262</v>
      </c>
      <c r="C26" s="19" t="s">
        <v>1263</v>
      </c>
      <c r="D26" s="20" t="s">
        <v>1264</v>
      </c>
      <c r="E26" s="32" t="s">
        <v>52</v>
      </c>
      <c r="F26" s="22" t="s">
        <v>53</v>
      </c>
      <c r="G26" s="23" t="s">
        <v>1265</v>
      </c>
      <c r="H26" s="24" t="s">
        <v>20</v>
      </c>
    </row>
    <row r="27" spans="1:8" ht="26.25" customHeight="1">
      <c r="A27" s="154">
        <f t="shared" si="0"/>
        <v>24</v>
      </c>
      <c r="B27" s="31" t="s">
        <v>1269</v>
      </c>
      <c r="C27" s="19" t="s">
        <v>227</v>
      </c>
      <c r="D27" s="20" t="s">
        <v>1270</v>
      </c>
      <c r="E27" s="32" t="s">
        <v>1271</v>
      </c>
      <c r="F27" s="22" t="s">
        <v>42</v>
      </c>
      <c r="G27" s="23" t="s">
        <v>1272</v>
      </c>
      <c r="H27" s="24" t="s">
        <v>55</v>
      </c>
    </row>
    <row r="28" spans="1:8" ht="26.25" customHeight="1">
      <c r="A28" s="154">
        <f t="shared" si="0"/>
        <v>25</v>
      </c>
      <c r="B28" s="19" t="s">
        <v>4400</v>
      </c>
      <c r="C28" s="19" t="s">
        <v>277</v>
      </c>
      <c r="D28" s="20" t="s">
        <v>1351</v>
      </c>
      <c r="E28" s="32" t="s">
        <v>3775</v>
      </c>
      <c r="F28" s="22" t="s">
        <v>42</v>
      </c>
      <c r="G28" s="23" t="s">
        <v>1352</v>
      </c>
      <c r="H28" s="24" t="s">
        <v>20</v>
      </c>
    </row>
    <row r="29" spans="1:8" ht="26.25" customHeight="1">
      <c r="A29" s="154">
        <f t="shared" si="0"/>
        <v>26</v>
      </c>
      <c r="B29" s="31" t="s">
        <v>1355</v>
      </c>
      <c r="C29" s="19" t="s">
        <v>277</v>
      </c>
      <c r="D29" s="20" t="s">
        <v>1356</v>
      </c>
      <c r="E29" s="32" t="s">
        <v>1357</v>
      </c>
      <c r="F29" s="22" t="s">
        <v>42</v>
      </c>
      <c r="G29" s="23" t="s">
        <v>1358</v>
      </c>
      <c r="H29" s="24" t="s">
        <v>55</v>
      </c>
    </row>
    <row r="30" spans="1:8" ht="26.25" customHeight="1">
      <c r="A30" s="154">
        <f t="shared" si="0"/>
        <v>27</v>
      </c>
      <c r="B30" s="19" t="s">
        <v>1361</v>
      </c>
      <c r="C30" s="19" t="s">
        <v>196</v>
      </c>
      <c r="D30" s="20" t="s">
        <v>1362</v>
      </c>
      <c r="E30" s="32" t="s">
        <v>4977</v>
      </c>
      <c r="F30" s="22" t="s">
        <v>42</v>
      </c>
      <c r="G30" s="23" t="s">
        <v>1364</v>
      </c>
      <c r="H30" s="24" t="s">
        <v>20</v>
      </c>
    </row>
    <row r="31" spans="1:8" ht="26.25" customHeight="1">
      <c r="A31" s="154">
        <f t="shared" si="0"/>
        <v>28</v>
      </c>
      <c r="B31" s="31" t="s">
        <v>1007</v>
      </c>
      <c r="C31" s="19" t="s">
        <v>277</v>
      </c>
      <c r="D31" s="20" t="s">
        <v>1008</v>
      </c>
      <c r="E31" s="32" t="s">
        <v>1382</v>
      </c>
      <c r="F31" s="22" t="s">
        <v>42</v>
      </c>
      <c r="G31" s="23" t="s">
        <v>1383</v>
      </c>
      <c r="H31" s="24" t="s">
        <v>55</v>
      </c>
    </row>
    <row r="32" spans="1:8" ht="26.25" customHeight="1">
      <c r="A32" s="154">
        <f t="shared" si="0"/>
        <v>29</v>
      </c>
      <c r="B32" s="31" t="s">
        <v>572</v>
      </c>
      <c r="C32" s="19" t="s">
        <v>1338</v>
      </c>
      <c r="D32" s="20" t="s">
        <v>573</v>
      </c>
      <c r="E32" s="32" t="s">
        <v>496</v>
      </c>
      <c r="F32" s="22" t="s">
        <v>42</v>
      </c>
      <c r="G32" s="23" t="s">
        <v>1387</v>
      </c>
      <c r="H32" s="24" t="s">
        <v>55</v>
      </c>
    </row>
    <row r="33" spans="1:8" ht="26.25" customHeight="1">
      <c r="A33" s="154">
        <f t="shared" si="0"/>
        <v>30</v>
      </c>
      <c r="B33" s="31" t="s">
        <v>1013</v>
      </c>
      <c r="C33" s="19" t="s">
        <v>1433</v>
      </c>
      <c r="D33" s="20" t="s">
        <v>1015</v>
      </c>
      <c r="E33" s="32" t="s">
        <v>170</v>
      </c>
      <c r="F33" s="22" t="s">
        <v>53</v>
      </c>
      <c r="G33" s="23" t="s">
        <v>1434</v>
      </c>
      <c r="H33" s="24" t="s">
        <v>55</v>
      </c>
    </row>
    <row r="34" spans="1:8" ht="26.25" customHeight="1">
      <c r="A34" s="154">
        <f t="shared" si="0"/>
        <v>31</v>
      </c>
      <c r="B34" s="19" t="s">
        <v>1522</v>
      </c>
      <c r="C34" s="19" t="s">
        <v>588</v>
      </c>
      <c r="D34" s="20" t="s">
        <v>1523</v>
      </c>
      <c r="E34" s="32" t="s">
        <v>52</v>
      </c>
      <c r="F34" s="22" t="s">
        <v>42</v>
      </c>
      <c r="G34" s="23" t="s">
        <v>1524</v>
      </c>
      <c r="H34" s="24" t="s">
        <v>20</v>
      </c>
    </row>
    <row r="35" spans="1:8" ht="26.25" customHeight="1">
      <c r="A35" s="154">
        <f t="shared" si="0"/>
        <v>32</v>
      </c>
      <c r="B35" s="31" t="s">
        <v>831</v>
      </c>
      <c r="C35" s="19" t="s">
        <v>112</v>
      </c>
      <c r="D35" s="20" t="s">
        <v>833</v>
      </c>
      <c r="E35" s="32" t="s">
        <v>170</v>
      </c>
      <c r="F35" s="22" t="s">
        <v>42</v>
      </c>
      <c r="G35" s="23" t="s">
        <v>1537</v>
      </c>
      <c r="H35" s="24" t="s">
        <v>55</v>
      </c>
    </row>
    <row r="36" spans="1:8" ht="26.25" customHeight="1">
      <c r="A36" s="154">
        <f t="shared" si="0"/>
        <v>33</v>
      </c>
      <c r="B36" s="31" t="s">
        <v>1652</v>
      </c>
      <c r="C36" s="19" t="s">
        <v>271</v>
      </c>
      <c r="D36" s="20" t="s">
        <v>1653</v>
      </c>
      <c r="E36" s="32">
        <v>2010</v>
      </c>
      <c r="F36" s="22" t="s">
        <v>42</v>
      </c>
      <c r="G36" s="23" t="s">
        <v>1654</v>
      </c>
      <c r="H36" s="24" t="s">
        <v>55</v>
      </c>
    </row>
    <row r="37" spans="1:8" ht="26.25" customHeight="1">
      <c r="A37" s="154">
        <f t="shared" si="0"/>
        <v>34</v>
      </c>
      <c r="B37" s="19" t="s">
        <v>1670</v>
      </c>
      <c r="C37" s="19" t="s">
        <v>1671</v>
      </c>
      <c r="D37" s="20" t="s">
        <v>1672</v>
      </c>
      <c r="E37" s="32" t="s">
        <v>52</v>
      </c>
      <c r="F37" s="22" t="s">
        <v>42</v>
      </c>
      <c r="G37" s="23" t="s">
        <v>1673</v>
      </c>
      <c r="H37" s="24" t="s">
        <v>20</v>
      </c>
    </row>
    <row r="38" spans="1:8" ht="26.25" customHeight="1">
      <c r="A38" s="154">
        <f t="shared" si="0"/>
        <v>35</v>
      </c>
      <c r="B38" s="19" t="s">
        <v>1712</v>
      </c>
      <c r="C38" s="19" t="s">
        <v>124</v>
      </c>
      <c r="D38" s="20" t="s">
        <v>1713</v>
      </c>
      <c r="E38" s="32" t="s">
        <v>52</v>
      </c>
      <c r="F38" s="22" t="s">
        <v>42</v>
      </c>
      <c r="G38" s="23" t="s">
        <v>1714</v>
      </c>
      <c r="H38" s="24" t="s">
        <v>20</v>
      </c>
    </row>
    <row r="39" spans="1:8" ht="26.25" customHeight="1">
      <c r="A39" s="154">
        <f t="shared" si="0"/>
        <v>36</v>
      </c>
      <c r="B39" s="19" t="s">
        <v>1743</v>
      </c>
      <c r="C39" s="19" t="s">
        <v>141</v>
      </c>
      <c r="D39" s="20" t="s">
        <v>1744</v>
      </c>
      <c r="E39" s="32" t="s">
        <v>52</v>
      </c>
      <c r="F39" s="22" t="s">
        <v>42</v>
      </c>
      <c r="G39" s="23" t="s">
        <v>1745</v>
      </c>
      <c r="H39" s="24" t="s">
        <v>20</v>
      </c>
    </row>
    <row r="40" spans="1:8" ht="26.25" customHeight="1">
      <c r="A40" s="154">
        <f t="shared" si="0"/>
        <v>37</v>
      </c>
      <c r="B40" s="19" t="s">
        <v>1748</v>
      </c>
      <c r="C40" s="19" t="s">
        <v>141</v>
      </c>
      <c r="D40" s="20" t="s">
        <v>1749</v>
      </c>
      <c r="E40" s="32" t="s">
        <v>178</v>
      </c>
      <c r="F40" s="22" t="s">
        <v>42</v>
      </c>
      <c r="G40" s="23" t="s">
        <v>1750</v>
      </c>
      <c r="H40" s="24" t="s">
        <v>20</v>
      </c>
    </row>
    <row r="41" spans="1:8" ht="26.25" customHeight="1">
      <c r="A41" s="154">
        <f t="shared" si="0"/>
        <v>38</v>
      </c>
      <c r="B41" s="31" t="s">
        <v>1753</v>
      </c>
      <c r="C41" s="19" t="s">
        <v>1754</v>
      </c>
      <c r="D41" s="20" t="s">
        <v>1755</v>
      </c>
      <c r="E41" s="32" t="s">
        <v>1756</v>
      </c>
      <c r="F41" s="22" t="s">
        <v>53</v>
      </c>
      <c r="G41" s="23" t="s">
        <v>1757</v>
      </c>
      <c r="H41" s="24" t="s">
        <v>55</v>
      </c>
    </row>
    <row r="42" spans="1:8" ht="26.25" customHeight="1">
      <c r="A42" s="154">
        <f t="shared" si="0"/>
        <v>39</v>
      </c>
      <c r="B42" s="31" t="s">
        <v>391</v>
      </c>
      <c r="C42" s="19" t="s">
        <v>722</v>
      </c>
      <c r="D42" s="20" t="s">
        <v>392</v>
      </c>
      <c r="E42" s="32" t="s">
        <v>1761</v>
      </c>
      <c r="F42" s="22" t="s">
        <v>42</v>
      </c>
      <c r="G42" s="23" t="s">
        <v>1762</v>
      </c>
      <c r="H42" s="24" t="s">
        <v>55</v>
      </c>
    </row>
    <row r="43" spans="1:8" ht="26.25" customHeight="1">
      <c r="A43" s="154">
        <f t="shared" si="0"/>
        <v>40</v>
      </c>
      <c r="B43" s="31" t="s">
        <v>1041</v>
      </c>
      <c r="C43" s="19" t="s">
        <v>1042</v>
      </c>
      <c r="D43" s="20" t="s">
        <v>1043</v>
      </c>
      <c r="E43" s="32" t="s">
        <v>170</v>
      </c>
      <c r="F43" s="22" t="s">
        <v>31</v>
      </c>
      <c r="G43" s="23" t="s">
        <v>1771</v>
      </c>
      <c r="H43" s="24" t="s">
        <v>55</v>
      </c>
    </row>
    <row r="44" spans="1:8" ht="26.25" customHeight="1">
      <c r="A44" s="154">
        <f t="shared" si="0"/>
        <v>41</v>
      </c>
      <c r="B44" s="19" t="s">
        <v>1788</v>
      </c>
      <c r="C44" s="19" t="s">
        <v>1789</v>
      </c>
      <c r="D44" s="20" t="s">
        <v>1790</v>
      </c>
      <c r="E44" s="32" t="s">
        <v>52</v>
      </c>
      <c r="F44" s="22" t="s">
        <v>31</v>
      </c>
      <c r="G44" s="23" t="s">
        <v>1791</v>
      </c>
      <c r="H44" s="24" t="s">
        <v>20</v>
      </c>
    </row>
    <row r="45" spans="1:8" ht="26.25" customHeight="1">
      <c r="A45" s="154">
        <f t="shared" si="0"/>
        <v>42</v>
      </c>
      <c r="B45" s="31" t="s">
        <v>1061</v>
      </c>
      <c r="C45" s="19" t="s">
        <v>1789</v>
      </c>
      <c r="D45" s="20" t="s">
        <v>1062</v>
      </c>
      <c r="E45" s="32" t="s">
        <v>62</v>
      </c>
      <c r="F45" s="22" t="s">
        <v>53</v>
      </c>
      <c r="G45" s="23" t="s">
        <v>1810</v>
      </c>
      <c r="H45" s="24" t="s">
        <v>55</v>
      </c>
    </row>
    <row r="46" spans="1:8" ht="26.25" customHeight="1">
      <c r="A46" s="154">
        <f t="shared" si="0"/>
        <v>43</v>
      </c>
      <c r="B46" s="31" t="s">
        <v>254</v>
      </c>
      <c r="C46" s="19" t="s">
        <v>124</v>
      </c>
      <c r="D46" s="20" t="s">
        <v>256</v>
      </c>
      <c r="E46" s="32" t="s">
        <v>62</v>
      </c>
      <c r="F46" s="22" t="s">
        <v>42</v>
      </c>
      <c r="G46" s="23" t="s">
        <v>1827</v>
      </c>
      <c r="H46" s="24" t="s">
        <v>55</v>
      </c>
    </row>
    <row r="47" spans="1:8" ht="26.25" customHeight="1">
      <c r="A47" s="154">
        <f t="shared" si="0"/>
        <v>44</v>
      </c>
      <c r="B47" s="31" t="s">
        <v>1882</v>
      </c>
      <c r="C47" s="19" t="s">
        <v>1776</v>
      </c>
      <c r="D47" s="20" t="s">
        <v>1883</v>
      </c>
      <c r="E47" s="32" t="s">
        <v>222</v>
      </c>
      <c r="F47" s="22" t="s">
        <v>42</v>
      </c>
      <c r="G47" s="23" t="s">
        <v>1884</v>
      </c>
      <c r="H47" s="24" t="s">
        <v>55</v>
      </c>
    </row>
    <row r="48" spans="1:8" ht="26.25" customHeight="1">
      <c r="A48" s="154">
        <f t="shared" si="0"/>
        <v>45</v>
      </c>
      <c r="B48" s="19" t="s">
        <v>1898</v>
      </c>
      <c r="C48" s="19" t="s">
        <v>1789</v>
      </c>
      <c r="D48" s="20" t="s">
        <v>1899</v>
      </c>
      <c r="E48" s="32" t="s">
        <v>52</v>
      </c>
      <c r="F48" s="22" t="s">
        <v>31</v>
      </c>
      <c r="G48" s="23" t="s">
        <v>1900</v>
      </c>
      <c r="H48" s="24" t="s">
        <v>20</v>
      </c>
    </row>
    <row r="49" spans="1:8" ht="26.25" customHeight="1">
      <c r="A49" s="154">
        <f t="shared" si="0"/>
        <v>46</v>
      </c>
      <c r="B49" s="19" t="s">
        <v>2003</v>
      </c>
      <c r="C49" s="19" t="s">
        <v>2004</v>
      </c>
      <c r="D49" s="20" t="s">
        <v>2005</v>
      </c>
      <c r="E49" s="32" t="s">
        <v>4978</v>
      </c>
      <c r="F49" s="22" t="s">
        <v>42</v>
      </c>
      <c r="G49" s="23" t="s">
        <v>2007</v>
      </c>
      <c r="H49" s="24" t="s">
        <v>20</v>
      </c>
    </row>
    <row r="50" spans="1:8" ht="26.25" customHeight="1">
      <c r="A50" s="154">
        <f t="shared" si="0"/>
        <v>47</v>
      </c>
      <c r="B50" s="19" t="s">
        <v>2067</v>
      </c>
      <c r="C50" s="19" t="s">
        <v>2068</v>
      </c>
      <c r="D50" s="20" t="s">
        <v>2069</v>
      </c>
      <c r="E50" s="32" t="s">
        <v>178</v>
      </c>
      <c r="F50" s="22" t="s">
        <v>31</v>
      </c>
      <c r="G50" s="23" t="s">
        <v>2070</v>
      </c>
      <c r="H50" s="24" t="s">
        <v>20</v>
      </c>
    </row>
    <row r="51" spans="1:8" ht="26.25" customHeight="1">
      <c r="A51" s="154">
        <f t="shared" si="0"/>
        <v>48</v>
      </c>
      <c r="B51" s="31" t="s">
        <v>2076</v>
      </c>
      <c r="C51" s="19" t="s">
        <v>447</v>
      </c>
      <c r="D51" s="20" t="s">
        <v>2077</v>
      </c>
      <c r="E51" s="32" t="s">
        <v>416</v>
      </c>
      <c r="F51" s="22" t="s">
        <v>31</v>
      </c>
      <c r="G51" s="23" t="s">
        <v>2078</v>
      </c>
      <c r="H51" s="24" t="s">
        <v>55</v>
      </c>
    </row>
    <row r="52" spans="1:8" ht="26.25" customHeight="1">
      <c r="A52" s="154">
        <f t="shared" si="0"/>
        <v>49</v>
      </c>
      <c r="B52" s="31" t="s">
        <v>2096</v>
      </c>
      <c r="C52" s="19" t="s">
        <v>447</v>
      </c>
      <c r="D52" s="20" t="s">
        <v>2097</v>
      </c>
      <c r="E52" s="32" t="s">
        <v>2098</v>
      </c>
      <c r="F52" s="22" t="s">
        <v>31</v>
      </c>
      <c r="G52" s="23" t="s">
        <v>2099</v>
      </c>
      <c r="H52" s="24" t="s">
        <v>55</v>
      </c>
    </row>
    <row r="53" spans="1:8" ht="26.25" customHeight="1">
      <c r="A53" s="154">
        <f t="shared" si="0"/>
        <v>50</v>
      </c>
      <c r="B53" s="19" t="s">
        <v>2116</v>
      </c>
      <c r="C53" s="19" t="s">
        <v>447</v>
      </c>
      <c r="D53" s="20" t="s">
        <v>2117</v>
      </c>
      <c r="E53" s="32" t="s">
        <v>4975</v>
      </c>
      <c r="F53" s="22" t="s">
        <v>42</v>
      </c>
      <c r="G53" s="23" t="s">
        <v>2118</v>
      </c>
      <c r="H53" s="24" t="s">
        <v>20</v>
      </c>
    </row>
    <row r="54" spans="1:8" ht="26.25" customHeight="1">
      <c r="A54" s="154">
        <f t="shared" si="0"/>
        <v>51</v>
      </c>
      <c r="B54" s="19" t="s">
        <v>2123</v>
      </c>
      <c r="C54" s="19" t="s">
        <v>939</v>
      </c>
      <c r="D54" s="20" t="s">
        <v>2124</v>
      </c>
      <c r="E54" s="32" t="s">
        <v>4979</v>
      </c>
      <c r="F54" s="22" t="s">
        <v>42</v>
      </c>
      <c r="G54" s="23" t="s">
        <v>2125</v>
      </c>
      <c r="H54" s="24" t="s">
        <v>20</v>
      </c>
    </row>
    <row r="55" spans="1:8" ht="26.25" customHeight="1">
      <c r="A55" s="154">
        <f t="shared" si="0"/>
        <v>52</v>
      </c>
      <c r="B55" s="31" t="s">
        <v>102</v>
      </c>
      <c r="C55" s="19" t="s">
        <v>588</v>
      </c>
      <c r="D55" s="20" t="s">
        <v>104</v>
      </c>
      <c r="E55" s="32" t="s">
        <v>962</v>
      </c>
      <c r="F55" s="22" t="s">
        <v>42</v>
      </c>
      <c r="G55" s="23" t="s">
        <v>2126</v>
      </c>
      <c r="H55" s="24" t="s">
        <v>55</v>
      </c>
    </row>
    <row r="56" spans="1:8" ht="26.25" customHeight="1">
      <c r="A56" s="154">
        <f t="shared" si="0"/>
        <v>53</v>
      </c>
      <c r="B56" s="19" t="s">
        <v>2159</v>
      </c>
      <c r="C56" s="19" t="s">
        <v>447</v>
      </c>
      <c r="D56" s="20" t="s">
        <v>2160</v>
      </c>
      <c r="E56" s="32" t="s">
        <v>4980</v>
      </c>
      <c r="F56" s="22" t="s">
        <v>42</v>
      </c>
      <c r="G56" s="23" t="s">
        <v>2162</v>
      </c>
      <c r="H56" s="24" t="s">
        <v>20</v>
      </c>
    </row>
    <row r="57" spans="1:8" ht="26.25" customHeight="1">
      <c r="A57" s="154">
        <f t="shared" si="0"/>
        <v>54</v>
      </c>
      <c r="B57" s="19" t="s">
        <v>2205</v>
      </c>
      <c r="C57" s="19" t="s">
        <v>447</v>
      </c>
      <c r="D57" s="20" t="s">
        <v>2206</v>
      </c>
      <c r="E57" s="32" t="s">
        <v>4981</v>
      </c>
      <c r="F57" s="22" t="s">
        <v>42</v>
      </c>
      <c r="G57" s="23" t="s">
        <v>2208</v>
      </c>
      <c r="H57" s="24" t="s">
        <v>20</v>
      </c>
    </row>
    <row r="58" spans="1:8" ht="26.25" customHeight="1">
      <c r="A58" s="154">
        <f t="shared" si="0"/>
        <v>55</v>
      </c>
      <c r="B58" s="31" t="s">
        <v>2209</v>
      </c>
      <c r="C58" s="19" t="s">
        <v>227</v>
      </c>
      <c r="D58" s="20" t="s">
        <v>2210</v>
      </c>
      <c r="E58" s="32" t="s">
        <v>2211</v>
      </c>
      <c r="F58" s="22" t="s">
        <v>42</v>
      </c>
      <c r="G58" s="23" t="s">
        <v>2212</v>
      </c>
      <c r="H58" s="24" t="s">
        <v>55</v>
      </c>
    </row>
    <row r="59" spans="1:8" ht="26.25" customHeight="1">
      <c r="A59" s="154">
        <f t="shared" si="0"/>
        <v>56</v>
      </c>
      <c r="B59" s="31" t="s">
        <v>2259</v>
      </c>
      <c r="C59" s="19" t="s">
        <v>447</v>
      </c>
      <c r="D59" s="20" t="s">
        <v>2260</v>
      </c>
      <c r="E59" s="32" t="s">
        <v>4977</v>
      </c>
      <c r="F59" s="22" t="s">
        <v>31</v>
      </c>
      <c r="G59" s="23" t="s">
        <v>2261</v>
      </c>
      <c r="H59" s="95" t="s">
        <v>20</v>
      </c>
    </row>
    <row r="60" spans="1:8" ht="26.25" customHeight="1">
      <c r="A60" s="154">
        <f t="shared" si="0"/>
        <v>57</v>
      </c>
      <c r="B60" s="19" t="s">
        <v>2296</v>
      </c>
      <c r="C60" s="19" t="s">
        <v>447</v>
      </c>
      <c r="D60" s="20" t="s">
        <v>2297</v>
      </c>
      <c r="E60" s="32" t="s">
        <v>52</v>
      </c>
      <c r="F60" s="22" t="s">
        <v>42</v>
      </c>
      <c r="G60" s="23" t="s">
        <v>2298</v>
      </c>
      <c r="H60" s="24" t="s">
        <v>20</v>
      </c>
    </row>
    <row r="61" spans="1:8" ht="26.25" customHeight="1">
      <c r="A61" s="154">
        <f t="shared" si="0"/>
        <v>58</v>
      </c>
      <c r="B61" s="19" t="s">
        <v>2348</v>
      </c>
      <c r="C61" s="19" t="s">
        <v>447</v>
      </c>
      <c r="D61" s="20" t="s">
        <v>2349</v>
      </c>
      <c r="E61" s="32" t="s">
        <v>4982</v>
      </c>
      <c r="F61" s="22" t="s">
        <v>42</v>
      </c>
      <c r="G61" s="23" t="s">
        <v>2351</v>
      </c>
      <c r="H61" s="24" t="s">
        <v>20</v>
      </c>
    </row>
    <row r="62" spans="1:8" ht="26.25" customHeight="1">
      <c r="A62" s="154">
        <f t="shared" si="0"/>
        <v>59</v>
      </c>
      <c r="B62" s="19" t="s">
        <v>2356</v>
      </c>
      <c r="C62" s="19" t="s">
        <v>124</v>
      </c>
      <c r="D62" s="20" t="s">
        <v>2357</v>
      </c>
      <c r="E62" s="32" t="s">
        <v>4983</v>
      </c>
      <c r="F62" s="22" t="s">
        <v>42</v>
      </c>
      <c r="G62" s="23" t="s">
        <v>2359</v>
      </c>
      <c r="H62" s="24" t="s">
        <v>20</v>
      </c>
    </row>
    <row r="63" spans="1:8" ht="26.25" customHeight="1">
      <c r="A63" s="154">
        <f t="shared" si="0"/>
        <v>60</v>
      </c>
      <c r="B63" s="19" t="s">
        <v>2487</v>
      </c>
      <c r="C63" s="19" t="s">
        <v>447</v>
      </c>
      <c r="D63" s="20" t="s">
        <v>2488</v>
      </c>
      <c r="E63" s="32" t="s">
        <v>4975</v>
      </c>
      <c r="F63" s="22" t="s">
        <v>42</v>
      </c>
      <c r="G63" s="23" t="s">
        <v>2489</v>
      </c>
      <c r="H63" s="24" t="s">
        <v>20</v>
      </c>
    </row>
    <row r="64" spans="1:8" ht="26.25" customHeight="1">
      <c r="A64" s="154">
        <f t="shared" si="0"/>
        <v>61</v>
      </c>
      <c r="B64" s="19" t="s">
        <v>2490</v>
      </c>
      <c r="C64" s="19" t="s">
        <v>447</v>
      </c>
      <c r="D64" s="20" t="s">
        <v>2491</v>
      </c>
      <c r="E64" s="32" t="s">
        <v>52</v>
      </c>
      <c r="F64" s="22" t="s">
        <v>42</v>
      </c>
      <c r="G64" s="23" t="s">
        <v>2492</v>
      </c>
      <c r="H64" s="24" t="s">
        <v>20</v>
      </c>
    </row>
    <row r="65" spans="1:8" ht="26.25" customHeight="1">
      <c r="A65" s="154">
        <f t="shared" si="0"/>
        <v>62</v>
      </c>
      <c r="B65" s="19" t="s">
        <v>2509</v>
      </c>
      <c r="C65" s="19" t="s">
        <v>447</v>
      </c>
      <c r="D65" s="20" t="s">
        <v>2510</v>
      </c>
      <c r="E65" s="32" t="s">
        <v>52</v>
      </c>
      <c r="F65" s="22" t="s">
        <v>31</v>
      </c>
      <c r="G65" s="23" t="s">
        <v>2511</v>
      </c>
      <c r="H65" s="24" t="s">
        <v>20</v>
      </c>
    </row>
    <row r="66" spans="1:8" ht="26.25" customHeight="1">
      <c r="A66" s="154">
        <f t="shared" si="0"/>
        <v>63</v>
      </c>
      <c r="B66" s="19" t="s">
        <v>2566</v>
      </c>
      <c r="C66" s="19" t="s">
        <v>370</v>
      </c>
      <c r="D66" s="20" t="s">
        <v>2567</v>
      </c>
      <c r="E66" s="32" t="s">
        <v>4984</v>
      </c>
      <c r="F66" s="22" t="s">
        <v>53</v>
      </c>
      <c r="G66" s="23" t="s">
        <v>2569</v>
      </c>
      <c r="H66" s="24" t="s">
        <v>20</v>
      </c>
    </row>
    <row r="67" spans="1:8" ht="26.25" customHeight="1">
      <c r="A67" s="154">
        <f t="shared" si="0"/>
        <v>64</v>
      </c>
      <c r="B67" s="31" t="s">
        <v>1110</v>
      </c>
      <c r="C67" s="19" t="s">
        <v>1111</v>
      </c>
      <c r="D67" s="20" t="s">
        <v>1112</v>
      </c>
      <c r="E67" s="32" t="s">
        <v>170</v>
      </c>
      <c r="F67" s="22" t="s">
        <v>53</v>
      </c>
      <c r="G67" s="23" t="s">
        <v>2570</v>
      </c>
      <c r="H67" s="24" t="s">
        <v>55</v>
      </c>
    </row>
    <row r="68" spans="1:8" ht="26.25" customHeight="1">
      <c r="A68" s="154">
        <f t="shared" si="0"/>
        <v>65</v>
      </c>
      <c r="B68" s="19" t="s">
        <v>2571</v>
      </c>
      <c r="C68" s="19" t="s">
        <v>124</v>
      </c>
      <c r="D68" s="20" t="s">
        <v>2572</v>
      </c>
      <c r="E68" s="32" t="s">
        <v>52</v>
      </c>
      <c r="F68" s="22" t="s">
        <v>42</v>
      </c>
      <c r="G68" s="23" t="s">
        <v>2573</v>
      </c>
      <c r="H68" s="24" t="s">
        <v>20</v>
      </c>
    </row>
    <row r="69" spans="1:8" ht="26.25" customHeight="1">
      <c r="A69" s="154">
        <f t="shared" si="0"/>
        <v>66</v>
      </c>
      <c r="B69" s="31" t="s">
        <v>2651</v>
      </c>
      <c r="C69" s="19" t="s">
        <v>2652</v>
      </c>
      <c r="D69" s="20" t="s">
        <v>2653</v>
      </c>
      <c r="E69" s="32" t="s">
        <v>2654</v>
      </c>
      <c r="F69" s="22" t="s">
        <v>31</v>
      </c>
      <c r="G69" s="23" t="s">
        <v>2655</v>
      </c>
      <c r="H69" s="24" t="s">
        <v>55</v>
      </c>
    </row>
    <row r="70" spans="1:8" ht="26.25" customHeight="1">
      <c r="A70" s="154">
        <f t="shared" si="0"/>
        <v>67</v>
      </c>
      <c r="B70" s="19" t="s">
        <v>1728</v>
      </c>
      <c r="C70" s="19" t="s">
        <v>124</v>
      </c>
      <c r="D70" s="20" t="s">
        <v>1729</v>
      </c>
      <c r="E70" s="32" t="s">
        <v>2656</v>
      </c>
      <c r="F70" s="22" t="s">
        <v>42</v>
      </c>
      <c r="G70" s="23" t="s">
        <v>2657</v>
      </c>
      <c r="H70" s="24" t="s">
        <v>20</v>
      </c>
    </row>
    <row r="71" spans="1:8" ht="26.25" customHeight="1">
      <c r="A71" s="154">
        <f t="shared" si="0"/>
        <v>68</v>
      </c>
      <c r="B71" s="19" t="s">
        <v>2658</v>
      </c>
      <c r="C71" s="19" t="s">
        <v>124</v>
      </c>
      <c r="D71" s="20" t="s">
        <v>2659</v>
      </c>
      <c r="E71" s="32" t="s">
        <v>52</v>
      </c>
      <c r="F71" s="22" t="s">
        <v>31</v>
      </c>
      <c r="G71" s="23" t="s">
        <v>2660</v>
      </c>
      <c r="H71" s="24" t="s">
        <v>20</v>
      </c>
    </row>
    <row r="72" spans="1:8" ht="26.25" customHeight="1">
      <c r="A72" s="154">
        <f t="shared" si="0"/>
        <v>69</v>
      </c>
      <c r="B72" s="31" t="s">
        <v>872</v>
      </c>
      <c r="C72" s="19" t="s">
        <v>2661</v>
      </c>
      <c r="D72" s="20" t="s">
        <v>873</v>
      </c>
      <c r="E72" s="32" t="s">
        <v>2662</v>
      </c>
      <c r="F72" s="22" t="s">
        <v>31</v>
      </c>
      <c r="G72" s="23" t="s">
        <v>2663</v>
      </c>
      <c r="H72" s="24" t="s">
        <v>55</v>
      </c>
    </row>
    <row r="73" spans="1:8" ht="26.25" customHeight="1">
      <c r="A73" s="154">
        <f t="shared" si="0"/>
        <v>70</v>
      </c>
      <c r="B73" s="31" t="s">
        <v>1157</v>
      </c>
      <c r="C73" s="19" t="s">
        <v>2720</v>
      </c>
      <c r="D73" s="20" t="s">
        <v>1158</v>
      </c>
      <c r="E73" s="32" t="s">
        <v>170</v>
      </c>
      <c r="F73" s="22" t="s">
        <v>53</v>
      </c>
      <c r="G73" s="23" t="s">
        <v>2721</v>
      </c>
      <c r="H73" s="24" t="s">
        <v>55</v>
      </c>
    </row>
    <row r="74" spans="1:8" ht="26.25" customHeight="1">
      <c r="A74" s="154">
        <f t="shared" si="0"/>
        <v>71</v>
      </c>
      <c r="B74" s="19" t="s">
        <v>1697</v>
      </c>
      <c r="C74" s="19" t="s">
        <v>124</v>
      </c>
      <c r="D74" s="20" t="s">
        <v>1698</v>
      </c>
      <c r="E74" s="32" t="s">
        <v>52</v>
      </c>
      <c r="F74" s="22" t="s">
        <v>42</v>
      </c>
      <c r="G74" s="23" t="s">
        <v>2773</v>
      </c>
      <c r="H74" s="24" t="s">
        <v>20</v>
      </c>
    </row>
    <row r="75" spans="1:8" ht="26.25" customHeight="1">
      <c r="A75" s="154">
        <f t="shared" si="0"/>
        <v>72</v>
      </c>
      <c r="B75" s="19" t="s">
        <v>2780</v>
      </c>
      <c r="C75" s="19" t="s">
        <v>124</v>
      </c>
      <c r="D75" s="20" t="s">
        <v>2781</v>
      </c>
      <c r="E75" s="32" t="s">
        <v>4957</v>
      </c>
      <c r="F75" s="22" t="s">
        <v>42</v>
      </c>
      <c r="G75" s="23" t="s">
        <v>2782</v>
      </c>
      <c r="H75" s="24" t="s">
        <v>20</v>
      </c>
    </row>
    <row r="76" spans="1:8" ht="26.25" customHeight="1">
      <c r="A76" s="154">
        <f t="shared" si="0"/>
        <v>73</v>
      </c>
      <c r="B76" s="19" t="s">
        <v>2783</v>
      </c>
      <c r="C76" s="19" t="s">
        <v>124</v>
      </c>
      <c r="D76" s="20" t="s">
        <v>2784</v>
      </c>
      <c r="E76" s="32" t="s">
        <v>4957</v>
      </c>
      <c r="F76" s="22" t="s">
        <v>42</v>
      </c>
      <c r="G76" s="23" t="s">
        <v>2785</v>
      </c>
      <c r="H76" s="24" t="s">
        <v>20</v>
      </c>
    </row>
    <row r="77" spans="1:8" ht="26.25" customHeight="1">
      <c r="A77" s="154">
        <f t="shared" si="0"/>
        <v>74</v>
      </c>
      <c r="B77" s="31" t="s">
        <v>2895</v>
      </c>
      <c r="C77" s="19" t="s">
        <v>647</v>
      </c>
      <c r="D77" s="20" t="s">
        <v>2896</v>
      </c>
      <c r="E77" s="32" t="s">
        <v>2897</v>
      </c>
      <c r="F77" s="22" t="s">
        <v>53</v>
      </c>
      <c r="G77" s="23" t="s">
        <v>2898</v>
      </c>
      <c r="H77" s="24" t="s">
        <v>55</v>
      </c>
    </row>
    <row r="78" spans="1:8" ht="26.25" customHeight="1">
      <c r="A78" s="154">
        <f t="shared" si="0"/>
        <v>75</v>
      </c>
      <c r="B78" s="19" t="s">
        <v>2916</v>
      </c>
      <c r="C78" s="19" t="s">
        <v>141</v>
      </c>
      <c r="D78" s="20" t="s">
        <v>2917</v>
      </c>
      <c r="E78" s="32" t="s">
        <v>2918</v>
      </c>
      <c r="F78" s="22" t="s">
        <v>42</v>
      </c>
      <c r="G78" s="23" t="s">
        <v>2919</v>
      </c>
      <c r="H78" s="24" t="s">
        <v>55</v>
      </c>
    </row>
    <row r="79" spans="1:8" ht="26.25" customHeight="1">
      <c r="A79" s="154">
        <f t="shared" si="0"/>
        <v>76</v>
      </c>
      <c r="B79" s="19" t="s">
        <v>2920</v>
      </c>
      <c r="C79" s="19" t="s">
        <v>141</v>
      </c>
      <c r="D79" s="20" t="s">
        <v>2921</v>
      </c>
      <c r="E79" s="32" t="s">
        <v>4985</v>
      </c>
      <c r="F79" s="22" t="s">
        <v>42</v>
      </c>
      <c r="G79" s="23" t="s">
        <v>2923</v>
      </c>
      <c r="H79" s="24" t="s">
        <v>20</v>
      </c>
    </row>
    <row r="80" spans="1:8" ht="26.25" customHeight="1">
      <c r="A80" s="154">
        <f t="shared" si="0"/>
        <v>77</v>
      </c>
      <c r="B80" s="19" t="s">
        <v>2924</v>
      </c>
      <c r="C80" s="19" t="s">
        <v>141</v>
      </c>
      <c r="D80" s="20" t="s">
        <v>2925</v>
      </c>
      <c r="E80" s="32" t="s">
        <v>4986</v>
      </c>
      <c r="F80" s="22" t="s">
        <v>42</v>
      </c>
      <c r="G80" s="23" t="s">
        <v>2927</v>
      </c>
      <c r="H80" s="24" t="s">
        <v>20</v>
      </c>
    </row>
    <row r="81" spans="1:8" ht="26.25" customHeight="1">
      <c r="A81" s="154">
        <f t="shared" si="0"/>
        <v>78</v>
      </c>
      <c r="B81" s="19" t="s">
        <v>2928</v>
      </c>
      <c r="C81" s="19" t="s">
        <v>141</v>
      </c>
      <c r="D81" s="20" t="s">
        <v>2929</v>
      </c>
      <c r="E81" s="32" t="s">
        <v>4987</v>
      </c>
      <c r="F81" s="22" t="s">
        <v>42</v>
      </c>
      <c r="G81" s="23" t="s">
        <v>2931</v>
      </c>
      <c r="H81" s="24" t="s">
        <v>20</v>
      </c>
    </row>
    <row r="82" spans="1:8" ht="26.25" customHeight="1">
      <c r="A82" s="154">
        <f t="shared" si="0"/>
        <v>79</v>
      </c>
      <c r="B82" s="19" t="s">
        <v>2932</v>
      </c>
      <c r="C82" s="19" t="s">
        <v>141</v>
      </c>
      <c r="D82" s="20" t="s">
        <v>2933</v>
      </c>
      <c r="E82" s="32" t="s">
        <v>2934</v>
      </c>
      <c r="F82" s="22" t="s">
        <v>42</v>
      </c>
      <c r="G82" s="23" t="s">
        <v>2935</v>
      </c>
      <c r="H82" s="24" t="s">
        <v>55</v>
      </c>
    </row>
    <row r="83" spans="1:8" ht="26.25" customHeight="1">
      <c r="A83" s="154">
        <f t="shared" si="0"/>
        <v>80</v>
      </c>
      <c r="B83" s="19" t="s">
        <v>2936</v>
      </c>
      <c r="C83" s="19" t="s">
        <v>141</v>
      </c>
      <c r="D83" s="20" t="s">
        <v>2937</v>
      </c>
      <c r="E83" s="32" t="s">
        <v>4988</v>
      </c>
      <c r="F83" s="22" t="s">
        <v>42</v>
      </c>
      <c r="G83" s="23" t="s">
        <v>2939</v>
      </c>
      <c r="H83" s="24" t="s">
        <v>20</v>
      </c>
    </row>
    <row r="84" spans="1:8" ht="26.25" customHeight="1">
      <c r="A84" s="154">
        <f t="shared" si="0"/>
        <v>81</v>
      </c>
      <c r="B84" s="19" t="s">
        <v>2943</v>
      </c>
      <c r="C84" s="19" t="s">
        <v>141</v>
      </c>
      <c r="D84" s="20" t="s">
        <v>2944</v>
      </c>
      <c r="E84" s="32" t="s">
        <v>4985</v>
      </c>
      <c r="F84" s="22" t="s">
        <v>42</v>
      </c>
      <c r="G84" s="23" t="s">
        <v>2945</v>
      </c>
      <c r="H84" s="24" t="s">
        <v>20</v>
      </c>
    </row>
    <row r="85" spans="1:8" ht="26.25" customHeight="1">
      <c r="A85" s="154">
        <f t="shared" si="0"/>
        <v>82</v>
      </c>
      <c r="B85" s="19" t="s">
        <v>2946</v>
      </c>
      <c r="C85" s="19" t="s">
        <v>141</v>
      </c>
      <c r="D85" s="20" t="s">
        <v>2947</v>
      </c>
      <c r="E85" s="32" t="s">
        <v>4985</v>
      </c>
      <c r="F85" s="22" t="s">
        <v>42</v>
      </c>
      <c r="G85" s="23" t="s">
        <v>2948</v>
      </c>
      <c r="H85" s="24" t="s">
        <v>20</v>
      </c>
    </row>
    <row r="86" spans="1:8" ht="26.25" customHeight="1">
      <c r="A86" s="154">
        <f t="shared" si="0"/>
        <v>83</v>
      </c>
      <c r="B86" s="19" t="s">
        <v>2949</v>
      </c>
      <c r="C86" s="19" t="s">
        <v>141</v>
      </c>
      <c r="D86" s="20" t="s">
        <v>2950</v>
      </c>
      <c r="E86" s="32" t="s">
        <v>2951</v>
      </c>
      <c r="F86" s="22" t="s">
        <v>42</v>
      </c>
      <c r="G86" s="23" t="s">
        <v>2952</v>
      </c>
      <c r="H86" s="24" t="s">
        <v>55</v>
      </c>
    </row>
    <row r="87" spans="1:8" ht="26.25" customHeight="1">
      <c r="A87" s="154">
        <f t="shared" si="0"/>
        <v>84</v>
      </c>
      <c r="B87" s="19" t="s">
        <v>2953</v>
      </c>
      <c r="C87" s="19" t="s">
        <v>141</v>
      </c>
      <c r="D87" s="20" t="s">
        <v>2954</v>
      </c>
      <c r="E87" s="32" t="s">
        <v>4989</v>
      </c>
      <c r="F87" s="22" t="s">
        <v>42</v>
      </c>
      <c r="G87" s="23" t="s">
        <v>2956</v>
      </c>
      <c r="H87" s="24" t="s">
        <v>20</v>
      </c>
    </row>
    <row r="88" spans="1:8" ht="26.25" customHeight="1">
      <c r="A88" s="154">
        <f t="shared" si="0"/>
        <v>85</v>
      </c>
      <c r="B88" s="19" t="s">
        <v>2957</v>
      </c>
      <c r="C88" s="19" t="s">
        <v>141</v>
      </c>
      <c r="D88" s="20" t="s">
        <v>2958</v>
      </c>
      <c r="E88" s="32" t="s">
        <v>2959</v>
      </c>
      <c r="F88" s="22" t="s">
        <v>42</v>
      </c>
      <c r="G88" s="23" t="s">
        <v>2960</v>
      </c>
      <c r="H88" s="95" t="s">
        <v>55</v>
      </c>
    </row>
    <row r="89" spans="1:8" ht="26.25" customHeight="1">
      <c r="A89" s="154">
        <f t="shared" si="0"/>
        <v>86</v>
      </c>
      <c r="B89" s="31" t="s">
        <v>1534</v>
      </c>
      <c r="C89" s="19" t="s">
        <v>3015</v>
      </c>
      <c r="D89" s="20" t="s">
        <v>1536</v>
      </c>
      <c r="E89" s="32" t="s">
        <v>52</v>
      </c>
      <c r="F89" s="22" t="s">
        <v>53</v>
      </c>
      <c r="G89" s="23" t="s">
        <v>3016</v>
      </c>
      <c r="H89" s="95" t="s">
        <v>20</v>
      </c>
    </row>
    <row r="90" spans="1:8" ht="26.25" customHeight="1">
      <c r="A90" s="154">
        <f t="shared" si="0"/>
        <v>87</v>
      </c>
      <c r="B90" s="31" t="s">
        <v>3019</v>
      </c>
      <c r="C90" s="19" t="s">
        <v>271</v>
      </c>
      <c r="D90" s="20" t="s">
        <v>3020</v>
      </c>
      <c r="E90" s="32" t="s">
        <v>222</v>
      </c>
      <c r="F90" s="22" t="s">
        <v>42</v>
      </c>
      <c r="G90" s="23" t="s">
        <v>3021</v>
      </c>
      <c r="H90" s="95" t="s">
        <v>55</v>
      </c>
    </row>
    <row r="91" spans="1:8" ht="26.25" customHeight="1">
      <c r="A91" s="154">
        <f t="shared" si="0"/>
        <v>88</v>
      </c>
      <c r="B91" s="19" t="s">
        <v>3030</v>
      </c>
      <c r="C91" s="19" t="s">
        <v>124</v>
      </c>
      <c r="D91" s="20" t="s">
        <v>3031</v>
      </c>
      <c r="E91" s="32" t="s">
        <v>52</v>
      </c>
      <c r="F91" s="22" t="s">
        <v>42</v>
      </c>
      <c r="G91" s="23" t="s">
        <v>3032</v>
      </c>
      <c r="H91" s="95" t="s">
        <v>20</v>
      </c>
    </row>
    <row r="92" spans="1:8" ht="26.25" customHeight="1">
      <c r="A92" s="154">
        <f t="shared" si="0"/>
        <v>89</v>
      </c>
      <c r="B92" s="31" t="s">
        <v>3087</v>
      </c>
      <c r="C92" s="19" t="s">
        <v>3088</v>
      </c>
      <c r="D92" s="20" t="s">
        <v>3089</v>
      </c>
      <c r="E92" s="32" t="s">
        <v>2820</v>
      </c>
      <c r="F92" s="22" t="s">
        <v>53</v>
      </c>
      <c r="G92" s="23" t="s">
        <v>3090</v>
      </c>
      <c r="H92" s="95" t="s">
        <v>55</v>
      </c>
    </row>
    <row r="93" spans="1:8" ht="26.25" customHeight="1">
      <c r="A93" s="154">
        <f t="shared" si="0"/>
        <v>90</v>
      </c>
      <c r="B93" s="31" t="s">
        <v>3173</v>
      </c>
      <c r="C93" s="19" t="s">
        <v>271</v>
      </c>
      <c r="D93" s="20" t="s">
        <v>3174</v>
      </c>
      <c r="E93" s="32" t="s">
        <v>222</v>
      </c>
      <c r="F93" s="22" t="s">
        <v>42</v>
      </c>
      <c r="G93" s="23" t="s">
        <v>3175</v>
      </c>
      <c r="H93" s="95" t="s">
        <v>55</v>
      </c>
    </row>
    <row r="94" spans="1:8" ht="26.25" customHeight="1">
      <c r="A94" s="154">
        <f t="shared" si="0"/>
        <v>91</v>
      </c>
      <c r="B94" s="31" t="s">
        <v>344</v>
      </c>
      <c r="C94" s="19" t="s">
        <v>181</v>
      </c>
      <c r="D94" s="20" t="s">
        <v>346</v>
      </c>
      <c r="E94" s="32" t="s">
        <v>163</v>
      </c>
      <c r="F94" s="22" t="s">
        <v>1846</v>
      </c>
      <c r="G94" s="23" t="s">
        <v>3176</v>
      </c>
      <c r="H94" s="95" t="s">
        <v>55</v>
      </c>
    </row>
    <row r="95" spans="1:8" ht="26.25" customHeight="1">
      <c r="A95" s="154">
        <f t="shared" si="0"/>
        <v>92</v>
      </c>
      <c r="B95" s="19" t="s">
        <v>3215</v>
      </c>
      <c r="C95" s="19" t="s">
        <v>1058</v>
      </c>
      <c r="D95" s="20" t="s">
        <v>3216</v>
      </c>
      <c r="E95" s="32" t="s">
        <v>52</v>
      </c>
      <c r="F95" s="22" t="s">
        <v>42</v>
      </c>
      <c r="G95" s="23" t="s">
        <v>3217</v>
      </c>
      <c r="H95" s="95" t="s">
        <v>20</v>
      </c>
    </row>
    <row r="96" spans="1:8" ht="26.25" customHeight="1">
      <c r="A96" s="154">
        <f t="shared" si="0"/>
        <v>93</v>
      </c>
      <c r="B96" s="19" t="s">
        <v>3271</v>
      </c>
      <c r="C96" s="19" t="s">
        <v>3272</v>
      </c>
      <c r="D96" s="20" t="s">
        <v>3273</v>
      </c>
      <c r="E96" s="32" t="s">
        <v>52</v>
      </c>
      <c r="F96" s="22" t="s">
        <v>42</v>
      </c>
      <c r="G96" s="23" t="s">
        <v>3274</v>
      </c>
      <c r="H96" s="95" t="s">
        <v>20</v>
      </c>
    </row>
    <row r="97" spans="1:8" ht="26.25" customHeight="1">
      <c r="A97" s="154">
        <f t="shared" si="0"/>
        <v>94</v>
      </c>
      <c r="B97" s="31" t="s">
        <v>3363</v>
      </c>
      <c r="C97" s="19" t="s">
        <v>1068</v>
      </c>
      <c r="D97" s="20" t="s">
        <v>3364</v>
      </c>
      <c r="E97" s="32" t="s">
        <v>222</v>
      </c>
      <c r="F97" s="22" t="s">
        <v>42</v>
      </c>
      <c r="G97" s="23" t="s">
        <v>3365</v>
      </c>
      <c r="H97" s="95" t="s">
        <v>55</v>
      </c>
    </row>
    <row r="98" spans="1:8" ht="26.25" customHeight="1">
      <c r="A98" s="154">
        <f t="shared" si="0"/>
        <v>95</v>
      </c>
      <c r="B98" s="19" t="s">
        <v>3405</v>
      </c>
      <c r="C98" s="19" t="s">
        <v>141</v>
      </c>
      <c r="D98" s="20" t="s">
        <v>1517</v>
      </c>
      <c r="E98" s="32" t="s">
        <v>52</v>
      </c>
      <c r="F98" s="22" t="s">
        <v>42</v>
      </c>
      <c r="G98" s="23" t="s">
        <v>3406</v>
      </c>
      <c r="H98" s="95" t="s">
        <v>20</v>
      </c>
    </row>
    <row r="99" spans="1:8" ht="26.25" customHeight="1">
      <c r="A99" s="154">
        <f t="shared" si="0"/>
        <v>96</v>
      </c>
      <c r="B99" s="31" t="s">
        <v>3427</v>
      </c>
      <c r="C99" s="19" t="s">
        <v>374</v>
      </c>
      <c r="D99" s="20" t="s">
        <v>3428</v>
      </c>
      <c r="E99" s="32" t="s">
        <v>416</v>
      </c>
      <c r="F99" s="22" t="s">
        <v>42</v>
      </c>
      <c r="G99" s="23" t="s">
        <v>3429</v>
      </c>
      <c r="H99" s="95" t="s">
        <v>55</v>
      </c>
    </row>
    <row r="100" spans="1:8" ht="26.25" customHeight="1">
      <c r="A100" s="154">
        <f t="shared" si="0"/>
        <v>97</v>
      </c>
      <c r="B100" s="31" t="s">
        <v>3467</v>
      </c>
      <c r="C100" s="19" t="s">
        <v>3468</v>
      </c>
      <c r="D100" s="20" t="s">
        <v>1235</v>
      </c>
      <c r="E100" s="32" t="s">
        <v>170</v>
      </c>
      <c r="F100" s="22" t="s">
        <v>42</v>
      </c>
      <c r="G100" s="23" t="s">
        <v>3469</v>
      </c>
      <c r="H100" s="95" t="s">
        <v>55</v>
      </c>
    </row>
    <row r="101" spans="1:8" ht="26.25" customHeight="1">
      <c r="A101" s="154">
        <f t="shared" si="0"/>
        <v>98</v>
      </c>
      <c r="B101" s="31" t="s">
        <v>1551</v>
      </c>
      <c r="C101" s="19" t="s">
        <v>3481</v>
      </c>
      <c r="D101" s="20" t="s">
        <v>1553</v>
      </c>
      <c r="E101" s="32" t="s">
        <v>52</v>
      </c>
      <c r="F101" s="22" t="s">
        <v>53</v>
      </c>
      <c r="G101" s="23" t="s">
        <v>3482</v>
      </c>
      <c r="H101" s="95" t="s">
        <v>20</v>
      </c>
    </row>
    <row r="102" spans="1:8" ht="26.25" customHeight="1">
      <c r="A102" s="154">
        <f t="shared" si="0"/>
        <v>99</v>
      </c>
      <c r="B102" s="31" t="s">
        <v>352</v>
      </c>
      <c r="C102" s="19" t="s">
        <v>141</v>
      </c>
      <c r="D102" s="20" t="s">
        <v>354</v>
      </c>
      <c r="E102" s="32" t="s">
        <v>3483</v>
      </c>
      <c r="F102" s="22" t="s">
        <v>42</v>
      </c>
      <c r="G102" s="23" t="s">
        <v>3484</v>
      </c>
      <c r="H102" s="95" t="s">
        <v>55</v>
      </c>
    </row>
    <row r="103" spans="1:8" ht="26.25" customHeight="1">
      <c r="A103" s="154">
        <f t="shared" si="0"/>
        <v>100</v>
      </c>
      <c r="B103" s="31" t="s">
        <v>3485</v>
      </c>
      <c r="C103" s="19" t="s">
        <v>3486</v>
      </c>
      <c r="D103" s="20" t="s">
        <v>3487</v>
      </c>
      <c r="E103" s="32" t="s">
        <v>3080</v>
      </c>
      <c r="F103" s="22" t="s">
        <v>63</v>
      </c>
      <c r="G103" s="23" t="s">
        <v>3488</v>
      </c>
      <c r="H103" s="95" t="s">
        <v>55</v>
      </c>
    </row>
    <row r="104" spans="1:8" ht="26.25" customHeight="1">
      <c r="A104" s="154">
        <f t="shared" si="0"/>
        <v>101</v>
      </c>
      <c r="B104" s="19" t="s">
        <v>3489</v>
      </c>
      <c r="C104" s="19" t="s">
        <v>124</v>
      </c>
      <c r="D104" s="20" t="s">
        <v>3490</v>
      </c>
      <c r="E104" s="32" t="s">
        <v>52</v>
      </c>
      <c r="F104" s="22" t="s">
        <v>42</v>
      </c>
      <c r="G104" s="23" t="s">
        <v>3491</v>
      </c>
      <c r="H104" s="95" t="s">
        <v>20</v>
      </c>
    </row>
    <row r="105" spans="1:8" ht="26.25" customHeight="1">
      <c r="A105" s="154">
        <f t="shared" si="0"/>
        <v>102</v>
      </c>
      <c r="B105" s="19" t="s">
        <v>3499</v>
      </c>
      <c r="C105" s="19" t="s">
        <v>124</v>
      </c>
      <c r="D105" s="20" t="s">
        <v>3500</v>
      </c>
      <c r="E105" s="32" t="s">
        <v>52</v>
      </c>
      <c r="F105" s="22" t="s">
        <v>42</v>
      </c>
      <c r="G105" s="23" t="s">
        <v>3501</v>
      </c>
      <c r="H105" s="95" t="s">
        <v>20</v>
      </c>
    </row>
    <row r="106" spans="1:8" ht="26.25" customHeight="1">
      <c r="A106" s="154">
        <f t="shared" si="0"/>
        <v>103</v>
      </c>
      <c r="B106" s="31" t="s">
        <v>3532</v>
      </c>
      <c r="C106" s="19" t="s">
        <v>196</v>
      </c>
      <c r="D106" s="20" t="s">
        <v>3533</v>
      </c>
      <c r="E106" s="32" t="s">
        <v>222</v>
      </c>
      <c r="F106" s="22" t="s">
        <v>42</v>
      </c>
      <c r="G106" s="23" t="s">
        <v>3534</v>
      </c>
      <c r="H106" s="95" t="s">
        <v>55</v>
      </c>
    </row>
    <row r="107" spans="1:8" ht="26.25" customHeight="1">
      <c r="A107" s="154">
        <f t="shared" si="0"/>
        <v>104</v>
      </c>
      <c r="B107" s="31" t="s">
        <v>884</v>
      </c>
      <c r="C107" s="19" t="s">
        <v>124</v>
      </c>
      <c r="D107" s="20" t="s">
        <v>885</v>
      </c>
      <c r="E107" s="32" t="s">
        <v>170</v>
      </c>
      <c r="F107" s="22" t="s">
        <v>53</v>
      </c>
      <c r="G107" s="23" t="s">
        <v>3535</v>
      </c>
      <c r="H107" s="95" t="s">
        <v>55</v>
      </c>
    </row>
    <row r="108" spans="1:8" ht="26.25" customHeight="1">
      <c r="A108" s="154">
        <f t="shared" si="0"/>
        <v>105</v>
      </c>
      <c r="B108" s="19" t="s">
        <v>3536</v>
      </c>
      <c r="C108" s="19" t="s">
        <v>3537</v>
      </c>
      <c r="D108" s="20" t="s">
        <v>3538</v>
      </c>
      <c r="E108" s="32" t="s">
        <v>4990</v>
      </c>
      <c r="F108" s="22" t="s">
        <v>42</v>
      </c>
      <c r="G108" s="23" t="s">
        <v>3540</v>
      </c>
      <c r="H108" s="95" t="s">
        <v>20</v>
      </c>
    </row>
    <row r="109" spans="1:8" ht="26.25" customHeight="1">
      <c r="A109" s="154">
        <f t="shared" si="0"/>
        <v>106</v>
      </c>
      <c r="B109" s="31" t="s">
        <v>3541</v>
      </c>
      <c r="C109" s="19" t="s">
        <v>607</v>
      </c>
      <c r="D109" s="20" t="s">
        <v>1484</v>
      </c>
      <c r="E109" s="32" t="s">
        <v>52</v>
      </c>
      <c r="F109" s="22" t="s">
        <v>53</v>
      </c>
      <c r="G109" s="23" t="s">
        <v>3542</v>
      </c>
      <c r="H109" s="95" t="s">
        <v>20</v>
      </c>
    </row>
    <row r="110" spans="1:8" ht="26.25" customHeight="1">
      <c r="A110" s="154">
        <f t="shared" si="0"/>
        <v>107</v>
      </c>
      <c r="B110" s="19" t="s">
        <v>3583</v>
      </c>
      <c r="C110" s="19" t="s">
        <v>3584</v>
      </c>
      <c r="D110" s="20" t="s">
        <v>3585</v>
      </c>
      <c r="E110" s="32" t="s">
        <v>178</v>
      </c>
      <c r="F110" s="22" t="s">
        <v>53</v>
      </c>
      <c r="G110" s="23" t="s">
        <v>3586</v>
      </c>
      <c r="H110" s="95" t="s">
        <v>20</v>
      </c>
    </row>
    <row r="111" spans="1:8" ht="26.25" customHeight="1">
      <c r="A111" s="154">
        <f t="shared" si="0"/>
        <v>108</v>
      </c>
      <c r="B111" s="19" t="s">
        <v>3592</v>
      </c>
      <c r="C111" s="19" t="s">
        <v>3593</v>
      </c>
      <c r="D111" s="20" t="s">
        <v>1875</v>
      </c>
      <c r="E111" s="32" t="s">
        <v>2902</v>
      </c>
      <c r="F111" s="22" t="s">
        <v>53</v>
      </c>
      <c r="G111" s="23" t="s">
        <v>3594</v>
      </c>
      <c r="H111" s="95" t="s">
        <v>20</v>
      </c>
    </row>
    <row r="112" spans="1:8" ht="26.25" customHeight="1">
      <c r="A112" s="154">
        <f t="shared" si="0"/>
        <v>109</v>
      </c>
      <c r="B112" s="19" t="s">
        <v>3614</v>
      </c>
      <c r="C112" s="19" t="s">
        <v>3615</v>
      </c>
      <c r="D112" s="20" t="s">
        <v>3616</v>
      </c>
      <c r="E112" s="32" t="s">
        <v>4957</v>
      </c>
      <c r="F112" s="22" t="s">
        <v>53</v>
      </c>
      <c r="G112" s="23" t="s">
        <v>3617</v>
      </c>
      <c r="H112" s="24" t="s">
        <v>20</v>
      </c>
    </row>
    <row r="113" spans="1:8" ht="26.25" customHeight="1">
      <c r="A113" s="154">
        <f t="shared" si="0"/>
        <v>110</v>
      </c>
      <c r="B113" s="19" t="s">
        <v>3618</v>
      </c>
      <c r="C113" s="19" t="s">
        <v>3584</v>
      </c>
      <c r="D113" s="20" t="s">
        <v>3619</v>
      </c>
      <c r="E113" s="32" t="s">
        <v>4144</v>
      </c>
      <c r="F113" s="22" t="s">
        <v>53</v>
      </c>
      <c r="G113" s="23" t="s">
        <v>3620</v>
      </c>
      <c r="H113" s="24" t="s">
        <v>20</v>
      </c>
    </row>
    <row r="114" spans="1:8" ht="26.25" customHeight="1">
      <c r="A114" s="154">
        <f t="shared" si="0"/>
        <v>111</v>
      </c>
      <c r="B114" s="19" t="s">
        <v>3654</v>
      </c>
      <c r="C114" s="19" t="s">
        <v>3655</v>
      </c>
      <c r="D114" s="20" t="s">
        <v>3656</v>
      </c>
      <c r="E114" s="32" t="s">
        <v>4991</v>
      </c>
      <c r="F114" s="22" t="s">
        <v>53</v>
      </c>
      <c r="G114" s="23" t="s">
        <v>3658</v>
      </c>
      <c r="H114" s="24" t="s">
        <v>20</v>
      </c>
    </row>
    <row r="115" spans="1:8" ht="26.25" customHeight="1">
      <c r="A115" s="154">
        <f t="shared" si="0"/>
        <v>112</v>
      </c>
      <c r="B115" s="31" t="s">
        <v>3659</v>
      </c>
      <c r="C115" s="19" t="s">
        <v>3660</v>
      </c>
      <c r="D115" s="20" t="s">
        <v>3661</v>
      </c>
      <c r="E115" s="32" t="s">
        <v>3662</v>
      </c>
      <c r="F115" s="22" t="s">
        <v>53</v>
      </c>
      <c r="G115" s="23" t="s">
        <v>3663</v>
      </c>
      <c r="H115" s="24" t="s">
        <v>55</v>
      </c>
    </row>
    <row r="116" spans="1:8" ht="26.25" customHeight="1">
      <c r="A116" s="154">
        <f t="shared" si="0"/>
        <v>113</v>
      </c>
      <c r="B116" s="19" t="s">
        <v>3669</v>
      </c>
      <c r="C116" s="19" t="s">
        <v>3670</v>
      </c>
      <c r="D116" s="20" t="s">
        <v>3671</v>
      </c>
      <c r="E116" s="32" t="s">
        <v>52</v>
      </c>
      <c r="F116" s="22" t="s">
        <v>53</v>
      </c>
      <c r="G116" s="23" t="s">
        <v>3672</v>
      </c>
      <c r="H116" s="24" t="s">
        <v>20</v>
      </c>
    </row>
    <row r="117" spans="1:8" ht="26.25" customHeight="1">
      <c r="A117" s="154">
        <f t="shared" si="0"/>
        <v>114</v>
      </c>
      <c r="B117" s="31" t="s">
        <v>3673</v>
      </c>
      <c r="C117" s="19" t="s">
        <v>3670</v>
      </c>
      <c r="D117" s="20" t="s">
        <v>758</v>
      </c>
      <c r="E117" s="32" t="s">
        <v>170</v>
      </c>
      <c r="F117" s="22" t="s">
        <v>53</v>
      </c>
      <c r="G117" s="23" t="s">
        <v>3674</v>
      </c>
      <c r="H117" s="24" t="s">
        <v>55</v>
      </c>
    </row>
    <row r="118" spans="1:8" ht="26.25" customHeight="1">
      <c r="A118" s="154">
        <f t="shared" si="0"/>
        <v>115</v>
      </c>
      <c r="B118" s="19" t="s">
        <v>3713</v>
      </c>
      <c r="C118" s="19" t="s">
        <v>3714</v>
      </c>
      <c r="D118" s="20" t="s">
        <v>1787</v>
      </c>
      <c r="E118" s="32" t="s">
        <v>3715</v>
      </c>
      <c r="F118" s="22" t="s">
        <v>53</v>
      </c>
      <c r="G118" s="23" t="s">
        <v>3716</v>
      </c>
      <c r="H118" s="24" t="s">
        <v>20</v>
      </c>
    </row>
    <row r="119" spans="1:8" ht="26.25" customHeight="1">
      <c r="A119" s="154">
        <f t="shared" si="0"/>
        <v>116</v>
      </c>
      <c r="B119" s="19" t="s">
        <v>3717</v>
      </c>
      <c r="C119" s="19" t="s">
        <v>3718</v>
      </c>
      <c r="D119" s="20" t="s">
        <v>1794</v>
      </c>
      <c r="E119" s="32" t="s">
        <v>3719</v>
      </c>
      <c r="F119" s="22" t="s">
        <v>53</v>
      </c>
      <c r="G119" s="23" t="s">
        <v>3720</v>
      </c>
      <c r="H119" s="24" t="s">
        <v>20</v>
      </c>
    </row>
    <row r="120" spans="1:8" ht="26.25" customHeight="1">
      <c r="A120" s="154">
        <f t="shared" si="0"/>
        <v>117</v>
      </c>
      <c r="B120" s="19" t="s">
        <v>1796</v>
      </c>
      <c r="C120" s="19" t="s">
        <v>3676</v>
      </c>
      <c r="D120" s="20" t="s">
        <v>1798</v>
      </c>
      <c r="E120" s="32" t="s">
        <v>3721</v>
      </c>
      <c r="F120" s="22" t="s">
        <v>53</v>
      </c>
      <c r="G120" s="23" t="s">
        <v>3722</v>
      </c>
      <c r="H120" s="24" t="s">
        <v>20</v>
      </c>
    </row>
    <row r="121" spans="1:8" ht="26.25" customHeight="1">
      <c r="A121" s="154">
        <f t="shared" si="0"/>
        <v>118</v>
      </c>
      <c r="B121" s="19" t="s">
        <v>3723</v>
      </c>
      <c r="C121" s="19" t="s">
        <v>3676</v>
      </c>
      <c r="D121" s="20" t="s">
        <v>3724</v>
      </c>
      <c r="E121" s="32" t="s">
        <v>4992</v>
      </c>
      <c r="F121" s="22" t="s">
        <v>53</v>
      </c>
      <c r="G121" s="23" t="s">
        <v>3725</v>
      </c>
      <c r="H121" s="24" t="s">
        <v>20</v>
      </c>
    </row>
    <row r="122" spans="1:8" ht="26.25" customHeight="1">
      <c r="A122" s="154">
        <f t="shared" si="0"/>
        <v>119</v>
      </c>
      <c r="B122" s="19" t="s">
        <v>3726</v>
      </c>
      <c r="C122" s="19" t="s">
        <v>3727</v>
      </c>
      <c r="D122" s="20" t="s">
        <v>3728</v>
      </c>
      <c r="E122" s="32" t="s">
        <v>4993</v>
      </c>
      <c r="F122" s="22" t="s">
        <v>53</v>
      </c>
      <c r="G122" s="23" t="s">
        <v>3730</v>
      </c>
      <c r="H122" s="24" t="s">
        <v>20</v>
      </c>
    </row>
    <row r="123" spans="1:8" ht="26.25" customHeight="1">
      <c r="A123" s="154">
        <f t="shared" si="0"/>
        <v>120</v>
      </c>
      <c r="B123" s="31" t="s">
        <v>3738</v>
      </c>
      <c r="C123" s="19" t="s">
        <v>3739</v>
      </c>
      <c r="D123" s="20" t="s">
        <v>3740</v>
      </c>
      <c r="E123" s="32" t="s">
        <v>3741</v>
      </c>
      <c r="F123" s="22" t="s">
        <v>53</v>
      </c>
      <c r="G123" s="23" t="s">
        <v>3742</v>
      </c>
      <c r="H123" s="24" t="s">
        <v>55</v>
      </c>
    </row>
    <row r="124" spans="1:8" ht="26.25" customHeight="1">
      <c r="A124" s="154">
        <f t="shared" si="0"/>
        <v>121</v>
      </c>
      <c r="B124" s="19" t="s">
        <v>3781</v>
      </c>
      <c r="C124" s="19" t="s">
        <v>3782</v>
      </c>
      <c r="D124" s="20" t="s">
        <v>3783</v>
      </c>
      <c r="E124" s="32" t="s">
        <v>4966</v>
      </c>
      <c r="F124" s="22" t="s">
        <v>53</v>
      </c>
      <c r="G124" s="23" t="s">
        <v>3784</v>
      </c>
      <c r="H124" s="24" t="s">
        <v>20</v>
      </c>
    </row>
    <row r="125" spans="1:8" ht="26.25" customHeight="1">
      <c r="A125" s="154">
        <f t="shared" si="0"/>
        <v>122</v>
      </c>
      <c r="B125" s="19" t="s">
        <v>3817</v>
      </c>
      <c r="C125" s="19" t="s">
        <v>3818</v>
      </c>
      <c r="D125" s="20" t="s">
        <v>3819</v>
      </c>
      <c r="E125" s="32" t="s">
        <v>4994</v>
      </c>
      <c r="F125" s="22" t="s">
        <v>53</v>
      </c>
      <c r="G125" s="23" t="s">
        <v>3821</v>
      </c>
      <c r="H125" s="24" t="s">
        <v>20</v>
      </c>
    </row>
    <row r="126" spans="1:8" ht="26.25" customHeight="1">
      <c r="A126" s="154">
        <f t="shared" si="0"/>
        <v>123</v>
      </c>
      <c r="B126" s="31" t="s">
        <v>3890</v>
      </c>
      <c r="C126" s="19" t="s">
        <v>3891</v>
      </c>
      <c r="D126" s="20" t="s">
        <v>3892</v>
      </c>
      <c r="E126" s="32" t="s">
        <v>3893</v>
      </c>
      <c r="F126" s="22" t="s">
        <v>53</v>
      </c>
      <c r="G126" s="23" t="s">
        <v>3894</v>
      </c>
      <c r="H126" s="24" t="s">
        <v>55</v>
      </c>
    </row>
    <row r="127" spans="1:8" ht="26.25" customHeight="1">
      <c r="A127" s="154">
        <f t="shared" si="0"/>
        <v>124</v>
      </c>
      <c r="B127" s="19" t="s">
        <v>3895</v>
      </c>
      <c r="C127" s="19" t="s">
        <v>3896</v>
      </c>
      <c r="D127" s="20" t="s">
        <v>3897</v>
      </c>
      <c r="E127" s="32" t="s">
        <v>1990</v>
      </c>
      <c r="F127" s="22" t="s">
        <v>63</v>
      </c>
      <c r="G127" s="23" t="s">
        <v>3898</v>
      </c>
      <c r="H127" s="24" t="s">
        <v>20</v>
      </c>
    </row>
    <row r="128" spans="1:8" ht="26.25" customHeight="1">
      <c r="A128" s="154">
        <f t="shared" si="0"/>
        <v>125</v>
      </c>
      <c r="B128" s="19" t="s">
        <v>3926</v>
      </c>
      <c r="C128" s="19" t="s">
        <v>3927</v>
      </c>
      <c r="D128" s="20" t="s">
        <v>3928</v>
      </c>
      <c r="E128" s="32" t="s">
        <v>4995</v>
      </c>
      <c r="F128" s="22" t="s">
        <v>53</v>
      </c>
      <c r="G128" s="23" t="s">
        <v>3929</v>
      </c>
      <c r="H128" s="24" t="s">
        <v>20</v>
      </c>
    </row>
    <row r="129" spans="1:9" ht="26.25" customHeight="1">
      <c r="A129" s="154">
        <f t="shared" si="0"/>
        <v>126</v>
      </c>
      <c r="B129" s="31" t="s">
        <v>3963</v>
      </c>
      <c r="C129" s="19" t="s">
        <v>3964</v>
      </c>
      <c r="D129" s="20" t="s">
        <v>3965</v>
      </c>
      <c r="E129" s="32" t="s">
        <v>1461</v>
      </c>
      <c r="F129" s="22" t="s">
        <v>53</v>
      </c>
      <c r="G129" s="23" t="s">
        <v>3966</v>
      </c>
      <c r="H129" s="24" t="s">
        <v>55</v>
      </c>
    </row>
    <row r="130" spans="1:9" ht="26.25" customHeight="1">
      <c r="A130" s="154">
        <f t="shared" si="0"/>
        <v>127</v>
      </c>
      <c r="B130" s="31" t="s">
        <v>3967</v>
      </c>
      <c r="C130" s="19" t="s">
        <v>3964</v>
      </c>
      <c r="D130" s="20" t="s">
        <v>3968</v>
      </c>
      <c r="E130" s="32" t="s">
        <v>1461</v>
      </c>
      <c r="F130" s="22" t="s">
        <v>53</v>
      </c>
      <c r="G130" s="23" t="s">
        <v>3969</v>
      </c>
      <c r="H130" s="24" t="s">
        <v>55</v>
      </c>
    </row>
    <row r="131" spans="1:9" ht="26.25" customHeight="1">
      <c r="A131" s="154">
        <f t="shared" si="0"/>
        <v>128</v>
      </c>
      <c r="B131" s="31" t="s">
        <v>3970</v>
      </c>
      <c r="C131" s="19" t="s">
        <v>3964</v>
      </c>
      <c r="D131" s="20" t="s">
        <v>3971</v>
      </c>
      <c r="E131" s="32" t="s">
        <v>1461</v>
      </c>
      <c r="F131" s="22" t="s">
        <v>53</v>
      </c>
      <c r="G131" s="23" t="s">
        <v>3972</v>
      </c>
      <c r="H131" s="24" t="s">
        <v>55</v>
      </c>
    </row>
    <row r="132" spans="1:9" ht="26.25" customHeight="1">
      <c r="A132" s="154">
        <f t="shared" si="0"/>
        <v>129</v>
      </c>
      <c r="B132" s="19" t="s">
        <v>3973</v>
      </c>
      <c r="C132" s="19" t="s">
        <v>3964</v>
      </c>
      <c r="D132" s="20" t="s">
        <v>3974</v>
      </c>
      <c r="E132" s="32" t="s">
        <v>4996</v>
      </c>
      <c r="F132" s="22" t="s">
        <v>53</v>
      </c>
      <c r="G132" s="23" t="s">
        <v>3976</v>
      </c>
      <c r="H132" s="24" t="s">
        <v>20</v>
      </c>
    </row>
    <row r="133" spans="1:9" ht="26.25" customHeight="1">
      <c r="A133" s="154">
        <f t="shared" si="0"/>
        <v>130</v>
      </c>
      <c r="B133" s="31" t="s">
        <v>4041</v>
      </c>
      <c r="C133" s="19" t="s">
        <v>4042</v>
      </c>
      <c r="D133" s="20"/>
      <c r="E133" s="32" t="s">
        <v>1280</v>
      </c>
      <c r="F133" s="22" t="s">
        <v>53</v>
      </c>
      <c r="G133" s="23" t="s">
        <v>4043</v>
      </c>
      <c r="H133" s="24" t="s">
        <v>55</v>
      </c>
    </row>
    <row r="134" spans="1:9" ht="26.25" customHeight="1">
      <c r="A134" s="159">
        <f t="shared" si="0"/>
        <v>131</v>
      </c>
      <c r="B134" s="85" t="s">
        <v>4044</v>
      </c>
      <c r="C134" s="160" t="s">
        <v>4045</v>
      </c>
      <c r="D134" s="113" t="s">
        <v>305</v>
      </c>
      <c r="E134" s="105" t="s">
        <v>62</v>
      </c>
      <c r="F134" s="22" t="s">
        <v>53</v>
      </c>
      <c r="G134" s="194" t="s">
        <v>4046</v>
      </c>
      <c r="H134" s="195" t="s">
        <v>55</v>
      </c>
    </row>
    <row r="135" spans="1:9" ht="26.25" customHeight="1">
      <c r="A135" s="196">
        <f t="shared" si="0"/>
        <v>132</v>
      </c>
      <c r="B135" s="19" t="s">
        <v>4047</v>
      </c>
      <c r="C135" s="19" t="s">
        <v>3042</v>
      </c>
      <c r="D135" s="20" t="s">
        <v>4048</v>
      </c>
      <c r="E135" s="32" t="s">
        <v>52</v>
      </c>
      <c r="F135" s="22" t="s">
        <v>53</v>
      </c>
      <c r="G135" s="23" t="s">
        <v>4049</v>
      </c>
      <c r="H135" s="24" t="s">
        <v>20</v>
      </c>
    </row>
    <row r="136" spans="1:9" ht="26.25" customHeight="1">
      <c r="A136" s="196">
        <f t="shared" si="0"/>
        <v>133</v>
      </c>
      <c r="B136" s="31" t="s">
        <v>4050</v>
      </c>
      <c r="C136" s="19" t="s">
        <v>3042</v>
      </c>
      <c r="D136" s="20" t="s">
        <v>538</v>
      </c>
      <c r="E136" s="32" t="s">
        <v>496</v>
      </c>
      <c r="F136" s="22" t="s">
        <v>53</v>
      </c>
      <c r="G136" s="23" t="s">
        <v>4051</v>
      </c>
      <c r="H136" s="24" t="s">
        <v>55</v>
      </c>
      <c r="I136" s="5"/>
    </row>
    <row r="137" spans="1:9" ht="26.25" customHeight="1">
      <c r="A137" s="196">
        <f t="shared" si="0"/>
        <v>134</v>
      </c>
      <c r="B137" s="19" t="s">
        <v>4114</v>
      </c>
      <c r="C137" s="19" t="s">
        <v>4115</v>
      </c>
      <c r="D137" s="20" t="s">
        <v>4116</v>
      </c>
      <c r="E137" s="32" t="s">
        <v>4997</v>
      </c>
      <c r="F137" s="22" t="s">
        <v>63</v>
      </c>
      <c r="G137" s="23" t="s">
        <v>4117</v>
      </c>
      <c r="H137" s="24" t="s">
        <v>20</v>
      </c>
      <c r="I137" s="5"/>
    </row>
    <row r="138" spans="1:9" ht="26.25" customHeight="1">
      <c r="A138" s="161">
        <f t="shared" si="0"/>
        <v>135</v>
      </c>
      <c r="B138" s="185" t="s">
        <v>4294</v>
      </c>
      <c r="C138" s="118" t="s">
        <v>4295</v>
      </c>
      <c r="D138" s="119"/>
      <c r="E138" s="162" t="s">
        <v>4296</v>
      </c>
      <c r="F138" s="186" t="s">
        <v>53</v>
      </c>
      <c r="G138" s="187" t="s">
        <v>4297</v>
      </c>
      <c r="H138" s="165" t="s">
        <v>55</v>
      </c>
    </row>
    <row r="139" spans="1:9" ht="16.5" customHeight="1">
      <c r="A139" s="46"/>
      <c r="F139" s="167"/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  <hyperlink ref="G109" r:id="rId106"/>
    <hyperlink ref="G110" r:id="rId107"/>
    <hyperlink ref="G111" r:id="rId108"/>
    <hyperlink ref="G112" r:id="rId109"/>
    <hyperlink ref="G113" r:id="rId110"/>
    <hyperlink ref="G114" r:id="rId111"/>
    <hyperlink ref="G115" r:id="rId112"/>
    <hyperlink ref="G116" r:id="rId113"/>
    <hyperlink ref="G117" r:id="rId114"/>
    <hyperlink ref="G118" r:id="rId115"/>
    <hyperlink ref="G119" r:id="rId116"/>
    <hyperlink ref="G120" r:id="rId117"/>
    <hyperlink ref="G121" r:id="rId118"/>
    <hyperlink ref="G122" r:id="rId119"/>
    <hyperlink ref="G123" r:id="rId120"/>
    <hyperlink ref="G124" r:id="rId121"/>
    <hyperlink ref="G125" r:id="rId122"/>
    <hyperlink ref="G126" r:id="rId123"/>
    <hyperlink ref="G127" r:id="rId124"/>
    <hyperlink ref="G128" r:id="rId125"/>
    <hyperlink ref="G129" r:id="rId126"/>
    <hyperlink ref="G130" r:id="rId127"/>
    <hyperlink ref="G131" r:id="rId128"/>
    <hyperlink ref="G132" r:id="rId129"/>
    <hyperlink ref="G133" r:id="rId130"/>
    <hyperlink ref="G134" r:id="rId131"/>
    <hyperlink ref="G135" r:id="rId132"/>
    <hyperlink ref="G136" r:id="rId133"/>
    <hyperlink ref="G137" r:id="rId134"/>
    <hyperlink ref="G138" r:id="rId135"/>
  </hyperlink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4998</v>
      </c>
      <c r="B1" s="290"/>
      <c r="C1" s="290"/>
      <c r="D1" s="290"/>
      <c r="E1" s="290"/>
      <c r="F1" s="290"/>
      <c r="G1" s="290"/>
      <c r="H1" s="290"/>
      <c r="I1" s="197" t="s">
        <v>132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191" t="s">
        <v>2</v>
      </c>
      <c r="B3" s="192" t="s">
        <v>4</v>
      </c>
      <c r="C3" s="192" t="s">
        <v>5</v>
      </c>
      <c r="D3" s="192" t="s">
        <v>6</v>
      </c>
      <c r="E3" s="192" t="s">
        <v>7</v>
      </c>
      <c r="F3" s="192" t="s">
        <v>8</v>
      </c>
      <c r="G3" s="192" t="s">
        <v>9</v>
      </c>
      <c r="H3" s="193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9" ca="1" si="0">IF(B4="","",ROW(B4)-3)</f>
        <v>1</v>
      </c>
      <c r="B4" s="19" t="str">
        <f ca="1">IFERROR(__xludf.DUMMYFUNCTION("filter('통합'!C4:I983,'통합'!B4:B983=I1)"),"Advanced Composite Materials")</f>
        <v>Advanced Composite Materials</v>
      </c>
      <c r="C4" s="19" t="str">
        <f ca="1">IFERROR(__xludf.DUMMYFUNCTION("""COMPUTED_VALUE"""),"Taylor &amp; Francis")</f>
        <v>Taylor &amp; Francis</v>
      </c>
      <c r="D4" s="20" t="str">
        <f ca="1">IFERROR(__xludf.DUMMYFUNCTION("""COMPUTED_VALUE"""),"0924-3046")</f>
        <v>0924-3046</v>
      </c>
      <c r="E4" s="32" t="str">
        <f ca="1">IFERROR(__xludf.DUMMYFUNCTION("""COMPUTED_VALUE"""),"2010-2021")</f>
        <v>2010-2021</v>
      </c>
      <c r="F4" s="22" t="str">
        <f ca="1">IFERROR(__xludf.DUMMYFUNCTION("""COMPUTED_VALUE"""),"SCIE, SCOPUS")</f>
        <v>SCIE, SCOPUS</v>
      </c>
      <c r="G4" s="23" t="str">
        <f ca="1">IFERROR(__xludf.DUMMYFUNCTION("""COMPUTED_VALUE"""),"http://www.riss.kr/link?id=S418336")</f>
        <v>http://www.riss.kr/link?id=S418336</v>
      </c>
      <c r="H4" s="24" t="str">
        <f ca="1">IFERROR(__xludf.DUMMYFUNCTION("""COMPUTED_VALUE"""),"O")</f>
        <v>O</v>
      </c>
    </row>
    <row r="5" spans="1:26" ht="26.25" customHeight="1">
      <c r="A5" s="154">
        <f t="shared" ca="1" si="0"/>
        <v>2</v>
      </c>
      <c r="B5" s="22" t="str">
        <f ca="1">IFERROR(__xludf.DUMMYFUNCTION("""COMPUTED_VALUE"""),"Advances in Applied Mechanics")</f>
        <v>Advances in Applied Mechanics</v>
      </c>
      <c r="C5" s="42" t="str">
        <f ca="1">IFERROR(__xludf.DUMMYFUNCTION("""COMPUTED_VALUE"""),"Academic Press")</f>
        <v>Academic Press</v>
      </c>
      <c r="D5" s="43" t="str">
        <f ca="1">IFERROR(__xludf.DUMMYFUNCTION("""COMPUTED_VALUE"""),"0065-2156")</f>
        <v>0065-2156</v>
      </c>
      <c r="E5" s="44" t="str">
        <f ca="1">IFERROR(__xludf.DUMMYFUNCTION("""COMPUTED_VALUE"""),"1948, 1951, 1953, 1956, 1958, 1960, 1962, 1964, 1966-1967, 1971-1975, 2009-2015")</f>
        <v>1948, 1951, 1953, 1956, 1958, 1960, 1962, 1964, 1966-1967, 1971-1975, 2009-2015</v>
      </c>
      <c r="F5" s="22" t="str">
        <f ca="1">IFERROR(__xludf.DUMMYFUNCTION("""COMPUTED_VALUE"""),"SCIE")</f>
        <v>SCIE</v>
      </c>
      <c r="G5" s="41" t="str">
        <f ca="1">IFERROR(__xludf.DUMMYFUNCTION("""COMPUTED_VALUE"""),"http://www.riss.kr/link?id=S21699")</f>
        <v>http://www.riss.kr/link?id=S21699</v>
      </c>
      <c r="H5" s="45" t="str">
        <f ca="1">IFERROR(__xludf.DUMMYFUNCTION("""COMPUTED_VALUE"""),"X")</f>
        <v>X</v>
      </c>
    </row>
    <row r="6" spans="1:26" ht="26.25" customHeight="1">
      <c r="A6" s="154">
        <f t="shared" ca="1" si="0"/>
        <v>3</v>
      </c>
      <c r="B6" s="31" t="str">
        <f ca="1">IFERROR(__xludf.DUMMYFUNCTION("""COMPUTED_VALUE"""),"American Machinist")</f>
        <v>American Machinist</v>
      </c>
      <c r="C6" s="19" t="str">
        <f ca="1">IFERROR(__xludf.DUMMYFUNCTION("""COMPUTED_VALUE"""),"Penton")</f>
        <v>Penton</v>
      </c>
      <c r="D6" s="20" t="str">
        <f ca="1">IFERROR(__xludf.DUMMYFUNCTION("""COMPUTED_VALUE"""),"1041-7958")</f>
        <v>1041-7958</v>
      </c>
      <c r="E6" s="32">
        <f ca="1">IFERROR(__xludf.DUMMYFUNCTION("""COMPUTED_VALUE"""),1999)</f>
        <v>1999</v>
      </c>
      <c r="F6" s="22" t="str">
        <f ca="1">IFERROR(__xludf.DUMMYFUNCTION("""COMPUTED_VALUE"""),"-")</f>
        <v>-</v>
      </c>
      <c r="G6" s="23" t="str">
        <f ca="1">IFERROR(__xludf.DUMMYFUNCTION("""COMPUTED_VALUE"""),"http://www.riss.kr/link?id=S20012637")</f>
        <v>http://www.riss.kr/link?id=S20012637</v>
      </c>
      <c r="H6" s="24" t="str">
        <f ca="1">IFERROR(__xludf.DUMMYFUNCTION("""COMPUTED_VALUE"""),"X")</f>
        <v>X</v>
      </c>
    </row>
    <row r="7" spans="1:26" ht="26.25" customHeight="1">
      <c r="A7" s="154">
        <f t="shared" ca="1" si="0"/>
        <v>4</v>
      </c>
      <c r="B7" s="31" t="str">
        <f ca="1">IFERROR(__xludf.DUMMYFUNCTION("""COMPUTED_VALUE"""),"Annual Review of Fluid Mechanics")</f>
        <v>Annual Review of Fluid Mechanics</v>
      </c>
      <c r="C7" s="19" t="str">
        <f ca="1">IFERROR(__xludf.DUMMYFUNCTION("""COMPUTED_VALUE"""),"Annual Reviews")</f>
        <v>Annual Reviews</v>
      </c>
      <c r="D7" s="20" t="str">
        <f ca="1">IFERROR(__xludf.DUMMYFUNCTION("""COMPUTED_VALUE"""),"0066-4189")</f>
        <v>0066-4189</v>
      </c>
      <c r="E7" s="32" t="str">
        <f ca="1">IFERROR(__xludf.DUMMYFUNCTION("""COMPUTED_VALUE"""),"2010-2014")</f>
        <v>2010-2014</v>
      </c>
      <c r="F7" s="22" t="str">
        <f ca="1">IFERROR(__xludf.DUMMYFUNCTION("""COMPUTED_VALUE"""),"SCIE, SCOPUS")</f>
        <v>SCIE, SCOPUS</v>
      </c>
      <c r="G7" s="23" t="str">
        <f ca="1">IFERROR(__xludf.DUMMYFUNCTION("""COMPUTED_VALUE"""),"http://www.riss.kr/link?id=S17339")</f>
        <v>http://www.riss.kr/link?id=S17339</v>
      </c>
      <c r="H7" s="24" t="str">
        <f ca="1">IFERROR(__xludf.DUMMYFUNCTION("""COMPUTED_VALUE"""),"X")</f>
        <v>X</v>
      </c>
    </row>
    <row r="8" spans="1:26" ht="26.25" customHeight="1">
      <c r="A8" s="154">
        <f t="shared" ca="1" si="0"/>
        <v>5</v>
      </c>
      <c r="B8" s="19" t="str">
        <f ca="1">IFERROR(__xludf.DUMMYFUNCTION("""COMPUTED_VALUE"""),"Applied Mechanics and Materials")</f>
        <v>Applied Mechanics and Materials</v>
      </c>
      <c r="C8" s="198" t="str">
        <f ca="1">IFERROR(__xludf.DUMMYFUNCTION("""COMPUTED_VALUE"""),"Scientific.Net")</f>
        <v>Scientific.Net</v>
      </c>
      <c r="D8" s="20" t="str">
        <f ca="1">IFERROR(__xludf.DUMMYFUNCTION("""COMPUTED_VALUE"""),"1660-9336")</f>
        <v>1660-9336</v>
      </c>
      <c r="E8" s="44" t="str">
        <f ca="1">IFERROR(__xludf.DUMMYFUNCTION("""COMPUTED_VALUE"""),"2019-2021")</f>
        <v>2019-2021</v>
      </c>
      <c r="F8" s="22" t="str">
        <f ca="1">IFERROR(__xludf.DUMMYFUNCTION("""COMPUTED_VALUE"""),"-")</f>
        <v>-</v>
      </c>
      <c r="G8" s="41" t="str">
        <f ca="1">IFERROR(__xludf.DUMMYFUNCTION("""COMPUTED_VALUE"""),"http://www.riss.kr/link?id=S31000997")</f>
        <v>http://www.riss.kr/link?id=S31000997</v>
      </c>
      <c r="H8" s="24" t="str">
        <f ca="1">IFERROR(__xludf.DUMMYFUNCTION("""COMPUTED_VALUE"""),"O")</f>
        <v>O</v>
      </c>
    </row>
    <row r="9" spans="1:26" ht="26.25" customHeight="1">
      <c r="A9" s="154">
        <f t="shared" ca="1" si="0"/>
        <v>6</v>
      </c>
      <c r="B9" s="31" t="str">
        <f ca="1">IFERROR(__xludf.DUMMYFUNCTION("""COMPUTED_VALUE"""),"Applied Mechanics Reviews")</f>
        <v>Applied Mechanics Reviews</v>
      </c>
      <c r="C9" s="19" t="str">
        <f ca="1">IFERROR(__xludf.DUMMYFUNCTION("""COMPUTED_VALUE"""),"The American Society of Mechanical Engineers")</f>
        <v>The American Society of Mechanical Engineers</v>
      </c>
      <c r="D9" s="20" t="str">
        <f ca="1">IFERROR(__xludf.DUMMYFUNCTION("""COMPUTED_VALUE"""),"0003-6900")</f>
        <v>0003-6900</v>
      </c>
      <c r="E9" s="32" t="str">
        <f ca="1">IFERROR(__xludf.DUMMYFUNCTION("""COMPUTED_VALUE"""),"1964-1965, 1972-1975, 2010")</f>
        <v>1964-1965, 1972-1975, 2010</v>
      </c>
      <c r="F9" s="22" t="str">
        <f ca="1">IFERROR(__xludf.DUMMYFUNCTION("""COMPUTED_VALUE"""),"SCIE, SCOPUS")</f>
        <v>SCIE, SCOPUS</v>
      </c>
      <c r="G9" s="23" t="str">
        <f ca="1">IFERROR(__xludf.DUMMYFUNCTION("""COMPUTED_VALUE"""),"http://www.riss.kr/link?id=S16306")</f>
        <v>http://www.riss.kr/link?id=S16306</v>
      </c>
      <c r="H9" s="24" t="str">
        <f ca="1">IFERROR(__xludf.DUMMYFUNCTION("""COMPUTED_VALUE"""),"X")</f>
        <v>X</v>
      </c>
    </row>
    <row r="10" spans="1:26" ht="26.25" customHeight="1">
      <c r="A10" s="154">
        <f t="shared" ca="1" si="0"/>
        <v>7</v>
      </c>
      <c r="B10" s="31" t="str">
        <f ca="1">IFERROR(__xludf.DUMMYFUNCTION("""COMPUTED_VALUE"""),"Archives of Mechanics")</f>
        <v>Archives of Mechanics</v>
      </c>
      <c r="C10" s="19" t="str">
        <f ca="1">IFERROR(__xludf.DUMMYFUNCTION("""COMPUTED_VALUE"""),"Polish scientific Publishers")</f>
        <v>Polish scientific Publishers</v>
      </c>
      <c r="D10" s="20" t="str">
        <f ca="1">IFERROR(__xludf.DUMMYFUNCTION("""COMPUTED_VALUE"""),"0373-2029")</f>
        <v>0373-2029</v>
      </c>
      <c r="E10" s="32" t="str">
        <f ca="1">IFERROR(__xludf.DUMMYFUNCTION("""COMPUTED_VALUE"""),"2010-2019")</f>
        <v>2010-2019</v>
      </c>
      <c r="F10" s="22" t="str">
        <f ca="1">IFERROR(__xludf.DUMMYFUNCTION("""COMPUTED_VALUE"""),"SCIE, SCOPUS")</f>
        <v>SCIE, SCOPUS</v>
      </c>
      <c r="G10" s="23" t="str">
        <f ca="1">IFERROR(__xludf.DUMMYFUNCTION("""COMPUTED_VALUE"""),"http://www.riss.kr/link?id=S407021")</f>
        <v>http://www.riss.kr/link?id=S407021</v>
      </c>
      <c r="H10" s="24" t="str">
        <f ca="1">IFERROR(__xludf.DUMMYFUNCTION("""COMPUTED_VALUE"""),"X")</f>
        <v>X</v>
      </c>
    </row>
    <row r="11" spans="1:26" ht="26.25" customHeight="1">
      <c r="A11" s="154">
        <f t="shared" ca="1" si="0"/>
        <v>8</v>
      </c>
      <c r="B11" s="31" t="str">
        <f ca="1">IFERROR(__xludf.DUMMYFUNCTION("""COMPUTED_VALUE"""),"Assembly Automation")</f>
        <v>Assembly Automation</v>
      </c>
      <c r="C11" s="19" t="str">
        <f ca="1">IFERROR(__xludf.DUMMYFUNCTION("""COMPUTED_VALUE"""),"Emerald Publishing Limited")</f>
        <v>Emerald Publishing Limited</v>
      </c>
      <c r="D11" s="20" t="str">
        <f ca="1">IFERROR(__xludf.DUMMYFUNCTION("""COMPUTED_VALUE"""),"0144-5154")</f>
        <v>0144-5154</v>
      </c>
      <c r="E11" s="32">
        <f ca="1">IFERROR(__xludf.DUMMYFUNCTION("""COMPUTED_VALUE"""),2010)</f>
        <v>2010</v>
      </c>
      <c r="F11" s="22" t="str">
        <f ca="1">IFERROR(__xludf.DUMMYFUNCTION("""COMPUTED_VALUE"""),"SCIE, SCOPUS")</f>
        <v>SCIE, SCOPUS</v>
      </c>
      <c r="G11" s="23" t="str">
        <f ca="1">IFERROR(__xludf.DUMMYFUNCTION("""COMPUTED_VALUE"""),"http://www.riss.kr/link?id=S410895")</f>
        <v>http://www.riss.kr/link?id=S410895</v>
      </c>
      <c r="H11" s="24" t="str">
        <f ca="1">IFERROR(__xludf.DUMMYFUNCTION("""COMPUTED_VALUE"""),"X")</f>
        <v>X</v>
      </c>
    </row>
    <row r="12" spans="1:26" ht="26.25" customHeight="1">
      <c r="A12" s="154">
        <f t="shared" ca="1" si="0"/>
        <v>9</v>
      </c>
      <c r="B12" s="31" t="str">
        <f ca="1">IFERROR(__xludf.DUMMYFUNCTION("""COMPUTED_VALUE"""),"Auto e Design")</f>
        <v>Auto e Design</v>
      </c>
      <c r="C12" s="19" t="str">
        <f ca="1">IFERROR(__xludf.DUMMYFUNCTION("""COMPUTED_VALUE"""),"Auto &amp; Design s.r.l.")</f>
        <v>Auto &amp; Design s.r.l.</v>
      </c>
      <c r="D12" s="20" t="str">
        <f ca="1">IFERROR(__xludf.DUMMYFUNCTION("""COMPUTED_VALUE"""),"0393-8387")</f>
        <v>0393-8387</v>
      </c>
      <c r="E12" s="32" t="str">
        <f ca="1">IFERROR(__xludf.DUMMYFUNCTION("""COMPUTED_VALUE"""),"2011-2018")</f>
        <v>2011-2018</v>
      </c>
      <c r="F12" s="22" t="str">
        <f ca="1">IFERROR(__xludf.DUMMYFUNCTION("""COMPUTED_VALUE"""),"-")</f>
        <v>-</v>
      </c>
      <c r="G12" s="23" t="str">
        <f ca="1">IFERROR(__xludf.DUMMYFUNCTION("""COMPUTED_VALUE"""),"http://www.riss.kr/link?id=S20013054")</f>
        <v>http://www.riss.kr/link?id=S20013054</v>
      </c>
      <c r="H12" s="24" t="str">
        <f ca="1">IFERROR(__xludf.DUMMYFUNCTION("""COMPUTED_VALUE"""),"X")</f>
        <v>X</v>
      </c>
    </row>
    <row r="13" spans="1:26" ht="26.25" customHeight="1">
      <c r="A13" s="154">
        <f t="shared" ca="1" si="0"/>
        <v>10</v>
      </c>
      <c r="B13" s="31" t="str">
        <f ca="1">IFERROR(__xludf.DUMMYFUNCTION("""COMPUTED_VALUE"""),"Autocar")</f>
        <v>Autocar</v>
      </c>
      <c r="C13" s="19" t="str">
        <f ca="1">IFERROR(__xludf.DUMMYFUNCTION("""COMPUTED_VALUE"""),"Haymarket Publishing")</f>
        <v>Haymarket Publishing</v>
      </c>
      <c r="D13" s="20" t="str">
        <f ca="1">IFERROR(__xludf.DUMMYFUNCTION("""COMPUTED_VALUE"""),"1355-8293")</f>
        <v>1355-8293</v>
      </c>
      <c r="E13" s="32" t="str">
        <f ca="1">IFERROR(__xludf.DUMMYFUNCTION("""COMPUTED_VALUE"""),"2010-2018")</f>
        <v>2010-2018</v>
      </c>
      <c r="F13" s="22" t="str">
        <f ca="1">IFERROR(__xludf.DUMMYFUNCTION("""COMPUTED_VALUE"""),"-")</f>
        <v>-</v>
      </c>
      <c r="G13" s="23" t="str">
        <f ca="1">IFERROR(__xludf.DUMMYFUNCTION("""COMPUTED_VALUE"""),"http://www.riss.kr/link?id=S115372")</f>
        <v>http://www.riss.kr/link?id=S115372</v>
      </c>
      <c r="H13" s="24" t="str">
        <f ca="1">IFERROR(__xludf.DUMMYFUNCTION("""COMPUTED_VALUE"""),"X")</f>
        <v>X</v>
      </c>
    </row>
    <row r="14" spans="1:26" ht="26.25" customHeight="1">
      <c r="A14" s="154">
        <f t="shared" ca="1" si="0"/>
        <v>11</v>
      </c>
      <c r="B14" s="31" t="str">
        <f ca="1">IFERROR(__xludf.DUMMYFUNCTION("""COMPUTED_VALUE"""),"Automobile Magazine")</f>
        <v>Automobile Magazine</v>
      </c>
      <c r="C14" s="19" t="str">
        <f ca="1">IFERROR(__xludf.DUMMYFUNCTION("""COMPUTED_VALUE"""),"Murdoch Magazines")</f>
        <v>Murdoch Magazines</v>
      </c>
      <c r="D14" s="20" t="str">
        <f ca="1">IFERROR(__xludf.DUMMYFUNCTION("""COMPUTED_VALUE"""),"0894-3583")</f>
        <v>0894-3583</v>
      </c>
      <c r="E14" s="32" t="str">
        <f ca="1">IFERROR(__xludf.DUMMYFUNCTION("""COMPUTED_VALUE"""),"2009-2018")</f>
        <v>2009-2018</v>
      </c>
      <c r="F14" s="22" t="str">
        <f ca="1">IFERROR(__xludf.DUMMYFUNCTION("""COMPUTED_VALUE"""),"-")</f>
        <v>-</v>
      </c>
      <c r="G14" s="23" t="str">
        <f ca="1">IFERROR(__xludf.DUMMYFUNCTION("""COMPUTED_VALUE"""),"http://www.riss.kr/link?id=S112893")</f>
        <v>http://www.riss.kr/link?id=S112893</v>
      </c>
      <c r="H14" s="24" t="str">
        <f ca="1">IFERROR(__xludf.DUMMYFUNCTION("""COMPUTED_VALUE"""),"X")</f>
        <v>X</v>
      </c>
    </row>
    <row r="15" spans="1:26" ht="26.25" customHeight="1">
      <c r="A15" s="154">
        <f t="shared" ca="1" si="0"/>
        <v>12</v>
      </c>
      <c r="B15" s="31" t="str">
        <f ca="1">IFERROR(__xludf.DUMMYFUNCTION("""COMPUTED_VALUE"""),"Automotive Airconditioning Reporter")</f>
        <v>Automotive Airconditioning Reporter</v>
      </c>
      <c r="C15" s="19" t="str">
        <f ca="1">IFERROR(__xludf.DUMMYFUNCTION("""COMPUTED_VALUE"""),"Blue apple B. V")</f>
        <v>Blue apple B. V</v>
      </c>
      <c r="D15" s="20" t="str">
        <f ca="1">IFERROR(__xludf.DUMMYFUNCTION("""COMPUTED_VALUE"""),"1384-2900")</f>
        <v>1384-2900</v>
      </c>
      <c r="E15" s="32" t="str">
        <f ca="1">IFERROR(__xludf.DUMMYFUNCTION("""COMPUTED_VALUE"""),"2010-2019")</f>
        <v>2010-2019</v>
      </c>
      <c r="F15" s="22" t="str">
        <f ca="1">IFERROR(__xludf.DUMMYFUNCTION("""COMPUTED_VALUE"""),"-")</f>
        <v>-</v>
      </c>
      <c r="G15" s="23" t="str">
        <f ca="1">IFERROR(__xludf.DUMMYFUNCTION("""COMPUTED_VALUE"""),"http://www.riss.kr/link?id=S115393")</f>
        <v>http://www.riss.kr/link?id=S115393</v>
      </c>
      <c r="H15" s="24" t="str">
        <f ca="1">IFERROR(__xludf.DUMMYFUNCTION("""COMPUTED_VALUE"""),"X")</f>
        <v>X</v>
      </c>
    </row>
    <row r="16" spans="1:26" ht="26.25" customHeight="1">
      <c r="A16" s="154">
        <f t="shared" ca="1" si="0"/>
        <v>13</v>
      </c>
      <c r="B16" s="31" t="str">
        <f ca="1">IFERROR(__xludf.DUMMYFUNCTION("""COMPUTED_VALUE"""),"Automotive Engineering International")</f>
        <v>Automotive Engineering International</v>
      </c>
      <c r="C16" s="19" t="str">
        <f ca="1">IFERROR(__xludf.DUMMYFUNCTION("""COMPUTED_VALUE"""),"S A E Inc.")</f>
        <v>S A E Inc.</v>
      </c>
      <c r="D16" s="20" t="str">
        <f ca="1">IFERROR(__xludf.DUMMYFUNCTION("""COMPUTED_VALUE"""),"1543-849X")</f>
        <v>1543-849X</v>
      </c>
      <c r="E16" s="32" t="str">
        <f ca="1">IFERROR(__xludf.DUMMYFUNCTION("""COMPUTED_VALUE"""),"2010-2013")</f>
        <v>2010-2013</v>
      </c>
      <c r="F16" s="22" t="str">
        <f ca="1">IFERROR(__xludf.DUMMYFUNCTION("""COMPUTED_VALUE"""),"-")</f>
        <v>-</v>
      </c>
      <c r="G16" s="23" t="str">
        <f ca="1">IFERROR(__xludf.DUMMYFUNCTION("""COMPUTED_VALUE"""),"http://www.riss.kr/link?id=S16085")</f>
        <v>http://www.riss.kr/link?id=S16085</v>
      </c>
      <c r="H16" s="24" t="str">
        <f ca="1">IFERROR(__xludf.DUMMYFUNCTION("""COMPUTED_VALUE"""),"X")</f>
        <v>X</v>
      </c>
    </row>
    <row r="17" spans="1:8" ht="26.25" customHeight="1">
      <c r="A17" s="154">
        <f t="shared" ca="1" si="0"/>
        <v>14</v>
      </c>
      <c r="B17" s="31" t="str">
        <f ca="1">IFERROR(__xludf.DUMMYFUNCTION("""COMPUTED_VALUE"""),"Automotive Recycling")</f>
        <v>Automotive Recycling</v>
      </c>
      <c r="C17" s="19" t="str">
        <f ca="1">IFERROR(__xludf.DUMMYFUNCTION("""COMPUTED_VALUE"""),"Automotive Recyclers Association")</f>
        <v>Automotive Recyclers Association</v>
      </c>
      <c r="D17" s="20" t="str">
        <f ca="1">IFERROR(__xludf.DUMMYFUNCTION("""COMPUTED_VALUE"""),"1058-9376")</f>
        <v>1058-9376</v>
      </c>
      <c r="E17" s="32" t="str">
        <f ca="1">IFERROR(__xludf.DUMMYFUNCTION("""COMPUTED_VALUE"""),"2010-2019")</f>
        <v>2010-2019</v>
      </c>
      <c r="F17" s="22" t="str">
        <f ca="1">IFERROR(__xludf.DUMMYFUNCTION("""COMPUTED_VALUE"""),"-")</f>
        <v>-</v>
      </c>
      <c r="G17" s="23" t="str">
        <f ca="1">IFERROR(__xludf.DUMMYFUNCTION("""COMPUTED_VALUE"""),"http://www.riss.kr/link?id=S115373")</f>
        <v>http://www.riss.kr/link?id=S115373</v>
      </c>
      <c r="H17" s="24" t="str">
        <f ca="1">IFERROR(__xludf.DUMMYFUNCTION("""COMPUTED_VALUE"""),"X")</f>
        <v>X</v>
      </c>
    </row>
    <row r="18" spans="1:8" ht="26.25" customHeight="1">
      <c r="A18" s="154">
        <f t="shared" ca="1" si="0"/>
        <v>15</v>
      </c>
      <c r="B18" s="31" t="str">
        <f ca="1">IFERROR(__xludf.DUMMYFUNCTION("""COMPUTED_VALUE"""),"Car and Driver")</f>
        <v>Car and Driver</v>
      </c>
      <c r="C18" s="19" t="str">
        <f ca="1">IFERROR(__xludf.DUMMYFUNCTION("""COMPUTED_VALUE"""),"Hearst Magazines")</f>
        <v>Hearst Magazines</v>
      </c>
      <c r="D18" s="20" t="str">
        <f ca="1">IFERROR(__xludf.DUMMYFUNCTION("""COMPUTED_VALUE"""),"0008-6002")</f>
        <v>0008-6002</v>
      </c>
      <c r="E18" s="32" t="str">
        <f ca="1">IFERROR(__xludf.DUMMYFUNCTION("""COMPUTED_VALUE"""),"2010-2018")</f>
        <v>2010-2018</v>
      </c>
      <c r="F18" s="22" t="str">
        <f ca="1">IFERROR(__xludf.DUMMYFUNCTION("""COMPUTED_VALUE"""),"-")</f>
        <v>-</v>
      </c>
      <c r="G18" s="23" t="str">
        <f ca="1">IFERROR(__xludf.DUMMYFUNCTION("""COMPUTED_VALUE"""),"http://www.riss.kr/link?id=S90482")</f>
        <v>http://www.riss.kr/link?id=S90482</v>
      </c>
      <c r="H18" s="24" t="str">
        <f ca="1">IFERROR(__xludf.DUMMYFUNCTION("""COMPUTED_VALUE"""),"X")</f>
        <v>X</v>
      </c>
    </row>
    <row r="19" spans="1:8" ht="26.25" customHeight="1">
      <c r="A19" s="154">
        <f t="shared" ca="1" si="0"/>
        <v>16</v>
      </c>
      <c r="B19" s="31" t="str">
        <f ca="1">IFERROR(__xludf.DUMMYFUNCTION("""COMPUTED_VALUE"""),"Car Mechanics")</f>
        <v>Car Mechanics</v>
      </c>
      <c r="C19" s="19" t="str">
        <f ca="1">IFERROR(__xludf.DUMMYFUNCTION("""COMPUTED_VALUE"""),"Kelsey Publishing")</f>
        <v>Kelsey Publishing</v>
      </c>
      <c r="D19" s="20" t="str">
        <f ca="1">IFERROR(__xludf.DUMMYFUNCTION("""COMPUTED_VALUE"""),"0008-6037")</f>
        <v>0008-6037</v>
      </c>
      <c r="E19" s="32" t="str">
        <f ca="1">IFERROR(__xludf.DUMMYFUNCTION("""COMPUTED_VALUE"""),"2010-2013, 2015-2020")</f>
        <v>2010-2013, 2015-2020</v>
      </c>
      <c r="F19" s="22" t="str">
        <f ca="1">IFERROR(__xludf.DUMMYFUNCTION("""COMPUTED_VALUE"""),"-")</f>
        <v>-</v>
      </c>
      <c r="G19" s="23" t="str">
        <f ca="1">IFERROR(__xludf.DUMMYFUNCTION("""COMPUTED_VALUE"""),"http://www.riss.kr/link?id=S115375")</f>
        <v>http://www.riss.kr/link?id=S115375</v>
      </c>
      <c r="H19" s="95" t="str">
        <f ca="1">IFERROR(__xludf.DUMMYFUNCTION("""COMPUTED_VALUE"""),"X")</f>
        <v>X</v>
      </c>
    </row>
    <row r="20" spans="1:8" ht="26.25" customHeight="1">
      <c r="A20" s="154">
        <f t="shared" ca="1" si="0"/>
        <v>17</v>
      </c>
      <c r="B20" s="31" t="str">
        <f ca="1">IFERROR(__xludf.DUMMYFUNCTION("""COMPUTED_VALUE"""),"Circuit World")</f>
        <v>Circuit World</v>
      </c>
      <c r="C20" s="19" t="str">
        <f ca="1">IFERROR(__xludf.DUMMYFUNCTION("""COMPUTED_VALUE"""),"Emerald Publishing Limited")</f>
        <v>Emerald Publishing Limited</v>
      </c>
      <c r="D20" s="20" t="str">
        <f ca="1">IFERROR(__xludf.DUMMYFUNCTION("""COMPUTED_VALUE"""),"0305-6120")</f>
        <v>0305-6120</v>
      </c>
      <c r="E20" s="32" t="str">
        <f ca="1">IFERROR(__xludf.DUMMYFUNCTION("""COMPUTED_VALUE"""),"2010-2013")</f>
        <v>2010-2013</v>
      </c>
      <c r="F20" s="22" t="str">
        <f ca="1">IFERROR(__xludf.DUMMYFUNCTION("""COMPUTED_VALUE"""),"SCIE, SCOPUS")</f>
        <v>SCIE, SCOPUS</v>
      </c>
      <c r="G20" s="23" t="str">
        <f ca="1">IFERROR(__xludf.DUMMYFUNCTION("""COMPUTED_VALUE"""),"http://www.riss.kr/link?id=S414163")</f>
        <v>http://www.riss.kr/link?id=S414163</v>
      </c>
      <c r="H20" s="24" t="str">
        <f ca="1">IFERROR(__xludf.DUMMYFUNCTION("""COMPUTED_VALUE"""),"X")</f>
        <v>X</v>
      </c>
    </row>
    <row r="21" spans="1:8" ht="26.25" customHeight="1">
      <c r="A21" s="154">
        <f t="shared" ca="1" si="0"/>
        <v>18</v>
      </c>
      <c r="B21" s="19" t="str">
        <f ca="1">IFERROR(__xludf.DUMMYFUNCTION("""COMPUTED_VALUE"""),"CIRP Annals")</f>
        <v>CIRP Annals</v>
      </c>
      <c r="C21" s="19" t="str">
        <f ca="1">IFERROR(__xludf.DUMMYFUNCTION("""COMPUTED_VALUE"""),"Elsevier Ltd")</f>
        <v>Elsevier Ltd</v>
      </c>
      <c r="D21" s="20" t="str">
        <f ca="1">IFERROR(__xludf.DUMMYFUNCTION("""COMPUTED_VALUE"""),"0007-8506")</f>
        <v>0007-8506</v>
      </c>
      <c r="E21" s="32" t="str">
        <f ca="1">IFERROR(__xludf.DUMMYFUNCTION("""COMPUTED_VALUE"""),"1984-2021")</f>
        <v>1984-2021</v>
      </c>
      <c r="F21" s="22" t="str">
        <f ca="1">IFERROR(__xludf.DUMMYFUNCTION("""COMPUTED_VALUE"""),"SCIE, SCOPUS")</f>
        <v>SCIE, SCOPUS</v>
      </c>
      <c r="G21" s="23" t="str">
        <f ca="1">IFERROR(__xludf.DUMMYFUNCTION("""COMPUTED_VALUE"""),"http://www.riss.kr/link?id=S30004502")</f>
        <v>http://www.riss.kr/link?id=S30004502</v>
      </c>
      <c r="H21" s="24" t="str">
        <f ca="1">IFERROR(__xludf.DUMMYFUNCTION("""COMPUTED_VALUE"""),"O")</f>
        <v>O</v>
      </c>
    </row>
    <row r="22" spans="1:8" ht="26.25" customHeight="1">
      <c r="A22" s="154">
        <f t="shared" ca="1" si="0"/>
        <v>19</v>
      </c>
      <c r="B22" s="19" t="str">
        <f ca="1">IFERROR(__xludf.DUMMYFUNCTION("""COMPUTED_VALUE"""),"Corrosion")</f>
        <v>Corrosion</v>
      </c>
      <c r="C22" s="19" t="str">
        <f ca="1">IFERROR(__xludf.DUMMYFUNCTION("""COMPUTED_VALUE"""),"National Association of Corrosion Engineers International")</f>
        <v>National Association of Corrosion Engineers International</v>
      </c>
      <c r="D22" s="20" t="str">
        <f ca="1">IFERROR(__xludf.DUMMYFUNCTION("""COMPUTED_VALUE"""),"0010-9312")</f>
        <v>0010-9312</v>
      </c>
      <c r="E22" s="32" t="str">
        <f ca="1">IFERROR(__xludf.DUMMYFUNCTION("""COMPUTED_VALUE"""),"1964, 1969, 2010-2021")</f>
        <v>1964, 1969, 2010-2021</v>
      </c>
      <c r="F22" s="22" t="str">
        <f ca="1">IFERROR(__xludf.DUMMYFUNCTION("""COMPUTED_VALUE"""),"SCIE, SCOPUS")</f>
        <v>SCIE, SCOPUS</v>
      </c>
      <c r="G22" s="23" t="str">
        <f ca="1">IFERROR(__xludf.DUMMYFUNCTION("""COMPUTED_VALUE"""),"http://www.riss.kr/link?id=S16252")</f>
        <v>http://www.riss.kr/link?id=S16252</v>
      </c>
      <c r="H22" s="24" t="str">
        <f ca="1">IFERROR(__xludf.DUMMYFUNCTION("""COMPUTED_VALUE"""),"O")</f>
        <v>O</v>
      </c>
    </row>
    <row r="23" spans="1:8" ht="26.25" customHeight="1">
      <c r="A23" s="154">
        <f t="shared" ca="1" si="0"/>
        <v>20</v>
      </c>
      <c r="B23" s="31" t="str">
        <f ca="1">IFERROR(__xludf.DUMMYFUNCTION("""COMPUTED_VALUE"""),"Diesel &amp; Gas Turbine Worldwide")</f>
        <v>Diesel &amp; Gas Turbine Worldwide</v>
      </c>
      <c r="C23" s="19" t="str">
        <f ca="1">IFERROR(__xludf.DUMMYFUNCTION("""COMPUTED_VALUE"""),"Diesel &amp; Gas Turbine Publications")</f>
        <v>Diesel &amp; Gas Turbine Publications</v>
      </c>
      <c r="D23" s="20" t="str">
        <f ca="1">IFERROR(__xludf.DUMMYFUNCTION("""COMPUTED_VALUE"""),"0278-5994")</f>
        <v>0278-5994</v>
      </c>
      <c r="E23" s="32" t="str">
        <f ca="1">IFERROR(__xludf.DUMMYFUNCTION("""COMPUTED_VALUE"""),"2010-2016")</f>
        <v>2010-2016</v>
      </c>
      <c r="F23" s="22" t="str">
        <f ca="1">IFERROR(__xludf.DUMMYFUNCTION("""COMPUTED_VALUE"""),"-")</f>
        <v>-</v>
      </c>
      <c r="G23" s="23" t="str">
        <f ca="1">IFERROR(__xludf.DUMMYFUNCTION("""COMPUTED_VALUE"""),"http://www.riss.kr/link?id=S80384")</f>
        <v>http://www.riss.kr/link?id=S80384</v>
      </c>
      <c r="H23" s="24" t="str">
        <f ca="1">IFERROR(__xludf.DUMMYFUNCTION("""COMPUTED_VALUE"""),"X")</f>
        <v>X</v>
      </c>
    </row>
    <row r="24" spans="1:8" ht="26.25" customHeight="1">
      <c r="A24" s="154">
        <f t="shared" ca="1" si="0"/>
        <v>21</v>
      </c>
      <c r="B24" s="31" t="str">
        <f ca="1">IFERROR(__xludf.DUMMYFUNCTION("""COMPUTED_VALUE"""),"Diesel Car")</f>
        <v>Diesel Car</v>
      </c>
      <c r="C24" s="19" t="str">
        <f ca="1">IFERROR(__xludf.DUMMYFUNCTION("""COMPUTED_VALUE"""),"Blaze Publishing")</f>
        <v>Blaze Publishing</v>
      </c>
      <c r="D24" s="20" t="str">
        <f ca="1">IFERROR(__xludf.DUMMYFUNCTION("""COMPUTED_VALUE"""),"2045-6069")</f>
        <v>2045-6069</v>
      </c>
      <c r="E24" s="32" t="str">
        <f ca="1">IFERROR(__xludf.DUMMYFUNCTION("""COMPUTED_VALUE"""),"2010-2018")</f>
        <v>2010-2018</v>
      </c>
      <c r="F24" s="22" t="str">
        <f ca="1">IFERROR(__xludf.DUMMYFUNCTION("""COMPUTED_VALUE"""),"-")</f>
        <v>-</v>
      </c>
      <c r="G24" s="23" t="str">
        <f ca="1">IFERROR(__xludf.DUMMYFUNCTION("""COMPUTED_VALUE"""),"http://www.riss.kr/link?id=S115376")</f>
        <v>http://www.riss.kr/link?id=S115376</v>
      </c>
      <c r="H24" s="24" t="str">
        <f ca="1">IFERROR(__xludf.DUMMYFUNCTION("""COMPUTED_VALUE"""),"X")</f>
        <v>X</v>
      </c>
    </row>
    <row r="25" spans="1:8" ht="26.25" customHeight="1">
      <c r="A25" s="154">
        <f t="shared" ca="1" si="0"/>
        <v>22</v>
      </c>
      <c r="B25" s="31" t="str">
        <f ca="1">IFERROR(__xludf.DUMMYFUNCTION("""COMPUTED_VALUE"""),"Diesel Progress North American Edition")</f>
        <v>Diesel Progress North American Edition</v>
      </c>
      <c r="C25" s="19" t="str">
        <f ca="1">IFERROR(__xludf.DUMMYFUNCTION("""COMPUTED_VALUE"""),"Diesel &amp; Gas Turbine Publications")</f>
        <v>Diesel &amp; Gas Turbine Publications</v>
      </c>
      <c r="D25" s="20" t="str">
        <f ca="1">IFERROR(__xludf.DUMMYFUNCTION("""COMPUTED_VALUE"""),"1091-370X")</f>
        <v>1091-370X</v>
      </c>
      <c r="E25" s="32" t="str">
        <f ca="1">IFERROR(__xludf.DUMMYFUNCTION("""COMPUTED_VALUE"""),"2010-2019")</f>
        <v>2010-2019</v>
      </c>
      <c r="F25" s="22" t="str">
        <f ca="1">IFERROR(__xludf.DUMMYFUNCTION("""COMPUTED_VALUE"""),"-")</f>
        <v>-</v>
      </c>
      <c r="G25" s="23" t="str">
        <f ca="1">IFERROR(__xludf.DUMMYFUNCTION("""COMPUTED_VALUE"""),"http://www.riss.kr/link?id=S11575509")</f>
        <v>http://www.riss.kr/link?id=S11575509</v>
      </c>
      <c r="H25" s="24" t="str">
        <f ca="1">IFERROR(__xludf.DUMMYFUNCTION("""COMPUTED_VALUE"""),"X")</f>
        <v>X</v>
      </c>
    </row>
    <row r="26" spans="1:8" ht="26.25" customHeight="1">
      <c r="A26" s="154">
        <f t="shared" ca="1" si="0"/>
        <v>23</v>
      </c>
      <c r="B26" s="19" t="str">
        <f ca="1">IFERROR(__xludf.DUMMYFUNCTION("""COMPUTED_VALUE"""),"Engine Technology International")</f>
        <v>Engine Technology International</v>
      </c>
      <c r="C26" s="19" t="str">
        <f ca="1">IFERROR(__xludf.DUMMYFUNCTION("""COMPUTED_VALUE"""),"UK &amp; International Press")</f>
        <v>UK &amp; International Press</v>
      </c>
      <c r="D26" s="20" t="str">
        <f ca="1">IFERROR(__xludf.DUMMYFUNCTION("""COMPUTED_VALUE"""),"1460-9509")</f>
        <v>1460-9509</v>
      </c>
      <c r="E26" s="32" t="str">
        <f ca="1">IFERROR(__xludf.DUMMYFUNCTION("""COMPUTED_VALUE"""),"2010-2021")</f>
        <v>2010-2021</v>
      </c>
      <c r="F26" s="22" t="str">
        <f ca="1">IFERROR(__xludf.DUMMYFUNCTION("""COMPUTED_VALUE"""),"-")</f>
        <v>-</v>
      </c>
      <c r="G26" s="23" t="str">
        <f ca="1">IFERROR(__xludf.DUMMYFUNCTION("""COMPUTED_VALUE"""),"http://www.riss.kr/link?id=S115377")</f>
        <v>http://www.riss.kr/link?id=S115377</v>
      </c>
      <c r="H26" s="24" t="str">
        <f ca="1">IFERROR(__xludf.DUMMYFUNCTION("""COMPUTED_VALUE"""),"O")</f>
        <v>O</v>
      </c>
    </row>
    <row r="27" spans="1:8" ht="26.25" customHeight="1">
      <c r="A27" s="154">
        <f t="shared" ca="1" si="0"/>
        <v>24</v>
      </c>
      <c r="B27" s="31" t="str">
        <f ca="1">IFERROR(__xludf.DUMMYFUNCTION("""COMPUTED_VALUE"""),"Engineering Fracture Mechanics")</f>
        <v>Engineering Fracture Mechanics</v>
      </c>
      <c r="C27" s="19" t="str">
        <f ca="1">IFERROR(__xludf.DUMMYFUNCTION("""COMPUTED_VALUE"""),"Elsevier Ltd")</f>
        <v>Elsevier Ltd</v>
      </c>
      <c r="D27" s="20" t="str">
        <f ca="1">IFERROR(__xludf.DUMMYFUNCTION("""COMPUTED_VALUE"""),"0013-7944")</f>
        <v>0013-7944</v>
      </c>
      <c r="E27" s="32" t="str">
        <f ca="1">IFERROR(__xludf.DUMMYFUNCTION("""COMPUTED_VALUE"""),"1976, 1982-2004")</f>
        <v>1976, 1982-2004</v>
      </c>
      <c r="F27" s="22" t="str">
        <f ca="1">IFERROR(__xludf.DUMMYFUNCTION("""COMPUTED_VALUE"""),"SCIE, SCOPUS")</f>
        <v>SCIE, SCOPUS</v>
      </c>
      <c r="G27" s="23" t="str">
        <f ca="1">IFERROR(__xludf.DUMMYFUNCTION("""COMPUTED_VALUE"""),"http://www.riss.kr/link?id=S16220")</f>
        <v>http://www.riss.kr/link?id=S16220</v>
      </c>
      <c r="H27" s="24" t="str">
        <f ca="1">IFERROR(__xludf.DUMMYFUNCTION("""COMPUTED_VALUE"""),"X")</f>
        <v>X</v>
      </c>
    </row>
    <row r="28" spans="1:8" ht="26.25" customHeight="1">
      <c r="A28" s="154">
        <f t="shared" ca="1" si="0"/>
        <v>25</v>
      </c>
      <c r="B28" s="19" t="str">
        <f ca="1">IFERROR(__xludf.DUMMYFUNCTION("""COMPUTED_VALUE"""),"Experimental mechanics")</f>
        <v>Experimental mechanics</v>
      </c>
      <c r="C28" s="19" t="str">
        <f ca="1">IFERROR(__xludf.DUMMYFUNCTION("""COMPUTED_VALUE"""),"Springer New York LLC")</f>
        <v>Springer New York LLC</v>
      </c>
      <c r="D28" s="20" t="str">
        <f ca="1">IFERROR(__xludf.DUMMYFUNCTION("""COMPUTED_VALUE"""),"0014-4851")</f>
        <v>0014-4851</v>
      </c>
      <c r="E28" s="32" t="str">
        <f ca="1">IFERROR(__xludf.DUMMYFUNCTION("""COMPUTED_VALUE"""),"1995-2021")</f>
        <v>1995-2021</v>
      </c>
      <c r="F28" s="22" t="str">
        <f ca="1">IFERROR(__xludf.DUMMYFUNCTION("""COMPUTED_VALUE"""),"SCIE, SCOPUS")</f>
        <v>SCIE, SCOPUS</v>
      </c>
      <c r="G28" s="23" t="str">
        <f ca="1">IFERROR(__xludf.DUMMYFUNCTION("""COMPUTED_VALUE"""),"http://www.riss.kr/link?id=S16206")</f>
        <v>http://www.riss.kr/link?id=S16206</v>
      </c>
      <c r="H28" s="24" t="str">
        <f ca="1">IFERROR(__xludf.DUMMYFUNCTION("""COMPUTED_VALUE"""),"O")</f>
        <v>O</v>
      </c>
    </row>
    <row r="29" spans="1:8" ht="26.25" customHeight="1">
      <c r="A29" s="154">
        <f t="shared" ca="1" si="0"/>
        <v>26</v>
      </c>
      <c r="B29" s="31" t="str">
        <f ca="1">IFERROR(__xludf.DUMMYFUNCTION("""COMPUTED_VALUE"""),"Experimental Techniques")</f>
        <v>Experimental Techniques</v>
      </c>
      <c r="C29" s="19" t="str">
        <f ca="1">IFERROR(__xludf.DUMMYFUNCTION("""COMPUTED_VALUE"""),"Springer New York LLC")</f>
        <v>Springer New York LLC</v>
      </c>
      <c r="D29" s="20" t="str">
        <f ca="1">IFERROR(__xludf.DUMMYFUNCTION("""COMPUTED_VALUE"""),"0732-8818")</f>
        <v>0732-8818</v>
      </c>
      <c r="E29" s="32" t="str">
        <f ca="1">IFERROR(__xludf.DUMMYFUNCTION("""COMPUTED_VALUE"""),"1984-2004")</f>
        <v>1984-2004</v>
      </c>
      <c r="F29" s="22" t="str">
        <f ca="1">IFERROR(__xludf.DUMMYFUNCTION("""COMPUTED_VALUE"""),"SCIE, SCOPUS")</f>
        <v>SCIE, SCOPUS</v>
      </c>
      <c r="G29" s="23" t="str">
        <f ca="1">IFERROR(__xludf.DUMMYFUNCTION("""COMPUTED_VALUE"""),"http://www.riss.kr/link?id=S14978")</f>
        <v>http://www.riss.kr/link?id=S14978</v>
      </c>
      <c r="H29" s="24" t="str">
        <f ca="1">IFERROR(__xludf.DUMMYFUNCTION("""COMPUTED_VALUE"""),"X")</f>
        <v>X</v>
      </c>
    </row>
    <row r="30" spans="1:8" ht="26.25" customHeight="1">
      <c r="A30" s="154">
        <f t="shared" ca="1" si="0"/>
        <v>27</v>
      </c>
      <c r="B30" s="19" t="str">
        <f ca="1">IFERROR(__xludf.DUMMYFUNCTION("""COMPUTED_VALUE"""),"Experiments in Fluids")</f>
        <v>Experiments in Fluids</v>
      </c>
      <c r="C30" s="19" t="str">
        <f ca="1">IFERROR(__xludf.DUMMYFUNCTION("""COMPUTED_VALUE"""),"Springer")</f>
        <v>Springer</v>
      </c>
      <c r="D30" s="20" t="str">
        <f ca="1">IFERROR(__xludf.DUMMYFUNCTION("""COMPUTED_VALUE"""),"0723-4864")</f>
        <v>0723-4864</v>
      </c>
      <c r="E30" s="32" t="str">
        <f ca="1">IFERROR(__xludf.DUMMYFUNCTION("""COMPUTED_VALUE"""),"1990-2021")</f>
        <v>1990-2021</v>
      </c>
      <c r="F30" s="22" t="str">
        <f ca="1">IFERROR(__xludf.DUMMYFUNCTION("""COMPUTED_VALUE"""),"SCIE, SCOPUS")</f>
        <v>SCIE, SCOPUS</v>
      </c>
      <c r="G30" s="23" t="str">
        <f ca="1">IFERROR(__xludf.DUMMYFUNCTION("""COMPUTED_VALUE"""),"http://www.riss.kr/link?id=S20411")</f>
        <v>http://www.riss.kr/link?id=S20411</v>
      </c>
      <c r="H30" s="24" t="str">
        <f ca="1">IFERROR(__xludf.DUMMYFUNCTION("""COMPUTED_VALUE"""),"O")</f>
        <v>O</v>
      </c>
    </row>
    <row r="31" spans="1:8" ht="26.25" customHeight="1">
      <c r="A31" s="154">
        <f t="shared" ca="1" si="0"/>
        <v>28</v>
      </c>
      <c r="B31" s="31" t="str">
        <f ca="1">IFERROR(__xludf.DUMMYFUNCTION("""COMPUTED_VALUE"""),"Flexible Services and Manufacturing Journal")</f>
        <v>Flexible Services and Manufacturing Journal</v>
      </c>
      <c r="C31" s="19" t="str">
        <f ca="1">IFERROR(__xludf.DUMMYFUNCTION("""COMPUTED_VALUE"""),"Springer New York LLC")</f>
        <v>Springer New York LLC</v>
      </c>
      <c r="D31" s="20" t="str">
        <f ca="1">IFERROR(__xludf.DUMMYFUNCTION("""COMPUTED_VALUE"""),"1936-6582")</f>
        <v>1936-6582</v>
      </c>
      <c r="E31" s="32" t="str">
        <f ca="1">IFERROR(__xludf.DUMMYFUNCTION("""COMPUTED_VALUE"""),"2008-2019")</f>
        <v>2008-2019</v>
      </c>
      <c r="F31" s="22" t="str">
        <f ca="1">IFERROR(__xludf.DUMMYFUNCTION("""COMPUTED_VALUE"""),"SCIE, SCOPUS")</f>
        <v>SCIE, SCOPUS</v>
      </c>
      <c r="G31" s="23" t="str">
        <f ca="1">IFERROR(__xludf.DUMMYFUNCTION("""COMPUTED_VALUE"""),"http://www.riss.kr/link?id=S104991")</f>
        <v>http://www.riss.kr/link?id=S104991</v>
      </c>
      <c r="H31" s="24" t="str">
        <f ca="1">IFERROR(__xludf.DUMMYFUNCTION("""COMPUTED_VALUE"""),"X")</f>
        <v>X</v>
      </c>
    </row>
    <row r="32" spans="1:8" ht="26.25" customHeight="1">
      <c r="A32" s="154">
        <f t="shared" ca="1" si="0"/>
        <v>29</v>
      </c>
      <c r="B32" s="31" t="str">
        <f ca="1">IFERROR(__xludf.DUMMYFUNCTION("""COMPUTED_VALUE"""),"Fluid Dynamics Research")</f>
        <v>Fluid Dynamics Research</v>
      </c>
      <c r="C32" s="19" t="str">
        <f ca="1">IFERROR(__xludf.DUMMYFUNCTION("""COMPUTED_VALUE"""),"Institute of Physics Publishing Ltd.")</f>
        <v>Institute of Physics Publishing Ltd.</v>
      </c>
      <c r="D32" s="20" t="str">
        <f ca="1">IFERROR(__xludf.DUMMYFUNCTION("""COMPUTED_VALUE"""),"0169-5983")</f>
        <v>0169-5983</v>
      </c>
      <c r="E32" s="32" t="str">
        <f ca="1">IFERROR(__xludf.DUMMYFUNCTION("""COMPUTED_VALUE"""),"2010-2018")</f>
        <v>2010-2018</v>
      </c>
      <c r="F32" s="22" t="str">
        <f ca="1">IFERROR(__xludf.DUMMYFUNCTION("""COMPUTED_VALUE"""),"SCIE, SCOPUS")</f>
        <v>SCIE, SCOPUS</v>
      </c>
      <c r="G32" s="23" t="str">
        <f ca="1">IFERROR(__xludf.DUMMYFUNCTION("""COMPUTED_VALUE"""),"http://www.riss.kr/link?id=S28951")</f>
        <v>http://www.riss.kr/link?id=S28951</v>
      </c>
      <c r="H32" s="24" t="str">
        <f ca="1">IFERROR(__xludf.DUMMYFUNCTION("""COMPUTED_VALUE"""),"X")</f>
        <v>X</v>
      </c>
    </row>
    <row r="33" spans="1:8" ht="26.25" customHeight="1">
      <c r="A33" s="154">
        <f t="shared" ca="1" si="0"/>
        <v>30</v>
      </c>
      <c r="B33" s="31" t="str">
        <f ca="1">IFERROR(__xludf.DUMMYFUNCTION("""COMPUTED_VALUE"""),"Gas Turbine World")</f>
        <v>Gas Turbine World</v>
      </c>
      <c r="C33" s="19" t="str">
        <f ca="1">IFERROR(__xludf.DUMMYFUNCTION("""COMPUTED_VALUE"""),"Pequot Publishing, Inc.")</f>
        <v>Pequot Publishing, Inc.</v>
      </c>
      <c r="D33" s="20" t="str">
        <f ca="1">IFERROR(__xludf.DUMMYFUNCTION("""COMPUTED_VALUE"""),"0747-7988")</f>
        <v>0747-7988</v>
      </c>
      <c r="E33" s="32" t="str">
        <f ca="1">IFERROR(__xludf.DUMMYFUNCTION("""COMPUTED_VALUE"""),"2010-2019")</f>
        <v>2010-2019</v>
      </c>
      <c r="F33" s="22" t="str">
        <f ca="1">IFERROR(__xludf.DUMMYFUNCTION("""COMPUTED_VALUE"""),"-")</f>
        <v>-</v>
      </c>
      <c r="G33" s="23" t="str">
        <f ca="1">IFERROR(__xludf.DUMMYFUNCTION("""COMPUTED_VALUE"""),"http://www.riss.kr/link?id=S412775")</f>
        <v>http://www.riss.kr/link?id=S412775</v>
      </c>
      <c r="H33" s="24" t="str">
        <f ca="1">IFERROR(__xludf.DUMMYFUNCTION("""COMPUTED_VALUE"""),"X")</f>
        <v>X</v>
      </c>
    </row>
    <row r="34" spans="1:8" ht="26.25" customHeight="1">
      <c r="A34" s="154">
        <f t="shared" ca="1" si="0"/>
        <v>31</v>
      </c>
      <c r="B34" s="19" t="str">
        <f ca="1">IFERROR(__xludf.DUMMYFUNCTION("""COMPUTED_VALUE"""),"Heat Transfer Research")</f>
        <v>Heat Transfer Research</v>
      </c>
      <c r="C34" s="19" t="str">
        <f ca="1">IFERROR(__xludf.DUMMYFUNCTION("""COMPUTED_VALUE"""),"Begell House, Inc.")</f>
        <v>Begell House, Inc.</v>
      </c>
      <c r="D34" s="20" t="str">
        <f ca="1">IFERROR(__xludf.DUMMYFUNCTION("""COMPUTED_VALUE"""),"1064-2285")</f>
        <v>1064-2285</v>
      </c>
      <c r="E34" s="32" t="str">
        <f ca="1">IFERROR(__xludf.DUMMYFUNCTION("""COMPUTED_VALUE"""),"2010-2021")</f>
        <v>2010-2021</v>
      </c>
      <c r="F34" s="22" t="str">
        <f ca="1">IFERROR(__xludf.DUMMYFUNCTION("""COMPUTED_VALUE"""),"SCIE, SCOPUS")</f>
        <v>SCIE, SCOPUS</v>
      </c>
      <c r="G34" s="23" t="str">
        <f ca="1">IFERROR(__xludf.DUMMYFUNCTION("""COMPUTED_VALUE"""),"http://www.riss.kr/link?id=S11926")</f>
        <v>http://www.riss.kr/link?id=S11926</v>
      </c>
      <c r="H34" s="24" t="str">
        <f ca="1">IFERROR(__xludf.DUMMYFUNCTION("""COMPUTED_VALUE"""),"O")</f>
        <v>O</v>
      </c>
    </row>
    <row r="35" spans="1:8" ht="26.25" customHeight="1">
      <c r="A35" s="154">
        <f t="shared" ca="1" si="0"/>
        <v>32</v>
      </c>
      <c r="B35" s="31" t="str">
        <f ca="1">IFERROR(__xludf.DUMMYFUNCTION("""COMPUTED_VALUE"""),"High Temperature Materials and Processes")</f>
        <v>High Temperature Materials and Processes</v>
      </c>
      <c r="C35" s="19" t="str">
        <f ca="1">IFERROR(__xludf.DUMMYFUNCTION("""COMPUTED_VALUE"""),"Walter de Gruyter GmbH")</f>
        <v>Walter de Gruyter GmbH</v>
      </c>
      <c r="D35" s="20" t="str">
        <f ca="1">IFERROR(__xludf.DUMMYFUNCTION("""COMPUTED_VALUE"""),"0334-6455")</f>
        <v>0334-6455</v>
      </c>
      <c r="E35" s="32" t="str">
        <f ca="1">IFERROR(__xludf.DUMMYFUNCTION("""COMPUTED_VALUE"""),"2010-2019")</f>
        <v>2010-2019</v>
      </c>
      <c r="F35" s="22" t="str">
        <f ca="1">IFERROR(__xludf.DUMMYFUNCTION("""COMPUTED_VALUE"""),"SCIE, SCOPUS")</f>
        <v>SCIE, SCOPUS</v>
      </c>
      <c r="G35" s="23" t="str">
        <f ca="1">IFERROR(__xludf.DUMMYFUNCTION("""COMPUTED_VALUE"""),"http://www.riss.kr/link?id=S401504")</f>
        <v>http://www.riss.kr/link?id=S401504</v>
      </c>
      <c r="H35" s="24" t="str">
        <f ca="1">IFERROR(__xludf.DUMMYFUNCTION("""COMPUTED_VALUE"""),"X")</f>
        <v>X</v>
      </c>
    </row>
    <row r="36" spans="1:8" ht="26.25" customHeight="1">
      <c r="A36" s="154">
        <f t="shared" ca="1" si="0"/>
        <v>33</v>
      </c>
      <c r="B36" s="31" t="str">
        <f ca="1">IFERROR(__xludf.DUMMYFUNCTION("""COMPUTED_VALUE"""),"Industrial Lubrication &amp; Tribology")</f>
        <v>Industrial Lubrication &amp; Tribology</v>
      </c>
      <c r="C36" s="19" t="str">
        <f ca="1">IFERROR(__xludf.DUMMYFUNCTION("""COMPUTED_VALUE"""),"Emerald Publishing Limited")</f>
        <v>Emerald Publishing Limited</v>
      </c>
      <c r="D36" s="20" t="str">
        <f ca="1">IFERROR(__xludf.DUMMYFUNCTION("""COMPUTED_VALUE"""),"0036-8792")</f>
        <v>0036-8792</v>
      </c>
      <c r="E36" s="32">
        <f ca="1">IFERROR(__xludf.DUMMYFUNCTION("""COMPUTED_VALUE"""),2010)</f>
        <v>2010</v>
      </c>
      <c r="F36" s="22" t="str">
        <f ca="1">IFERROR(__xludf.DUMMYFUNCTION("""COMPUTED_VALUE"""),"SCIE, SCOPUS")</f>
        <v>SCIE, SCOPUS</v>
      </c>
      <c r="G36" s="23" t="str">
        <f ca="1">IFERROR(__xludf.DUMMYFUNCTION("""COMPUTED_VALUE"""),"http://www.riss.kr/link?id=S408115")</f>
        <v>http://www.riss.kr/link?id=S408115</v>
      </c>
      <c r="H36" s="24" t="str">
        <f ca="1">IFERROR(__xludf.DUMMYFUNCTION("""COMPUTED_VALUE"""),"X")</f>
        <v>X</v>
      </c>
    </row>
    <row r="37" spans="1:8" ht="26.25" customHeight="1">
      <c r="A37" s="154">
        <f t="shared" ca="1" si="0"/>
        <v>34</v>
      </c>
      <c r="B37" s="19" t="str">
        <f ca="1">IFERROR(__xludf.DUMMYFUNCTION("""COMPUTED_VALUE"""),"Insight (Northampton)")</f>
        <v>Insight (Northampton)</v>
      </c>
      <c r="C37" s="19" t="str">
        <f ca="1">IFERROR(__xludf.DUMMYFUNCTION("""COMPUTED_VALUE"""),"British Institute of Non-Destructive Testing")</f>
        <v>British Institute of Non-Destructive Testing</v>
      </c>
      <c r="D37" s="20" t="str">
        <f ca="1">IFERROR(__xludf.DUMMYFUNCTION("""COMPUTED_VALUE"""),"1354-2575")</f>
        <v>1354-2575</v>
      </c>
      <c r="E37" s="32" t="str">
        <f ca="1">IFERROR(__xludf.DUMMYFUNCTION("""COMPUTED_VALUE"""),"2010-2021")</f>
        <v>2010-2021</v>
      </c>
      <c r="F37" s="22" t="str">
        <f ca="1">IFERROR(__xludf.DUMMYFUNCTION("""COMPUTED_VALUE"""),"SCIE, SCOPUS")</f>
        <v>SCIE, SCOPUS</v>
      </c>
      <c r="G37" s="23" t="str">
        <f ca="1">IFERROR(__xludf.DUMMYFUNCTION("""COMPUTED_VALUE"""),"http://www.riss.kr/link?id=S404178")</f>
        <v>http://www.riss.kr/link?id=S404178</v>
      </c>
      <c r="H37" s="24" t="str">
        <f ca="1">IFERROR(__xludf.DUMMYFUNCTION("""COMPUTED_VALUE"""),"O")</f>
        <v>O</v>
      </c>
    </row>
    <row r="38" spans="1:8" ht="26.25" customHeight="1">
      <c r="A38" s="154">
        <f t="shared" ca="1" si="0"/>
        <v>35</v>
      </c>
      <c r="B38" s="19" t="str">
        <f ca="1">IFERROR(__xludf.DUMMYFUNCTION("""COMPUTED_VALUE"""),"International Journal of Computational Fluid Dynamics")</f>
        <v>International Journal of Computational Fluid Dynamics</v>
      </c>
      <c r="C38" s="19" t="str">
        <f ca="1">IFERROR(__xludf.DUMMYFUNCTION("""COMPUTED_VALUE"""),"Taylor &amp; Francis")</f>
        <v>Taylor &amp; Francis</v>
      </c>
      <c r="D38" s="20" t="str">
        <f ca="1">IFERROR(__xludf.DUMMYFUNCTION("""COMPUTED_VALUE"""),"1061-8562")</f>
        <v>1061-8562</v>
      </c>
      <c r="E38" s="32" t="str">
        <f ca="1">IFERROR(__xludf.DUMMYFUNCTION("""COMPUTED_VALUE"""),"2010-2021")</f>
        <v>2010-2021</v>
      </c>
      <c r="F38" s="22" t="str">
        <f ca="1">IFERROR(__xludf.DUMMYFUNCTION("""COMPUTED_VALUE"""),"SCIE, SCOPUS")</f>
        <v>SCIE, SCOPUS</v>
      </c>
      <c r="G38" s="23" t="str">
        <f ca="1">IFERROR(__xludf.DUMMYFUNCTION("""COMPUTED_VALUE"""),"http://www.riss.kr/link?id=S402265")</f>
        <v>http://www.riss.kr/link?id=S402265</v>
      </c>
      <c r="H38" s="24" t="str">
        <f ca="1">IFERROR(__xludf.DUMMYFUNCTION("""COMPUTED_VALUE"""),"O")</f>
        <v>O</v>
      </c>
    </row>
    <row r="39" spans="1:8" ht="26.25" customHeight="1">
      <c r="A39" s="154">
        <f t="shared" ca="1" si="0"/>
        <v>36</v>
      </c>
      <c r="B39" s="19" t="str">
        <f ca="1">IFERROR(__xludf.DUMMYFUNCTION("""COMPUTED_VALUE"""),"International Journal of Damage Mechanics")</f>
        <v>International Journal of Damage Mechanics</v>
      </c>
      <c r="C39" s="19" t="str">
        <f ca="1">IFERROR(__xludf.DUMMYFUNCTION("""COMPUTED_VALUE"""),"Sage Publications Ltd.")</f>
        <v>Sage Publications Ltd.</v>
      </c>
      <c r="D39" s="20" t="str">
        <f ca="1">IFERROR(__xludf.DUMMYFUNCTION("""COMPUTED_VALUE"""),"1056-7895")</f>
        <v>1056-7895</v>
      </c>
      <c r="E39" s="32" t="str">
        <f ca="1">IFERROR(__xludf.DUMMYFUNCTION("""COMPUTED_VALUE"""),"2010-2021")</f>
        <v>2010-2021</v>
      </c>
      <c r="F39" s="22" t="str">
        <f ca="1">IFERROR(__xludf.DUMMYFUNCTION("""COMPUTED_VALUE"""),"SCIE, SCOPUS")</f>
        <v>SCIE, SCOPUS</v>
      </c>
      <c r="G39" s="23" t="str">
        <f ca="1">IFERROR(__xludf.DUMMYFUNCTION("""COMPUTED_VALUE"""),"http://www.riss.kr/link?id=S402120")</f>
        <v>http://www.riss.kr/link?id=S402120</v>
      </c>
      <c r="H39" s="24" t="str">
        <f ca="1">IFERROR(__xludf.DUMMYFUNCTION("""COMPUTED_VALUE"""),"O")</f>
        <v>O</v>
      </c>
    </row>
    <row r="40" spans="1:8" ht="26.25" customHeight="1">
      <c r="A40" s="154">
        <f t="shared" ca="1" si="0"/>
        <v>37</v>
      </c>
      <c r="B40" s="19" t="str">
        <f ca="1">IFERROR(__xludf.DUMMYFUNCTION("""COMPUTED_VALUE"""),"International Journal of Engine Research")</f>
        <v>International Journal of Engine Research</v>
      </c>
      <c r="C40" s="19" t="str">
        <f ca="1">IFERROR(__xludf.DUMMYFUNCTION("""COMPUTED_VALUE"""),"Sage Publications Ltd.")</f>
        <v>Sage Publications Ltd.</v>
      </c>
      <c r="D40" s="20" t="str">
        <f ca="1">IFERROR(__xludf.DUMMYFUNCTION("""COMPUTED_VALUE"""),"1468-0874")</f>
        <v>1468-0874</v>
      </c>
      <c r="E40" s="32" t="str">
        <f ca="1">IFERROR(__xludf.DUMMYFUNCTION("""COMPUTED_VALUE"""),"2011-2021")</f>
        <v>2011-2021</v>
      </c>
      <c r="F40" s="22" t="str">
        <f ca="1">IFERROR(__xludf.DUMMYFUNCTION("""COMPUTED_VALUE"""),"SCIE, SCOPUS")</f>
        <v>SCIE, SCOPUS</v>
      </c>
      <c r="G40" s="23" t="str">
        <f ca="1">IFERROR(__xludf.DUMMYFUNCTION("""COMPUTED_VALUE"""),"http://www.riss.kr/link?id=S405412")</f>
        <v>http://www.riss.kr/link?id=S405412</v>
      </c>
      <c r="H40" s="24" t="str">
        <f ca="1">IFERROR(__xludf.DUMMYFUNCTION("""COMPUTED_VALUE"""),"O")</f>
        <v>O</v>
      </c>
    </row>
    <row r="41" spans="1:8" ht="26.25" customHeight="1">
      <c r="A41" s="154">
        <f t="shared" ca="1" si="0"/>
        <v>38</v>
      </c>
      <c r="B41" s="31" t="str">
        <f ca="1">IFERROR(__xludf.DUMMYFUNCTION("""COMPUTED_VALUE"""),"International Journal of Flexible Manufacturing Systems")</f>
        <v>International Journal of Flexible Manufacturing Systems</v>
      </c>
      <c r="C41" s="19" t="str">
        <f ca="1">IFERROR(__xludf.DUMMYFUNCTION("""COMPUTED_VALUE"""),"Kluwer Academic Publishers")</f>
        <v>Kluwer Academic Publishers</v>
      </c>
      <c r="D41" s="20" t="str">
        <f ca="1">IFERROR(__xludf.DUMMYFUNCTION("""COMPUTED_VALUE"""),"0920-6299")</f>
        <v>0920-6299</v>
      </c>
      <c r="E41" s="32" t="str">
        <f ca="1">IFERROR(__xludf.DUMMYFUNCTION("""COMPUTED_VALUE"""),"1996-2007")</f>
        <v>1996-2007</v>
      </c>
      <c r="F41" s="22" t="str">
        <f ca="1">IFERROR(__xludf.DUMMYFUNCTION("""COMPUTED_VALUE"""),"-")</f>
        <v>-</v>
      </c>
      <c r="G41" s="23" t="str">
        <f ca="1">IFERROR(__xludf.DUMMYFUNCTION("""COMPUTED_VALUE"""),"http://www.riss.kr/link?id=S21836")</f>
        <v>http://www.riss.kr/link?id=S21836</v>
      </c>
      <c r="H41" s="24" t="str">
        <f ca="1">IFERROR(__xludf.DUMMYFUNCTION("""COMPUTED_VALUE"""),"X")</f>
        <v>X</v>
      </c>
    </row>
    <row r="42" spans="1:8" ht="26.25" customHeight="1">
      <c r="A42" s="154">
        <f t="shared" ca="1" si="0"/>
        <v>39</v>
      </c>
      <c r="B42" s="31" t="str">
        <f ca="1">IFERROR(__xludf.DUMMYFUNCTION("""COMPUTED_VALUE"""),"International Journal of Fracture")</f>
        <v>International Journal of Fracture</v>
      </c>
      <c r="C42" s="19" t="str">
        <f ca="1">IFERROR(__xludf.DUMMYFUNCTION("""COMPUTED_VALUE"""),"Springer Netherlands")</f>
        <v>Springer Netherlands</v>
      </c>
      <c r="D42" s="20" t="str">
        <f ca="1">IFERROR(__xludf.DUMMYFUNCTION("""COMPUTED_VALUE"""),"0376-9429")</f>
        <v>0376-9429</v>
      </c>
      <c r="E42" s="32" t="str">
        <f ca="1">IFERROR(__xludf.DUMMYFUNCTION("""COMPUTED_VALUE"""),"1980-2008, 2010-2017")</f>
        <v>1980-2008, 2010-2017</v>
      </c>
      <c r="F42" s="22" t="str">
        <f ca="1">IFERROR(__xludf.DUMMYFUNCTION("""COMPUTED_VALUE"""),"SCIE, SCOPUS")</f>
        <v>SCIE, SCOPUS</v>
      </c>
      <c r="G42" s="23" t="str">
        <f ca="1">IFERROR(__xludf.DUMMYFUNCTION("""COMPUTED_VALUE"""),"http://www.riss.kr/link?id=S16097")</f>
        <v>http://www.riss.kr/link?id=S16097</v>
      </c>
      <c r="H42" s="24" t="str">
        <f ca="1">IFERROR(__xludf.DUMMYFUNCTION("""COMPUTED_VALUE"""),"X")</f>
        <v>X</v>
      </c>
    </row>
    <row r="43" spans="1:8" ht="26.25" customHeight="1">
      <c r="A43" s="154">
        <f t="shared" ca="1" si="0"/>
        <v>40</v>
      </c>
      <c r="B43" s="31" t="str">
        <f ca="1">IFERROR(__xludf.DUMMYFUNCTION("""COMPUTED_VALUE"""),"International Journal of Heavy Vehicle Systems")</f>
        <v>International Journal of Heavy Vehicle Systems</v>
      </c>
      <c r="C43" s="19" t="str">
        <f ca="1">IFERROR(__xludf.DUMMYFUNCTION("""COMPUTED_VALUE"""),"Inderscience Publishers")</f>
        <v>Inderscience Publishers</v>
      </c>
      <c r="D43" s="20" t="str">
        <f ca="1">IFERROR(__xludf.DUMMYFUNCTION("""COMPUTED_VALUE"""),"1744-232X")</f>
        <v>1744-232X</v>
      </c>
      <c r="E43" s="32" t="str">
        <f ca="1">IFERROR(__xludf.DUMMYFUNCTION("""COMPUTED_VALUE"""),"2010-2019")</f>
        <v>2010-2019</v>
      </c>
      <c r="F43" s="22" t="str">
        <f ca="1">IFERROR(__xludf.DUMMYFUNCTION("""COMPUTED_VALUE"""),"SCIE")</f>
        <v>SCIE</v>
      </c>
      <c r="G43" s="23" t="str">
        <f ca="1">IFERROR(__xludf.DUMMYFUNCTION("""COMPUTED_VALUE"""),"http://www.riss.kr/link?id=S418684")</f>
        <v>http://www.riss.kr/link?id=S418684</v>
      </c>
      <c r="H43" s="24" t="str">
        <f ca="1">IFERROR(__xludf.DUMMYFUNCTION("""COMPUTED_VALUE"""),"X")</f>
        <v>X</v>
      </c>
    </row>
    <row r="44" spans="1:8" ht="26.25" customHeight="1">
      <c r="A44" s="154">
        <f t="shared" ca="1" si="0"/>
        <v>41</v>
      </c>
      <c r="B44" s="19" t="str">
        <f ca="1">IFERROR(__xludf.DUMMYFUNCTION("""COMPUTED_VALUE"""),"International Journal of Materials and Product Technology")</f>
        <v>International Journal of Materials and Product Technology</v>
      </c>
      <c r="C44" s="19" t="str">
        <f ca="1">IFERROR(__xludf.DUMMYFUNCTION("""COMPUTED_VALUE"""),"Inderscience Publishers ")</f>
        <v xml:space="preserve">Inderscience Publishers </v>
      </c>
      <c r="D44" s="20" t="str">
        <f ca="1">IFERROR(__xludf.DUMMYFUNCTION("""COMPUTED_VALUE"""),"0268-1900")</f>
        <v>0268-1900</v>
      </c>
      <c r="E44" s="32" t="str">
        <f ca="1">IFERROR(__xludf.DUMMYFUNCTION("""COMPUTED_VALUE"""),"2010-2021")</f>
        <v>2010-2021</v>
      </c>
      <c r="F44" s="22" t="str">
        <f ca="1">IFERROR(__xludf.DUMMYFUNCTION("""COMPUTED_VALUE"""),"SCIE")</f>
        <v>SCIE</v>
      </c>
      <c r="G44" s="23" t="str">
        <f ca="1">IFERROR(__xludf.DUMMYFUNCTION("""COMPUTED_VALUE"""),"http://www.riss.kr/link?id=S410183")</f>
        <v>http://www.riss.kr/link?id=S410183</v>
      </c>
      <c r="H44" s="24" t="str">
        <f ca="1">IFERROR(__xludf.DUMMYFUNCTION("""COMPUTED_VALUE"""),"O")</f>
        <v>O</v>
      </c>
    </row>
    <row r="45" spans="1:8" ht="26.25" customHeight="1">
      <c r="A45" s="154">
        <f t="shared" ca="1" si="0"/>
        <v>42</v>
      </c>
      <c r="B45" s="31" t="str">
        <f ca="1">IFERROR(__xludf.DUMMYFUNCTION("""COMPUTED_VALUE"""),"International Journal of Microstructure and Materials Properties")</f>
        <v>International Journal of Microstructure and Materials Properties</v>
      </c>
      <c r="C45" s="19" t="str">
        <f ca="1">IFERROR(__xludf.DUMMYFUNCTION("""COMPUTED_VALUE"""),"Inderscience Publishers ")</f>
        <v xml:space="preserve">Inderscience Publishers </v>
      </c>
      <c r="D45" s="20" t="str">
        <f ca="1">IFERROR(__xludf.DUMMYFUNCTION("""COMPUTED_VALUE"""),"1741-8410")</f>
        <v>1741-8410</v>
      </c>
      <c r="E45" s="32" t="str">
        <f ca="1">IFERROR(__xludf.DUMMYFUNCTION("""COMPUTED_VALUE"""),"2010-2016")</f>
        <v>2010-2016</v>
      </c>
      <c r="F45" s="22" t="str">
        <f ca="1">IFERROR(__xludf.DUMMYFUNCTION("""COMPUTED_VALUE"""),"-")</f>
        <v>-</v>
      </c>
      <c r="G45" s="23" t="str">
        <f ca="1">IFERROR(__xludf.DUMMYFUNCTION("""COMPUTED_VALUE"""),"http://www.riss.kr/link?id=S31011616")</f>
        <v>http://www.riss.kr/link?id=S31011616</v>
      </c>
      <c r="H45" s="24" t="str">
        <f ca="1">IFERROR(__xludf.DUMMYFUNCTION("""COMPUTED_VALUE"""),"X")</f>
        <v>X</v>
      </c>
    </row>
    <row r="46" spans="1:8" ht="26.25" customHeight="1">
      <c r="A46" s="154">
        <f t="shared" ca="1" si="0"/>
        <v>43</v>
      </c>
      <c r="B46" s="31" t="str">
        <f ca="1">IFERROR(__xludf.DUMMYFUNCTION("""COMPUTED_VALUE"""),"International Journal of Optomechatronics")</f>
        <v>International Journal of Optomechatronics</v>
      </c>
      <c r="C46" s="19" t="str">
        <f ca="1">IFERROR(__xludf.DUMMYFUNCTION("""COMPUTED_VALUE"""),"Taylor &amp; Francis")</f>
        <v>Taylor &amp; Francis</v>
      </c>
      <c r="D46" s="20" t="str">
        <f ca="1">IFERROR(__xludf.DUMMYFUNCTION("""COMPUTED_VALUE"""),"1559-9612")</f>
        <v>1559-9612</v>
      </c>
      <c r="E46" s="32" t="str">
        <f ca="1">IFERROR(__xludf.DUMMYFUNCTION("""COMPUTED_VALUE"""),"2010-2016")</f>
        <v>2010-2016</v>
      </c>
      <c r="F46" s="22" t="str">
        <f ca="1">IFERROR(__xludf.DUMMYFUNCTION("""COMPUTED_VALUE"""),"SCIE, SCOPUS")</f>
        <v>SCIE, SCOPUS</v>
      </c>
      <c r="G46" s="23" t="str">
        <f ca="1">IFERROR(__xludf.DUMMYFUNCTION("""COMPUTED_VALUE"""),"http://www.riss.kr/link?id=S31019599")</f>
        <v>http://www.riss.kr/link?id=S31019599</v>
      </c>
      <c r="H46" s="24" t="str">
        <f ca="1">IFERROR(__xludf.DUMMYFUNCTION("""COMPUTED_VALUE"""),"X")</f>
        <v>X</v>
      </c>
    </row>
    <row r="47" spans="1:8" ht="26.25" customHeight="1">
      <c r="A47" s="154">
        <f t="shared" ca="1" si="0"/>
        <v>44</v>
      </c>
      <c r="B47" s="31" t="str">
        <f ca="1">IFERROR(__xludf.DUMMYFUNCTION("""COMPUTED_VALUE"""),"International Journal of Structural Stability and Dynamics (IJSSD)")</f>
        <v>International Journal of Structural Stability and Dynamics (IJSSD)</v>
      </c>
      <c r="C47" s="19" t="str">
        <f ca="1">IFERROR(__xludf.DUMMYFUNCTION("""COMPUTED_VALUE"""),"World Scientific Publishing Co. Pte. Ltd.")</f>
        <v>World Scientific Publishing Co. Pte. Ltd.</v>
      </c>
      <c r="D47" s="20" t="str">
        <f ca="1">IFERROR(__xludf.DUMMYFUNCTION("""COMPUTED_VALUE"""),"0219-4554")</f>
        <v>0219-4554</v>
      </c>
      <c r="E47" s="32" t="str">
        <f ca="1">IFERROR(__xludf.DUMMYFUNCTION("""COMPUTED_VALUE"""),"2010-2013")</f>
        <v>2010-2013</v>
      </c>
      <c r="F47" s="22" t="str">
        <f ca="1">IFERROR(__xludf.DUMMYFUNCTION("""COMPUTED_VALUE"""),"SCIE, SCOPUS")</f>
        <v>SCIE, SCOPUS</v>
      </c>
      <c r="G47" s="23" t="str">
        <f ca="1">IFERROR(__xludf.DUMMYFUNCTION("""COMPUTED_VALUE"""),"http://www.riss.kr/link?id=S103860")</f>
        <v>http://www.riss.kr/link?id=S103860</v>
      </c>
      <c r="H47" s="24" t="str">
        <f ca="1">IFERROR(__xludf.DUMMYFUNCTION("""COMPUTED_VALUE"""),"X")</f>
        <v>X</v>
      </c>
    </row>
    <row r="48" spans="1:8" ht="26.25" customHeight="1">
      <c r="A48" s="154">
        <f t="shared" ca="1" si="0"/>
        <v>45</v>
      </c>
      <c r="B48" s="19" t="str">
        <f ca="1">IFERROR(__xludf.DUMMYFUNCTION("""COMPUTED_VALUE"""),"International Journal of Vehicle Design")</f>
        <v>International Journal of Vehicle Design</v>
      </c>
      <c r="C48" s="19" t="str">
        <f ca="1">IFERROR(__xludf.DUMMYFUNCTION("""COMPUTED_VALUE"""),"Inderscience Publishers ")</f>
        <v xml:space="preserve">Inderscience Publishers </v>
      </c>
      <c r="D48" s="20" t="str">
        <f ca="1">IFERROR(__xludf.DUMMYFUNCTION("""COMPUTED_VALUE"""),"0143-3369")</f>
        <v>0143-3369</v>
      </c>
      <c r="E48" s="32" t="str">
        <f ca="1">IFERROR(__xludf.DUMMYFUNCTION("""COMPUTED_VALUE"""),"2010-2021")</f>
        <v>2010-2021</v>
      </c>
      <c r="F48" s="22" t="str">
        <f ca="1">IFERROR(__xludf.DUMMYFUNCTION("""COMPUTED_VALUE"""),"SCIE")</f>
        <v>SCIE</v>
      </c>
      <c r="G48" s="23" t="str">
        <f ca="1">IFERROR(__xludf.DUMMYFUNCTION("""COMPUTED_VALUE"""),"http://www.riss.kr/link?id=S24614")</f>
        <v>http://www.riss.kr/link?id=S24614</v>
      </c>
      <c r="H48" s="24" t="str">
        <f ca="1">IFERROR(__xludf.DUMMYFUNCTION("""COMPUTED_VALUE"""),"O")</f>
        <v>O</v>
      </c>
    </row>
    <row r="49" spans="1:8" ht="26.25" customHeight="1">
      <c r="A49" s="154">
        <f t="shared" ca="1" si="0"/>
        <v>46</v>
      </c>
      <c r="B49" s="19" t="str">
        <f ca="1">IFERROR(__xludf.DUMMYFUNCTION("""COMPUTED_VALUE"""),"Journal of Applied Mechanics")</f>
        <v>Journal of Applied Mechanics</v>
      </c>
      <c r="C49" s="19" t="str">
        <f ca="1">IFERROR(__xludf.DUMMYFUNCTION("""COMPUTED_VALUE"""),"ASME International")</f>
        <v>ASME International</v>
      </c>
      <c r="D49" s="20" t="str">
        <f ca="1">IFERROR(__xludf.DUMMYFUNCTION("""COMPUTED_VALUE"""),"0021-8936")</f>
        <v>0021-8936</v>
      </c>
      <c r="E49" s="32" t="str">
        <f ca="1">IFERROR(__xludf.DUMMYFUNCTION("""COMPUTED_VALUE"""),"1960-1962, 1964, 1966-2021")</f>
        <v>1960-1962, 1964, 1966-2021</v>
      </c>
      <c r="F49" s="22" t="str">
        <f ca="1">IFERROR(__xludf.DUMMYFUNCTION("""COMPUTED_VALUE"""),"SCIE, SCOPUS")</f>
        <v>SCIE, SCOPUS</v>
      </c>
      <c r="G49" s="23" t="str">
        <f ca="1">IFERROR(__xludf.DUMMYFUNCTION("""COMPUTED_VALUE"""),"http://www.riss.kr/link?id=S16083")</f>
        <v>http://www.riss.kr/link?id=S16083</v>
      </c>
      <c r="H49" s="24" t="str">
        <f ca="1">IFERROR(__xludf.DUMMYFUNCTION("""COMPUTED_VALUE"""),"O")</f>
        <v>O</v>
      </c>
    </row>
    <row r="50" spans="1:8" ht="26.25" customHeight="1">
      <c r="A50" s="154">
        <f t="shared" ca="1" si="0"/>
        <v>47</v>
      </c>
      <c r="B50" s="19" t="str">
        <f ca="1">IFERROR(__xludf.DUMMYFUNCTION("""COMPUTED_VALUE"""),"Journal of Computational and Nonlinear Dynamics")</f>
        <v>Journal of Computational and Nonlinear Dynamics</v>
      </c>
      <c r="C50" s="19" t="str">
        <f ca="1">IFERROR(__xludf.DUMMYFUNCTION("""COMPUTED_VALUE"""),"American Society of Mechanical Engineers")</f>
        <v>American Society of Mechanical Engineers</v>
      </c>
      <c r="D50" s="20" t="str">
        <f ca="1">IFERROR(__xludf.DUMMYFUNCTION("""COMPUTED_VALUE"""),"1555-1415")</f>
        <v>1555-1415</v>
      </c>
      <c r="E50" s="32" t="str">
        <f ca="1">IFERROR(__xludf.DUMMYFUNCTION("""COMPUTED_VALUE"""),"2011-2021")</f>
        <v>2011-2021</v>
      </c>
      <c r="F50" s="22" t="str">
        <f ca="1">IFERROR(__xludf.DUMMYFUNCTION("""COMPUTED_VALUE"""),"SCIE")</f>
        <v>SCIE</v>
      </c>
      <c r="G50" s="23" t="str">
        <f ca="1">IFERROR(__xludf.DUMMYFUNCTION("""COMPUTED_VALUE"""),"http://www.riss.kr/link?id=S115994")</f>
        <v>http://www.riss.kr/link?id=S115994</v>
      </c>
      <c r="H50" s="24" t="str">
        <f ca="1">IFERROR(__xludf.DUMMYFUNCTION("""COMPUTED_VALUE"""),"O")</f>
        <v>O</v>
      </c>
    </row>
    <row r="51" spans="1:8" ht="26.25" customHeight="1">
      <c r="A51" s="154">
        <f t="shared" ca="1" si="0"/>
        <v>48</v>
      </c>
      <c r="B51" s="31" t="str">
        <f ca="1">IFERROR(__xludf.DUMMYFUNCTION("""COMPUTED_VALUE"""),"Journal of Computing and Information science in Engineering")</f>
        <v>Journal of Computing and Information science in Engineering</v>
      </c>
      <c r="C51" s="19" t="str">
        <f ca="1">IFERROR(__xludf.DUMMYFUNCTION("""COMPUTED_VALUE"""),"The American Society of Mechanical Engineers")</f>
        <v>The American Society of Mechanical Engineers</v>
      </c>
      <c r="D51" s="20" t="str">
        <f ca="1">IFERROR(__xludf.DUMMYFUNCTION("""COMPUTED_VALUE"""),"1530-9827")</f>
        <v>1530-9827</v>
      </c>
      <c r="E51" s="32" t="str">
        <f ca="1">IFERROR(__xludf.DUMMYFUNCTION("""COMPUTED_VALUE"""),"2010, 2011")</f>
        <v>2010, 2011</v>
      </c>
      <c r="F51" s="22" t="str">
        <f ca="1">IFERROR(__xludf.DUMMYFUNCTION("""COMPUTED_VALUE"""),"SCIE")</f>
        <v>SCIE</v>
      </c>
      <c r="G51" s="23" t="str">
        <f ca="1">IFERROR(__xludf.DUMMYFUNCTION("""COMPUTED_VALUE"""),"http://www.riss.kr/link?id=S20010946")</f>
        <v>http://www.riss.kr/link?id=S20010946</v>
      </c>
      <c r="H51" s="24" t="str">
        <f ca="1">IFERROR(__xludf.DUMMYFUNCTION("""COMPUTED_VALUE"""),"X")</f>
        <v>X</v>
      </c>
    </row>
    <row r="52" spans="1:8" ht="26.25" customHeight="1">
      <c r="A52" s="154">
        <f t="shared" ca="1" si="0"/>
        <v>49</v>
      </c>
      <c r="B52" s="31" t="str">
        <f ca="1">IFERROR(__xludf.DUMMYFUNCTION("""COMPUTED_VALUE"""),"Journal of Dynamic Systems, Measurement and Control")</f>
        <v>Journal of Dynamic Systems, Measurement and Control</v>
      </c>
      <c r="C52" s="19" t="str">
        <f ca="1">IFERROR(__xludf.DUMMYFUNCTION("""COMPUTED_VALUE"""),"The American Society of Mechanical Engineers")</f>
        <v>The American Society of Mechanical Engineers</v>
      </c>
      <c r="D52" s="20" t="str">
        <f ca="1">IFERROR(__xludf.DUMMYFUNCTION("""COMPUTED_VALUE"""),"0022-0434")</f>
        <v>0022-0434</v>
      </c>
      <c r="E52" s="32" t="str">
        <f ca="1">IFERROR(__xludf.DUMMYFUNCTION("""COMPUTED_VALUE"""),"1972-2013")</f>
        <v>1972-2013</v>
      </c>
      <c r="F52" s="22" t="str">
        <f ca="1">IFERROR(__xludf.DUMMYFUNCTION("""COMPUTED_VALUE"""),"SCIE")</f>
        <v>SCIE</v>
      </c>
      <c r="G52" s="23" t="str">
        <f ca="1">IFERROR(__xludf.DUMMYFUNCTION("""COMPUTED_VALUE"""),"http://www.riss.kr/link?id=S80605")</f>
        <v>http://www.riss.kr/link?id=S80605</v>
      </c>
      <c r="H52" s="24" t="str">
        <f ca="1">IFERROR(__xludf.DUMMYFUNCTION("""COMPUTED_VALUE"""),"X")</f>
        <v>X</v>
      </c>
    </row>
    <row r="53" spans="1:8" ht="26.25" customHeight="1">
      <c r="A53" s="154">
        <f t="shared" ca="1" si="0"/>
        <v>50</v>
      </c>
      <c r="B53" s="19" t="str">
        <f ca="1">IFERROR(__xludf.DUMMYFUNCTION("""COMPUTED_VALUE"""),"Journal of Engineering for Gas Turbines and Power")</f>
        <v>Journal of Engineering for Gas Turbines and Power</v>
      </c>
      <c r="C53" s="19" t="str">
        <f ca="1">IFERROR(__xludf.DUMMYFUNCTION("""COMPUTED_VALUE"""),"The American Society of Mechanical Engineers")</f>
        <v>The American Society of Mechanical Engineers</v>
      </c>
      <c r="D53" s="20" t="str">
        <f ca="1">IFERROR(__xludf.DUMMYFUNCTION("""COMPUTED_VALUE"""),"0742-4795")</f>
        <v>0742-4795</v>
      </c>
      <c r="E53" s="32" t="str">
        <f ca="1">IFERROR(__xludf.DUMMYFUNCTION("""COMPUTED_VALUE"""),"1984-2021")</f>
        <v>1984-2021</v>
      </c>
      <c r="F53" s="22" t="str">
        <f ca="1">IFERROR(__xludf.DUMMYFUNCTION("""COMPUTED_VALUE"""),"SCIE, SCOPUS")</f>
        <v>SCIE, SCOPUS</v>
      </c>
      <c r="G53" s="23" t="str">
        <f ca="1">IFERROR(__xludf.DUMMYFUNCTION("""COMPUTED_VALUE"""),"http://www.riss.kr/link?id=S16077")</f>
        <v>http://www.riss.kr/link?id=S16077</v>
      </c>
      <c r="H53" s="24" t="str">
        <f ca="1">IFERROR(__xludf.DUMMYFUNCTION("""COMPUTED_VALUE"""),"O")</f>
        <v>O</v>
      </c>
    </row>
    <row r="54" spans="1:8" ht="26.25" customHeight="1">
      <c r="A54" s="154">
        <f t="shared" ca="1" si="0"/>
        <v>51</v>
      </c>
      <c r="B54" s="19" t="str">
        <f ca="1">IFERROR(__xludf.DUMMYFUNCTION("""COMPUTED_VALUE"""),"Journal of Engineering Mechanics")</f>
        <v>Journal of Engineering Mechanics</v>
      </c>
      <c r="C54" s="19" t="str">
        <f ca="1">IFERROR(__xludf.DUMMYFUNCTION("""COMPUTED_VALUE"""),"American Society of Civil Engineers")</f>
        <v>American Society of Civil Engineers</v>
      </c>
      <c r="D54" s="20" t="str">
        <f ca="1">IFERROR(__xludf.DUMMYFUNCTION("""COMPUTED_VALUE"""),"0733-9399")</f>
        <v>0733-9399</v>
      </c>
      <c r="E54" s="32" t="str">
        <f ca="1">IFERROR(__xludf.DUMMYFUNCTION("""COMPUTED_VALUE"""),"1975-2004, 2010-2021")</f>
        <v>1975-2004, 2010-2021</v>
      </c>
      <c r="F54" s="22" t="str">
        <f ca="1">IFERROR(__xludf.DUMMYFUNCTION("""COMPUTED_VALUE"""),"SCIE, SCOPUS")</f>
        <v>SCIE, SCOPUS</v>
      </c>
      <c r="G54" s="23" t="str">
        <f ca="1">IFERROR(__xludf.DUMMYFUNCTION("""COMPUTED_VALUE"""),"http://www.riss.kr/link?id=S87729")</f>
        <v>http://www.riss.kr/link?id=S87729</v>
      </c>
      <c r="H54" s="24" t="str">
        <f ca="1">IFERROR(__xludf.DUMMYFUNCTION("""COMPUTED_VALUE"""),"O")</f>
        <v>O</v>
      </c>
    </row>
    <row r="55" spans="1:8" ht="26.25" customHeight="1">
      <c r="A55" s="154">
        <f t="shared" ca="1" si="0"/>
        <v>52</v>
      </c>
      <c r="B55" s="31" t="str">
        <f ca="1">IFERROR(__xludf.DUMMYFUNCTION("""COMPUTED_VALUE"""),"Journal of Enhanced Heat Transfer")</f>
        <v>Journal of Enhanced Heat Transfer</v>
      </c>
      <c r="C55" s="19" t="str">
        <f ca="1">IFERROR(__xludf.DUMMYFUNCTION("""COMPUTED_VALUE"""),"Begell House, Inc.")</f>
        <v>Begell House, Inc.</v>
      </c>
      <c r="D55" s="20" t="str">
        <f ca="1">IFERROR(__xludf.DUMMYFUNCTION("""COMPUTED_VALUE"""),"1065-5131")</f>
        <v>1065-5131</v>
      </c>
      <c r="E55" s="32" t="str">
        <f ca="1">IFERROR(__xludf.DUMMYFUNCTION("""COMPUTED_VALUE"""),"2010-2015")</f>
        <v>2010-2015</v>
      </c>
      <c r="F55" s="22" t="str">
        <f ca="1">IFERROR(__xludf.DUMMYFUNCTION("""COMPUTED_VALUE"""),"SCIE, SCOPUS")</f>
        <v>SCIE, SCOPUS</v>
      </c>
      <c r="G55" s="23" t="str">
        <f ca="1">IFERROR(__xludf.DUMMYFUNCTION("""COMPUTED_VALUE"""),"http://www.riss.kr/link?id=S402394")</f>
        <v>http://www.riss.kr/link?id=S402394</v>
      </c>
      <c r="H55" s="24" t="str">
        <f ca="1">IFERROR(__xludf.DUMMYFUNCTION("""COMPUTED_VALUE"""),"X")</f>
        <v>X</v>
      </c>
    </row>
    <row r="56" spans="1:8" ht="26.25" customHeight="1">
      <c r="A56" s="154">
        <f t="shared" ca="1" si="0"/>
        <v>53</v>
      </c>
      <c r="B56" s="19" t="str">
        <f ca="1">IFERROR(__xludf.DUMMYFUNCTION("""COMPUTED_VALUE"""),"Journal of Heat Transfer")</f>
        <v>Journal of Heat Transfer</v>
      </c>
      <c r="C56" s="19" t="str">
        <f ca="1">IFERROR(__xludf.DUMMYFUNCTION("""COMPUTED_VALUE"""),"The American Society of Mechanical Engineers")</f>
        <v>The American Society of Mechanical Engineers</v>
      </c>
      <c r="D56" s="20" t="str">
        <f ca="1">IFERROR(__xludf.DUMMYFUNCTION("""COMPUTED_VALUE"""),"0022-1481")</f>
        <v>0022-1481</v>
      </c>
      <c r="E56" s="32" t="str">
        <f ca="1">IFERROR(__xludf.DUMMYFUNCTION("""COMPUTED_VALUE"""),"1966, 1968-2004, 2010-2021")</f>
        <v>1966, 1968-2004, 2010-2021</v>
      </c>
      <c r="F56" s="22" t="str">
        <f ca="1">IFERROR(__xludf.DUMMYFUNCTION("""COMPUTED_VALUE"""),"SCIE, SCOPUS")</f>
        <v>SCIE, SCOPUS</v>
      </c>
      <c r="G56" s="23" t="str">
        <f ca="1">IFERROR(__xludf.DUMMYFUNCTION("""COMPUTED_VALUE"""),"http://www.riss.kr/link?id=S11645644")</f>
        <v>http://www.riss.kr/link?id=S11645644</v>
      </c>
      <c r="H56" s="24" t="str">
        <f ca="1">IFERROR(__xludf.DUMMYFUNCTION("""COMPUTED_VALUE"""),"O")</f>
        <v>O</v>
      </c>
    </row>
    <row r="57" spans="1:8" ht="26.25" customHeight="1">
      <c r="A57" s="154">
        <f t="shared" ca="1" si="0"/>
        <v>54</v>
      </c>
      <c r="B57" s="19" t="str">
        <f ca="1">IFERROR(__xludf.DUMMYFUNCTION("""COMPUTED_VALUE"""),"Journal of Manufacturing science and Engineering")</f>
        <v>Journal of Manufacturing science and Engineering</v>
      </c>
      <c r="C57" s="19" t="str">
        <f ca="1">IFERROR(__xludf.DUMMYFUNCTION("""COMPUTED_VALUE"""),"The American Society of Mechanical Engineers")</f>
        <v>The American Society of Mechanical Engineers</v>
      </c>
      <c r="D57" s="20" t="str">
        <f ca="1">IFERROR(__xludf.DUMMYFUNCTION("""COMPUTED_VALUE"""),"1087-1357")</f>
        <v>1087-1357</v>
      </c>
      <c r="E57" s="32" t="str">
        <f ca="1">IFERROR(__xludf.DUMMYFUNCTION("""COMPUTED_VALUE"""),"1997-2008, 2010-2021")</f>
        <v>1997-2008, 2010-2021</v>
      </c>
      <c r="F57" s="22" t="str">
        <f ca="1">IFERROR(__xludf.DUMMYFUNCTION("""COMPUTED_VALUE"""),"SCIE, SCOPUS")</f>
        <v>SCIE, SCOPUS</v>
      </c>
      <c r="G57" s="23" t="str">
        <f ca="1">IFERROR(__xludf.DUMMYFUNCTION("""COMPUTED_VALUE"""),"http://www.riss.kr/link?id=S5542")</f>
        <v>http://www.riss.kr/link?id=S5542</v>
      </c>
      <c r="H57" s="24" t="str">
        <f ca="1">IFERROR(__xludf.DUMMYFUNCTION("""COMPUTED_VALUE"""),"O")</f>
        <v>O</v>
      </c>
    </row>
    <row r="58" spans="1:8" ht="26.25" customHeight="1">
      <c r="A58" s="154">
        <f t="shared" ca="1" si="0"/>
        <v>55</v>
      </c>
      <c r="B58" s="31" t="str">
        <f ca="1">IFERROR(__xludf.DUMMYFUNCTION("""COMPUTED_VALUE"""),"Journal of Manufacturing Systems")</f>
        <v>Journal of Manufacturing Systems</v>
      </c>
      <c r="C58" s="19" t="str">
        <f ca="1">IFERROR(__xludf.DUMMYFUNCTION("""COMPUTED_VALUE"""),"Elsevier Ltd")</f>
        <v>Elsevier Ltd</v>
      </c>
      <c r="D58" s="20" t="str">
        <f ca="1">IFERROR(__xludf.DUMMYFUNCTION("""COMPUTED_VALUE"""),"0278-6125")</f>
        <v>0278-6125</v>
      </c>
      <c r="E58" s="32" t="str">
        <f ca="1">IFERROR(__xludf.DUMMYFUNCTION("""COMPUTED_VALUE"""),"1984-1993, 1995-2004, 2013")</f>
        <v>1984-1993, 1995-2004, 2013</v>
      </c>
      <c r="F58" s="22" t="str">
        <f ca="1">IFERROR(__xludf.DUMMYFUNCTION("""COMPUTED_VALUE"""),"SCIE, SCOPUS")</f>
        <v>SCIE, SCOPUS</v>
      </c>
      <c r="G58" s="23" t="str">
        <f ca="1">IFERROR(__xludf.DUMMYFUNCTION("""COMPUTED_VALUE"""),"http://www.riss.kr/link?id=S12868")</f>
        <v>http://www.riss.kr/link?id=S12868</v>
      </c>
      <c r="H58" s="24" t="str">
        <f ca="1">IFERROR(__xludf.DUMMYFUNCTION("""COMPUTED_VALUE"""),"X")</f>
        <v>X</v>
      </c>
    </row>
    <row r="59" spans="1:8" ht="26.25" customHeight="1">
      <c r="A59" s="154">
        <f t="shared" ca="1" si="0"/>
        <v>56</v>
      </c>
      <c r="B59" s="31" t="str">
        <f ca="1">IFERROR(__xludf.DUMMYFUNCTION("""COMPUTED_VALUE"""),"Journal of Mechanical Design")</f>
        <v>Journal of Mechanical Design</v>
      </c>
      <c r="C59" s="19" t="str">
        <f ca="1">IFERROR(__xludf.DUMMYFUNCTION("""COMPUTED_VALUE"""),"The American Society of Mechanical Engineers")</f>
        <v>The American Society of Mechanical Engineers</v>
      </c>
      <c r="D59" s="20" t="str">
        <f ca="1">IFERROR(__xludf.DUMMYFUNCTION("""COMPUTED_VALUE"""),"1050-0472")</f>
        <v>1050-0472</v>
      </c>
      <c r="E59" s="32" t="str">
        <f ca="1">IFERROR(__xludf.DUMMYFUNCTION("""COMPUTED_VALUE"""),"1990-2021")</f>
        <v>1990-2021</v>
      </c>
      <c r="F59" s="22" t="str">
        <f ca="1">IFERROR(__xludf.DUMMYFUNCTION("""COMPUTED_VALUE"""),"SCIE")</f>
        <v>SCIE</v>
      </c>
      <c r="G59" s="23" t="str">
        <f ca="1">IFERROR(__xludf.DUMMYFUNCTION("""COMPUTED_VALUE"""),"http://www.riss.kr/link?id=S14006")</f>
        <v>http://www.riss.kr/link?id=S14006</v>
      </c>
      <c r="H59" s="95" t="str">
        <f ca="1">IFERROR(__xludf.DUMMYFUNCTION("""COMPUTED_VALUE"""),"O")</f>
        <v>O</v>
      </c>
    </row>
    <row r="60" spans="1:8" ht="26.25" customHeight="1">
      <c r="A60" s="154">
        <f t="shared" ca="1" si="0"/>
        <v>57</v>
      </c>
      <c r="B60" s="19" t="str">
        <f ca="1">IFERROR(__xludf.DUMMYFUNCTION("""COMPUTED_VALUE"""),"Journal of Offshore Mechanics and Arctic Engineering")</f>
        <v>Journal of Offshore Mechanics and Arctic Engineering</v>
      </c>
      <c r="C60" s="19" t="str">
        <f ca="1">IFERROR(__xludf.DUMMYFUNCTION("""COMPUTED_VALUE"""),"The American Society of Mechanical Engineers")</f>
        <v>The American Society of Mechanical Engineers</v>
      </c>
      <c r="D60" s="20" t="str">
        <f ca="1">IFERROR(__xludf.DUMMYFUNCTION("""COMPUTED_VALUE"""),"0892-7219")</f>
        <v>0892-7219</v>
      </c>
      <c r="E60" s="32" t="str">
        <f ca="1">IFERROR(__xludf.DUMMYFUNCTION("""COMPUTED_VALUE"""),"2010-2021")</f>
        <v>2010-2021</v>
      </c>
      <c r="F60" s="22" t="str">
        <f ca="1">IFERROR(__xludf.DUMMYFUNCTION("""COMPUTED_VALUE"""),"SCIE, SCOPUS")</f>
        <v>SCIE, SCOPUS</v>
      </c>
      <c r="G60" s="23" t="str">
        <f ca="1">IFERROR(__xludf.DUMMYFUNCTION("""COMPUTED_VALUE"""),"http://www.riss.kr/link?id=S97822")</f>
        <v>http://www.riss.kr/link?id=S97822</v>
      </c>
      <c r="H60" s="24" t="str">
        <f ca="1">IFERROR(__xludf.DUMMYFUNCTION("""COMPUTED_VALUE"""),"O")</f>
        <v>O</v>
      </c>
    </row>
    <row r="61" spans="1:8" ht="26.25" customHeight="1">
      <c r="A61" s="154">
        <f t="shared" ca="1" si="0"/>
        <v>58</v>
      </c>
      <c r="B61" s="19" t="str">
        <f ca="1">IFERROR(__xludf.DUMMYFUNCTION("""COMPUTED_VALUE"""),"Journal of Pressure Vessel Technology")</f>
        <v>Journal of Pressure Vessel Technology</v>
      </c>
      <c r="C61" s="19" t="str">
        <f ca="1">IFERROR(__xludf.DUMMYFUNCTION("""COMPUTED_VALUE"""),"The American Society of Mechanical Engineers")</f>
        <v>The American Society of Mechanical Engineers</v>
      </c>
      <c r="D61" s="20" t="str">
        <f ca="1">IFERROR(__xludf.DUMMYFUNCTION("""COMPUTED_VALUE"""),"0094-9930")</f>
        <v>0094-9930</v>
      </c>
      <c r="E61" s="32" t="str">
        <f ca="1">IFERROR(__xludf.DUMMYFUNCTION("""COMPUTED_VALUE"""),"1975, 2010-2021")</f>
        <v>1975, 2010-2021</v>
      </c>
      <c r="F61" s="22" t="str">
        <f ca="1">IFERROR(__xludf.DUMMYFUNCTION("""COMPUTED_VALUE"""),"SCIE, SCOPUS")</f>
        <v>SCIE, SCOPUS</v>
      </c>
      <c r="G61" s="23" t="str">
        <f ca="1">IFERROR(__xludf.DUMMYFUNCTION("""COMPUTED_VALUE"""),"http://www.riss.kr/link?id=S16063")</f>
        <v>http://www.riss.kr/link?id=S16063</v>
      </c>
      <c r="H61" s="24" t="str">
        <f ca="1">IFERROR(__xludf.DUMMYFUNCTION("""COMPUTED_VALUE"""),"O")</f>
        <v>O</v>
      </c>
    </row>
    <row r="62" spans="1:8" ht="26.25" customHeight="1">
      <c r="A62" s="154">
        <f t="shared" ca="1" si="0"/>
        <v>59</v>
      </c>
      <c r="B62" s="19" t="str">
        <f ca="1">IFERROR(__xludf.DUMMYFUNCTION("""COMPUTED_VALUE"""),"Journal of Quality Technology")</f>
        <v>Journal of Quality Technology</v>
      </c>
      <c r="C62" s="19" t="str">
        <f ca="1">IFERROR(__xludf.DUMMYFUNCTION("""COMPUTED_VALUE"""),"Taylor &amp; Francis")</f>
        <v>Taylor &amp; Francis</v>
      </c>
      <c r="D62" s="20" t="str">
        <f ca="1">IFERROR(__xludf.DUMMYFUNCTION("""COMPUTED_VALUE"""),"0022-4065")</f>
        <v>0022-4065</v>
      </c>
      <c r="E62" s="32" t="str">
        <f ca="1">IFERROR(__xludf.DUMMYFUNCTION("""COMPUTED_VALUE"""),"1969-1987, 1990-1992, 2010-2021")</f>
        <v>1969-1987, 1990-1992, 2010-2021</v>
      </c>
      <c r="F62" s="22" t="str">
        <f ca="1">IFERROR(__xludf.DUMMYFUNCTION("""COMPUTED_VALUE"""),"SCIE, SCOPUS")</f>
        <v>SCIE, SCOPUS</v>
      </c>
      <c r="G62" s="23" t="str">
        <f ca="1">IFERROR(__xludf.DUMMYFUNCTION("""COMPUTED_VALUE"""),"http://www.riss.kr/link?id=S16060")</f>
        <v>http://www.riss.kr/link?id=S16060</v>
      </c>
      <c r="H62" s="24" t="str">
        <f ca="1">IFERROR(__xludf.DUMMYFUNCTION("""COMPUTED_VALUE"""),"O")</f>
        <v>O</v>
      </c>
    </row>
    <row r="63" spans="1:8" ht="26.25" customHeight="1">
      <c r="A63" s="154">
        <f t="shared" ca="1" si="0"/>
        <v>60</v>
      </c>
      <c r="B63" s="19" t="str">
        <f ca="1">IFERROR(__xludf.DUMMYFUNCTION("""COMPUTED_VALUE"""),"Journal of Tribology")</f>
        <v>Journal of Tribology</v>
      </c>
      <c r="C63" s="19" t="str">
        <f ca="1">IFERROR(__xludf.DUMMYFUNCTION("""COMPUTED_VALUE"""),"The American Society of Mechanical Engineers")</f>
        <v>The American Society of Mechanical Engineers</v>
      </c>
      <c r="D63" s="20" t="str">
        <f ca="1">IFERROR(__xludf.DUMMYFUNCTION("""COMPUTED_VALUE"""),"0742-4787")</f>
        <v>0742-4787</v>
      </c>
      <c r="E63" s="32" t="str">
        <f ca="1">IFERROR(__xludf.DUMMYFUNCTION("""COMPUTED_VALUE"""),"1984-2021")</f>
        <v>1984-2021</v>
      </c>
      <c r="F63" s="22" t="str">
        <f ca="1">IFERROR(__xludf.DUMMYFUNCTION("""COMPUTED_VALUE"""),"SCIE, SCOPUS")</f>
        <v>SCIE, SCOPUS</v>
      </c>
      <c r="G63" s="23" t="str">
        <f ca="1">IFERROR(__xludf.DUMMYFUNCTION("""COMPUTED_VALUE"""),"http://www.riss.kr/link?id=S15596")</f>
        <v>http://www.riss.kr/link?id=S15596</v>
      </c>
      <c r="H63" s="24" t="str">
        <f ca="1">IFERROR(__xludf.DUMMYFUNCTION("""COMPUTED_VALUE"""),"O")</f>
        <v>O</v>
      </c>
    </row>
    <row r="64" spans="1:8" ht="26.25" customHeight="1">
      <c r="A64" s="154">
        <f t="shared" ca="1" si="0"/>
        <v>61</v>
      </c>
      <c r="B64" s="19" t="str">
        <f ca="1">IFERROR(__xludf.DUMMYFUNCTION("""COMPUTED_VALUE"""),"Journal of Turbomachinery")</f>
        <v>Journal of Turbomachinery</v>
      </c>
      <c r="C64" s="19" t="str">
        <f ca="1">IFERROR(__xludf.DUMMYFUNCTION("""COMPUTED_VALUE"""),"The American Society of Mechanical Engineers")</f>
        <v>The American Society of Mechanical Engineers</v>
      </c>
      <c r="D64" s="20" t="str">
        <f ca="1">IFERROR(__xludf.DUMMYFUNCTION("""COMPUTED_VALUE"""),"0889-504X")</f>
        <v>0889-504X</v>
      </c>
      <c r="E64" s="32" t="str">
        <f ca="1">IFERROR(__xludf.DUMMYFUNCTION("""COMPUTED_VALUE"""),"2010-2021")</f>
        <v>2010-2021</v>
      </c>
      <c r="F64" s="22" t="str">
        <f ca="1">IFERROR(__xludf.DUMMYFUNCTION("""COMPUTED_VALUE"""),"SCIE, SCOPUS")</f>
        <v>SCIE, SCOPUS</v>
      </c>
      <c r="G64" s="23" t="str">
        <f ca="1">IFERROR(__xludf.DUMMYFUNCTION("""COMPUTED_VALUE"""),"http://www.riss.kr/link?id=S11572188")</f>
        <v>http://www.riss.kr/link?id=S11572188</v>
      </c>
      <c r="H64" s="24" t="str">
        <f ca="1">IFERROR(__xludf.DUMMYFUNCTION("""COMPUTED_VALUE"""),"O")</f>
        <v>O</v>
      </c>
    </row>
    <row r="65" spans="1:8" ht="26.25" customHeight="1">
      <c r="A65" s="154">
        <f t="shared" ca="1" si="0"/>
        <v>62</v>
      </c>
      <c r="B65" s="19" t="str">
        <f ca="1">IFERROR(__xludf.DUMMYFUNCTION("""COMPUTED_VALUE"""),"Journal of Vibration and Acoustics")</f>
        <v>Journal of Vibration and Acoustics</v>
      </c>
      <c r="C65" s="19" t="str">
        <f ca="1">IFERROR(__xludf.DUMMYFUNCTION("""COMPUTED_VALUE"""),"The American Society of Mechanical Engineers")</f>
        <v>The American Society of Mechanical Engineers</v>
      </c>
      <c r="D65" s="20" t="str">
        <f ca="1">IFERROR(__xludf.DUMMYFUNCTION("""COMPUTED_VALUE"""),"1048-9002")</f>
        <v>1048-9002</v>
      </c>
      <c r="E65" s="32" t="str">
        <f ca="1">IFERROR(__xludf.DUMMYFUNCTION("""COMPUTED_VALUE"""),"2010-2021")</f>
        <v>2010-2021</v>
      </c>
      <c r="F65" s="22" t="str">
        <f ca="1">IFERROR(__xludf.DUMMYFUNCTION("""COMPUTED_VALUE"""),"SCIE")</f>
        <v>SCIE</v>
      </c>
      <c r="G65" s="23" t="str">
        <f ca="1">IFERROR(__xludf.DUMMYFUNCTION("""COMPUTED_VALUE"""),"http://www.riss.kr/link?id=S28149")</f>
        <v>http://www.riss.kr/link?id=S28149</v>
      </c>
      <c r="H65" s="24" t="str">
        <f ca="1">IFERROR(__xludf.DUMMYFUNCTION("""COMPUTED_VALUE"""),"O")</f>
        <v>O</v>
      </c>
    </row>
    <row r="66" spans="1:8" ht="26.25" customHeight="1">
      <c r="A66" s="154">
        <f t="shared" ca="1" si="0"/>
        <v>63</v>
      </c>
      <c r="B66" s="19" t="str">
        <f ca="1">IFERROR(__xludf.DUMMYFUNCTION("""COMPUTED_VALUE"""),"Machine Design")</f>
        <v>Machine Design</v>
      </c>
      <c r="C66" s="19" t="str">
        <f ca="1">IFERROR(__xludf.DUMMYFUNCTION("""COMPUTED_VALUE"""),"Penton")</f>
        <v>Penton</v>
      </c>
      <c r="D66" s="20" t="str">
        <f ca="1">IFERROR(__xludf.DUMMYFUNCTION("""COMPUTED_VALUE"""),"0024-9114")</f>
        <v>0024-9114</v>
      </c>
      <c r="E66" s="32" t="str">
        <f ca="1">IFERROR(__xludf.DUMMYFUNCTION("""COMPUTED_VALUE"""),"1952-1959, 1978-2021")</f>
        <v>1952-1959, 1978-2021</v>
      </c>
      <c r="F66" s="22" t="str">
        <f ca="1">IFERROR(__xludf.DUMMYFUNCTION("""COMPUTED_VALUE"""),"-")</f>
        <v>-</v>
      </c>
      <c r="G66" s="23" t="str">
        <f ca="1">IFERROR(__xludf.DUMMYFUNCTION("""COMPUTED_VALUE"""),"http://www.riss.kr/link?id=S16024")</f>
        <v>http://www.riss.kr/link?id=S16024</v>
      </c>
      <c r="H66" s="24" t="str">
        <f ca="1">IFERROR(__xludf.DUMMYFUNCTION("""COMPUTED_VALUE"""),"O")</f>
        <v>O</v>
      </c>
    </row>
    <row r="67" spans="1:8" ht="26.25" customHeight="1">
      <c r="A67" s="154">
        <f t="shared" ca="1" si="0"/>
        <v>64</v>
      </c>
      <c r="B67" s="31" t="str">
        <f ca="1">IFERROR(__xludf.DUMMYFUNCTION("""COMPUTED_VALUE"""),"Machinery")</f>
        <v>Machinery</v>
      </c>
      <c r="C67" s="19" t="str">
        <f ca="1">IFERROR(__xludf.DUMMYFUNCTION("""COMPUTED_VALUE"""),"Findlay Media Ltd.")</f>
        <v>Findlay Media Ltd.</v>
      </c>
      <c r="D67" s="20" t="str">
        <f ca="1">IFERROR(__xludf.DUMMYFUNCTION("""COMPUTED_VALUE"""),"1753-0482")</f>
        <v>1753-0482</v>
      </c>
      <c r="E67" s="32" t="str">
        <f ca="1">IFERROR(__xludf.DUMMYFUNCTION("""COMPUTED_VALUE"""),"2010-2019")</f>
        <v>2010-2019</v>
      </c>
      <c r="F67" s="22" t="str">
        <f ca="1">IFERROR(__xludf.DUMMYFUNCTION("""COMPUTED_VALUE"""),"-")</f>
        <v>-</v>
      </c>
      <c r="G67" s="23" t="str">
        <f ca="1">IFERROR(__xludf.DUMMYFUNCTION("""COMPUTED_VALUE"""),"http://www.riss.kr/link?id=S20011296")</f>
        <v>http://www.riss.kr/link?id=S20011296</v>
      </c>
      <c r="H67" s="24" t="str">
        <f ca="1">IFERROR(__xludf.DUMMYFUNCTION("""COMPUTED_VALUE"""),"X")</f>
        <v>X</v>
      </c>
    </row>
    <row r="68" spans="1:8" ht="26.25" customHeight="1">
      <c r="A68" s="154">
        <f t="shared" ca="1" si="0"/>
        <v>65</v>
      </c>
      <c r="B68" s="19" t="str">
        <f ca="1">IFERROR(__xludf.DUMMYFUNCTION("""COMPUTED_VALUE"""),"Machining science and Technology")</f>
        <v>Machining science and Technology</v>
      </c>
      <c r="C68" s="19" t="str">
        <f ca="1">IFERROR(__xludf.DUMMYFUNCTION("""COMPUTED_VALUE"""),"Taylor &amp; Francis")</f>
        <v>Taylor &amp; Francis</v>
      </c>
      <c r="D68" s="20" t="str">
        <f ca="1">IFERROR(__xludf.DUMMYFUNCTION("""COMPUTED_VALUE"""),"1091-0344")</f>
        <v>1091-0344</v>
      </c>
      <c r="E68" s="32" t="str">
        <f ca="1">IFERROR(__xludf.DUMMYFUNCTION("""COMPUTED_VALUE"""),"2010-2021")</f>
        <v>2010-2021</v>
      </c>
      <c r="F68" s="22" t="str">
        <f ca="1">IFERROR(__xludf.DUMMYFUNCTION("""COMPUTED_VALUE"""),"SCIE, SCOPUS")</f>
        <v>SCIE, SCOPUS</v>
      </c>
      <c r="G68" s="23" t="str">
        <f ca="1">IFERROR(__xludf.DUMMYFUNCTION("""COMPUTED_VALUE"""),"http://www.riss.kr/link?id=S403110")</f>
        <v>http://www.riss.kr/link?id=S403110</v>
      </c>
      <c r="H68" s="24" t="str">
        <f ca="1">IFERROR(__xludf.DUMMYFUNCTION("""COMPUTED_VALUE"""),"O")</f>
        <v>O</v>
      </c>
    </row>
    <row r="69" spans="1:8" ht="26.25" customHeight="1">
      <c r="A69" s="154">
        <f t="shared" ca="1" si="0"/>
        <v>66</v>
      </c>
      <c r="B69" s="31" t="str">
        <f ca="1">IFERROR(__xludf.DUMMYFUNCTION("""COMPUTED_VALUE"""),"Mechanical Engineering")</f>
        <v>Mechanical Engineering</v>
      </c>
      <c r="C69" s="19" t="str">
        <f ca="1">IFERROR(__xludf.DUMMYFUNCTION("""COMPUTED_VALUE"""),"The American Society of Mechanical Engineers ")</f>
        <v xml:space="preserve">The American Society of Mechanical Engineers </v>
      </c>
      <c r="D69" s="20" t="str">
        <f ca="1">IFERROR(__xludf.DUMMYFUNCTION("""COMPUTED_VALUE"""),"0025-6501")</f>
        <v>0025-6501</v>
      </c>
      <c r="E69" s="32" t="str">
        <f ca="1">IFERROR(__xludf.DUMMYFUNCTION("""COMPUTED_VALUE"""),"1961, 1964-1965, 1969-1970, 1973, 1986, 1999")</f>
        <v>1961, 1964-1965, 1969-1970, 1973, 1986, 1999</v>
      </c>
      <c r="F69" s="22" t="str">
        <f ca="1">IFERROR(__xludf.DUMMYFUNCTION("""COMPUTED_VALUE"""),"SCIE")</f>
        <v>SCIE</v>
      </c>
      <c r="G69" s="23" t="str">
        <f ca="1">IFERROR(__xludf.DUMMYFUNCTION("""COMPUTED_VALUE"""),"http://www.riss.kr/link?id=S16015")</f>
        <v>http://www.riss.kr/link?id=S16015</v>
      </c>
      <c r="H69" s="24" t="str">
        <f ca="1">IFERROR(__xludf.DUMMYFUNCTION("""COMPUTED_VALUE"""),"X")</f>
        <v>X</v>
      </c>
    </row>
    <row r="70" spans="1:8" ht="26.25" customHeight="1">
      <c r="A70" s="154">
        <f t="shared" ca="1" si="0"/>
        <v>67</v>
      </c>
      <c r="B70" s="19" t="str">
        <f ca="1">IFERROR(__xludf.DUMMYFUNCTION("""COMPUTED_VALUE"""),"Mechanics Based Design of Structures and Machines")</f>
        <v>Mechanics Based Design of Structures and Machines</v>
      </c>
      <c r="C70" s="19" t="str">
        <f ca="1">IFERROR(__xludf.DUMMYFUNCTION("""COMPUTED_VALUE"""),"Taylor &amp; Francis")</f>
        <v>Taylor &amp; Francis</v>
      </c>
      <c r="D70" s="20" t="str">
        <f ca="1">IFERROR(__xludf.DUMMYFUNCTION("""COMPUTED_VALUE"""),"1539-7734")</f>
        <v>1539-7734</v>
      </c>
      <c r="E70" s="32" t="str">
        <f ca="1">IFERROR(__xludf.DUMMYFUNCTION("""COMPUTED_VALUE"""),"2003-2008, 2010-2020")</f>
        <v>2003-2008, 2010-2020</v>
      </c>
      <c r="F70" s="22" t="str">
        <f ca="1">IFERROR(__xludf.DUMMYFUNCTION("""COMPUTED_VALUE"""),"SCIE, SCOPUS")</f>
        <v>SCIE, SCOPUS</v>
      </c>
      <c r="G70" s="23" t="str">
        <f ca="1">IFERROR(__xludf.DUMMYFUNCTION("""COMPUTED_VALUE"""),"http://www.riss.kr/link?id=S20010548")</f>
        <v>http://www.riss.kr/link?id=S20010548</v>
      </c>
      <c r="H70" s="24" t="str">
        <f ca="1">IFERROR(__xludf.DUMMYFUNCTION("""COMPUTED_VALUE"""),"X")</f>
        <v>X</v>
      </c>
    </row>
    <row r="71" spans="1:8" ht="26.25" customHeight="1">
      <c r="A71" s="154">
        <f t="shared" ca="1" si="0"/>
        <v>68</v>
      </c>
      <c r="B71" s="19" t="str">
        <f ca="1">IFERROR(__xludf.DUMMYFUNCTION("""COMPUTED_VALUE"""),"Mechanics of Advanced Materials and Structures")</f>
        <v>Mechanics of Advanced Materials and Structures</v>
      </c>
      <c r="C71" s="19" t="str">
        <f ca="1">IFERROR(__xludf.DUMMYFUNCTION("""COMPUTED_VALUE"""),"Taylor &amp; Francis")</f>
        <v>Taylor &amp; Francis</v>
      </c>
      <c r="D71" s="20" t="str">
        <f ca="1">IFERROR(__xludf.DUMMYFUNCTION("""COMPUTED_VALUE"""),"1537-6494")</f>
        <v>1537-6494</v>
      </c>
      <c r="E71" s="32" t="str">
        <f ca="1">IFERROR(__xludf.DUMMYFUNCTION("""COMPUTED_VALUE"""),"2010-2021")</f>
        <v>2010-2021</v>
      </c>
      <c r="F71" s="22" t="str">
        <f ca="1">IFERROR(__xludf.DUMMYFUNCTION("""COMPUTED_VALUE"""),"SCIE")</f>
        <v>SCIE</v>
      </c>
      <c r="G71" s="23" t="str">
        <f ca="1">IFERROR(__xludf.DUMMYFUNCTION("""COMPUTED_VALUE"""),"http://www.riss.kr/link?id=S20010588")</f>
        <v>http://www.riss.kr/link?id=S20010588</v>
      </c>
      <c r="H71" s="24" t="str">
        <f ca="1">IFERROR(__xludf.DUMMYFUNCTION("""COMPUTED_VALUE"""),"O")</f>
        <v>O</v>
      </c>
    </row>
    <row r="72" spans="1:8" ht="26.25" customHeight="1">
      <c r="A72" s="154">
        <f t="shared" ca="1" si="0"/>
        <v>69</v>
      </c>
      <c r="B72" s="31" t="str">
        <f ca="1">IFERROR(__xludf.DUMMYFUNCTION("""COMPUTED_VALUE"""),"Mechanics of Solids")</f>
        <v>Mechanics of Solids</v>
      </c>
      <c r="C72" s="19" t="str">
        <f ca="1">IFERROR(__xludf.DUMMYFUNCTION("""COMPUTED_VALUE"""),"Pleiades Publishing, Inc.")</f>
        <v>Pleiades Publishing, Inc.</v>
      </c>
      <c r="D72" s="20" t="str">
        <f ca="1">IFERROR(__xludf.DUMMYFUNCTION("""COMPUTED_VALUE"""),"0025-6544")</f>
        <v>0025-6544</v>
      </c>
      <c r="E72" s="32" t="str">
        <f ca="1">IFERROR(__xludf.DUMMYFUNCTION("""COMPUTED_VALUE"""),"1978-2019")</f>
        <v>1978-2019</v>
      </c>
      <c r="F72" s="22" t="str">
        <f ca="1">IFERROR(__xludf.DUMMYFUNCTION("""COMPUTED_VALUE"""),"SCIE")</f>
        <v>SCIE</v>
      </c>
      <c r="G72" s="23" t="str">
        <f ca="1">IFERROR(__xludf.DUMMYFUNCTION("""COMPUTED_VALUE"""),"http://www.riss.kr/link?id=S17254")</f>
        <v>http://www.riss.kr/link?id=S17254</v>
      </c>
      <c r="H72" s="24" t="str">
        <f ca="1">IFERROR(__xludf.DUMMYFUNCTION("""COMPUTED_VALUE"""),"X")</f>
        <v>X</v>
      </c>
    </row>
    <row r="73" spans="1:8" ht="26.25" customHeight="1">
      <c r="A73" s="154">
        <f t="shared" ca="1" si="0"/>
        <v>70</v>
      </c>
      <c r="B73" s="31" t="str">
        <f ca="1">IFERROR(__xludf.DUMMYFUNCTION("""COMPUTED_VALUE"""),"Motor Trend")</f>
        <v>Motor Trend</v>
      </c>
      <c r="C73" s="19" t="str">
        <f ca="1">IFERROR(__xludf.DUMMYFUNCTION("""COMPUTED_VALUE"""),"The Enthusiast Network")</f>
        <v>The Enthusiast Network</v>
      </c>
      <c r="D73" s="20" t="str">
        <f ca="1">IFERROR(__xludf.DUMMYFUNCTION("""COMPUTED_VALUE"""),"0027-2094")</f>
        <v>0027-2094</v>
      </c>
      <c r="E73" s="32" t="str">
        <f ca="1">IFERROR(__xludf.DUMMYFUNCTION("""COMPUTED_VALUE"""),"2010-2019")</f>
        <v>2010-2019</v>
      </c>
      <c r="F73" s="22" t="str">
        <f ca="1">IFERROR(__xludf.DUMMYFUNCTION("""COMPUTED_VALUE"""),"-")</f>
        <v>-</v>
      </c>
      <c r="G73" s="23" t="str">
        <f ca="1">IFERROR(__xludf.DUMMYFUNCTION("""COMPUTED_VALUE"""),"http://www.riss.kr/link?id=S114686")</f>
        <v>http://www.riss.kr/link?id=S114686</v>
      </c>
      <c r="H73" s="24" t="str">
        <f ca="1">IFERROR(__xludf.DUMMYFUNCTION("""COMPUTED_VALUE"""),"X")</f>
        <v>X</v>
      </c>
    </row>
    <row r="74" spans="1:8" ht="26.25" customHeight="1">
      <c r="A74" s="154">
        <f t="shared" ca="1" si="0"/>
        <v>71</v>
      </c>
      <c r="B74" s="19" t="str">
        <f ca="1">IFERROR(__xludf.DUMMYFUNCTION("""COMPUTED_VALUE"""),"Nondestructive Testing and Evaluation")</f>
        <v>Nondestructive Testing and Evaluation</v>
      </c>
      <c r="C74" s="19" t="str">
        <f ca="1">IFERROR(__xludf.DUMMYFUNCTION("""COMPUTED_VALUE"""),"Taylor &amp; Francis")</f>
        <v>Taylor &amp; Francis</v>
      </c>
      <c r="D74" s="20" t="str">
        <f ca="1">IFERROR(__xludf.DUMMYFUNCTION("""COMPUTED_VALUE"""),"1058-9759")</f>
        <v>1058-9759</v>
      </c>
      <c r="E74" s="32" t="str">
        <f ca="1">IFERROR(__xludf.DUMMYFUNCTION("""COMPUTED_VALUE"""),"2010-2020")</f>
        <v>2010-2020</v>
      </c>
      <c r="F74" s="22" t="str">
        <f ca="1">IFERROR(__xludf.DUMMYFUNCTION("""COMPUTED_VALUE"""),"SCIE, SCOPUS")</f>
        <v>SCIE, SCOPUS</v>
      </c>
      <c r="G74" s="23" t="str">
        <f ca="1">IFERROR(__xludf.DUMMYFUNCTION("""COMPUTED_VALUE"""),"http://www.riss.kr/link?id=S402182")</f>
        <v>http://www.riss.kr/link?id=S402182</v>
      </c>
      <c r="H74" s="24" t="str">
        <f ca="1">IFERROR(__xludf.DUMMYFUNCTION("""COMPUTED_VALUE"""),"X")</f>
        <v>X</v>
      </c>
    </row>
    <row r="75" spans="1:8" ht="26.25" customHeight="1">
      <c r="A75" s="154">
        <f t="shared" ca="1" si="0"/>
        <v>72</v>
      </c>
      <c r="B75" s="19" t="str">
        <f ca="1">IFERROR(__xludf.DUMMYFUNCTION("""COMPUTED_VALUE"""),"Numerical Heat Transfer Part A")</f>
        <v>Numerical Heat Transfer Part A</v>
      </c>
      <c r="C75" s="19" t="str">
        <f ca="1">IFERROR(__xludf.DUMMYFUNCTION("""COMPUTED_VALUE"""),"Taylor &amp; Francis")</f>
        <v>Taylor &amp; Francis</v>
      </c>
      <c r="D75" s="20" t="str">
        <f ca="1">IFERROR(__xludf.DUMMYFUNCTION("""COMPUTED_VALUE"""),"1040-7782")</f>
        <v>1040-7782</v>
      </c>
      <c r="E75" s="32" t="str">
        <f ca="1">IFERROR(__xludf.DUMMYFUNCTION("""COMPUTED_VALUE"""),"1996-2021")</f>
        <v>1996-2021</v>
      </c>
      <c r="F75" s="22" t="str">
        <f ca="1">IFERROR(__xludf.DUMMYFUNCTION("""COMPUTED_VALUE"""),"SCIE, SCOPUS")</f>
        <v>SCIE, SCOPUS</v>
      </c>
      <c r="G75" s="23" t="str">
        <f ca="1">IFERROR(__xludf.DUMMYFUNCTION("""COMPUTED_VALUE"""),"http://www.riss.kr/link?id=S20951")</f>
        <v>http://www.riss.kr/link?id=S20951</v>
      </c>
      <c r="H75" s="24" t="str">
        <f ca="1">IFERROR(__xludf.DUMMYFUNCTION("""COMPUTED_VALUE"""),"O")</f>
        <v>O</v>
      </c>
    </row>
    <row r="76" spans="1:8" ht="26.25" customHeight="1">
      <c r="A76" s="154">
        <f t="shared" ca="1" si="0"/>
        <v>73</v>
      </c>
      <c r="B76" s="19" t="str">
        <f ca="1">IFERROR(__xludf.DUMMYFUNCTION("""COMPUTED_VALUE"""),"Numerical Heat Transfer Part B")</f>
        <v>Numerical Heat Transfer Part B</v>
      </c>
      <c r="C76" s="19" t="str">
        <f ca="1">IFERROR(__xludf.DUMMYFUNCTION("""COMPUTED_VALUE"""),"Taylor &amp; Francis")</f>
        <v>Taylor &amp; Francis</v>
      </c>
      <c r="D76" s="20" t="str">
        <f ca="1">IFERROR(__xludf.DUMMYFUNCTION("""COMPUTED_VALUE"""),"1040-7790")</f>
        <v>1040-7790</v>
      </c>
      <c r="E76" s="32" t="str">
        <f ca="1">IFERROR(__xludf.DUMMYFUNCTION("""COMPUTED_VALUE"""),"1996-2021")</f>
        <v>1996-2021</v>
      </c>
      <c r="F76" s="22" t="str">
        <f ca="1">IFERROR(__xludf.DUMMYFUNCTION("""COMPUTED_VALUE"""),"SCIE, SCOPUS")</f>
        <v>SCIE, SCOPUS</v>
      </c>
      <c r="G76" s="23" t="str">
        <f ca="1">IFERROR(__xludf.DUMMYFUNCTION("""COMPUTED_VALUE"""),"http://www.riss.kr/link?id=S20950")</f>
        <v>http://www.riss.kr/link?id=S20950</v>
      </c>
      <c r="H76" s="24" t="str">
        <f ca="1">IFERROR(__xludf.DUMMYFUNCTION("""COMPUTED_VALUE"""),"O")</f>
        <v>O</v>
      </c>
    </row>
    <row r="77" spans="1:8" ht="26.25" customHeight="1">
      <c r="A77" s="154">
        <f t="shared" ca="1" si="0"/>
        <v>74</v>
      </c>
      <c r="B77" s="31" t="str">
        <f ca="1">IFERROR(__xludf.DUMMYFUNCTION("""COMPUTED_VALUE"""),"Popular Mechanics Magazine")</f>
        <v>Popular Mechanics Magazine</v>
      </c>
      <c r="C77" s="19" t="str">
        <f ca="1">IFERROR(__xludf.DUMMYFUNCTION("""COMPUTED_VALUE"""),"Hearst Magazines")</f>
        <v>Hearst Magazines</v>
      </c>
      <c r="D77" s="20" t="str">
        <f ca="1">IFERROR(__xludf.DUMMYFUNCTION("""COMPUTED_VALUE"""),"0032-4558")</f>
        <v>0032-4558</v>
      </c>
      <c r="E77" s="32" t="str">
        <f ca="1">IFERROR(__xludf.DUMMYFUNCTION("""COMPUTED_VALUE"""),"1954-1955, 1958")</f>
        <v>1954-1955, 1958</v>
      </c>
      <c r="F77" s="22" t="str">
        <f ca="1">IFERROR(__xludf.DUMMYFUNCTION("""COMPUTED_VALUE"""),"-")</f>
        <v>-</v>
      </c>
      <c r="G77" s="23" t="str">
        <f ca="1">IFERROR(__xludf.DUMMYFUNCTION("""COMPUTED_VALUE"""),"http://www.riss.kr/link?id=S60691")</f>
        <v>http://www.riss.kr/link?id=S60691</v>
      </c>
      <c r="H77" s="24" t="str">
        <f ca="1">IFERROR(__xludf.DUMMYFUNCTION("""COMPUTED_VALUE"""),"X")</f>
        <v>X</v>
      </c>
    </row>
    <row r="78" spans="1:8" ht="26.25" customHeight="1">
      <c r="A78" s="154">
        <f t="shared" ca="1" si="0"/>
        <v>75</v>
      </c>
      <c r="B78" s="19" t="str">
        <f ca="1">IFERROR(__xludf.DUMMYFUNCTION("""COMPUTED_VALUE"""),"Proceedings of the Institution of Mechanical Engineers Part A")</f>
        <v>Proceedings of the Institution of Mechanical Engineers Part A</v>
      </c>
      <c r="C78" s="19" t="str">
        <f ca="1">IFERROR(__xludf.DUMMYFUNCTION("""COMPUTED_VALUE"""),"Sage Publications Ltd.")</f>
        <v>Sage Publications Ltd.</v>
      </c>
      <c r="D78" s="20" t="str">
        <f ca="1">IFERROR(__xludf.DUMMYFUNCTION("""COMPUTED_VALUE"""),"0957-6509")</f>
        <v>0957-6509</v>
      </c>
      <c r="E78" s="32" t="str">
        <f ca="1">IFERROR(__xludf.DUMMYFUNCTION("""COMPUTED_VALUE"""),"1996-2004, 2010-2012")</f>
        <v>1996-2004, 2010-2012</v>
      </c>
      <c r="F78" s="22" t="str">
        <f ca="1">IFERROR(__xludf.DUMMYFUNCTION("""COMPUTED_VALUE"""),"SCIE, SCOPUS")</f>
        <v>SCIE, SCOPUS</v>
      </c>
      <c r="G78" s="23" t="str">
        <f ca="1">IFERROR(__xludf.DUMMYFUNCTION("""COMPUTED_VALUE"""),"http://www.riss.kr/link?id=S20881")</f>
        <v>http://www.riss.kr/link?id=S20881</v>
      </c>
      <c r="H78" s="24" t="str">
        <f ca="1">IFERROR(__xludf.DUMMYFUNCTION("""COMPUTED_VALUE"""),"X")</f>
        <v>X</v>
      </c>
    </row>
    <row r="79" spans="1:8" ht="26.25" customHeight="1">
      <c r="A79" s="154">
        <f t="shared" ca="1" si="0"/>
        <v>76</v>
      </c>
      <c r="B79" s="19" t="str">
        <f ca="1">IFERROR(__xludf.DUMMYFUNCTION("""COMPUTED_VALUE"""),"Proceedings of the Institution of Mechanical Engineers Part B")</f>
        <v>Proceedings of the Institution of Mechanical Engineers Part B</v>
      </c>
      <c r="C79" s="19" t="str">
        <f ca="1">IFERROR(__xludf.DUMMYFUNCTION("""COMPUTED_VALUE"""),"Sage Publications Ltd.")</f>
        <v>Sage Publications Ltd.</v>
      </c>
      <c r="D79" s="20" t="str">
        <f ca="1">IFERROR(__xludf.DUMMYFUNCTION("""COMPUTED_VALUE"""),"0954-4054")</f>
        <v>0954-4054</v>
      </c>
      <c r="E79" s="32" t="str">
        <f ca="1">IFERROR(__xludf.DUMMYFUNCTION("""COMPUTED_VALUE"""),"1996-2004, 2010-2021")</f>
        <v>1996-2004, 2010-2021</v>
      </c>
      <c r="F79" s="22" t="str">
        <f ca="1">IFERROR(__xludf.DUMMYFUNCTION("""COMPUTED_VALUE"""),"SCIE, SCOPUS")</f>
        <v>SCIE, SCOPUS</v>
      </c>
      <c r="G79" s="23" t="str">
        <f ca="1">IFERROR(__xludf.DUMMYFUNCTION("""COMPUTED_VALUE"""),"http://www.riss.kr/link?id=S15959")</f>
        <v>http://www.riss.kr/link?id=S15959</v>
      </c>
      <c r="H79" s="24" t="str">
        <f ca="1">IFERROR(__xludf.DUMMYFUNCTION("""COMPUTED_VALUE"""),"O")</f>
        <v>O</v>
      </c>
    </row>
    <row r="80" spans="1:8" ht="26.25" customHeight="1">
      <c r="A80" s="154">
        <f t="shared" ca="1" si="0"/>
        <v>77</v>
      </c>
      <c r="B80" s="19" t="str">
        <f ca="1">IFERROR(__xludf.DUMMYFUNCTION("""COMPUTED_VALUE"""),"Proceedings of the Institution of Mechanical Engineers Part C")</f>
        <v>Proceedings of the Institution of Mechanical Engineers Part C</v>
      </c>
      <c r="C80" s="19" t="str">
        <f ca="1">IFERROR(__xludf.DUMMYFUNCTION("""COMPUTED_VALUE"""),"Sage Publications Ltd.")</f>
        <v>Sage Publications Ltd.</v>
      </c>
      <c r="D80" s="20" t="str">
        <f ca="1">IFERROR(__xludf.DUMMYFUNCTION("""COMPUTED_VALUE"""),"0954-4062")</f>
        <v>0954-4062</v>
      </c>
      <c r="E80" s="32" t="str">
        <f ca="1">IFERROR(__xludf.DUMMYFUNCTION("""COMPUTED_VALUE"""),"1983-2004, 2010-2021")</f>
        <v>1983-2004, 2010-2021</v>
      </c>
      <c r="F80" s="22" t="str">
        <f ca="1">IFERROR(__xludf.DUMMYFUNCTION("""COMPUTED_VALUE"""),"SCIE, SCOPUS")</f>
        <v>SCIE, SCOPUS</v>
      </c>
      <c r="G80" s="23" t="str">
        <f ca="1">IFERROR(__xludf.DUMMYFUNCTION("""COMPUTED_VALUE"""),"http://www.riss.kr/link?id=S30006165")</f>
        <v>http://www.riss.kr/link?id=S30006165</v>
      </c>
      <c r="H80" s="24" t="str">
        <f ca="1">IFERROR(__xludf.DUMMYFUNCTION("""COMPUTED_VALUE"""),"O")</f>
        <v>O</v>
      </c>
    </row>
    <row r="81" spans="1:8" ht="26.25" customHeight="1">
      <c r="A81" s="154">
        <f t="shared" ca="1" si="0"/>
        <v>78</v>
      </c>
      <c r="B81" s="19" t="str">
        <f ca="1">IFERROR(__xludf.DUMMYFUNCTION("""COMPUTED_VALUE"""),"Proceedings of the Institution of Mechanical Engineers Part D")</f>
        <v>Proceedings of the Institution of Mechanical Engineers Part D</v>
      </c>
      <c r="C81" s="19" t="str">
        <f ca="1">IFERROR(__xludf.DUMMYFUNCTION("""COMPUTED_VALUE"""),"Sage Publications Ltd.")</f>
        <v>Sage Publications Ltd.</v>
      </c>
      <c r="D81" s="20" t="str">
        <f ca="1">IFERROR(__xludf.DUMMYFUNCTION("""COMPUTED_VALUE"""),"0954-4070")</f>
        <v>0954-4070</v>
      </c>
      <c r="E81" s="32" t="str">
        <f ca="1">IFERROR(__xludf.DUMMYFUNCTION("""COMPUTED_VALUE"""),"1989-2003, 2010-2021")</f>
        <v>1989-2003, 2010-2021</v>
      </c>
      <c r="F81" s="22" t="str">
        <f ca="1">IFERROR(__xludf.DUMMYFUNCTION("""COMPUTED_VALUE"""),"SCIE, SCOPUS")</f>
        <v>SCIE, SCOPUS</v>
      </c>
      <c r="G81" s="23" t="str">
        <f ca="1">IFERROR(__xludf.DUMMYFUNCTION("""COMPUTED_VALUE"""),"http://www.riss.kr/link?id=S20886")</f>
        <v>http://www.riss.kr/link?id=S20886</v>
      </c>
      <c r="H81" s="24" t="str">
        <f ca="1">IFERROR(__xludf.DUMMYFUNCTION("""COMPUTED_VALUE"""),"O")</f>
        <v>O</v>
      </c>
    </row>
    <row r="82" spans="1:8" ht="26.25" customHeight="1">
      <c r="A82" s="154">
        <f t="shared" ca="1" si="0"/>
        <v>79</v>
      </c>
      <c r="B82" s="19" t="str">
        <f ca="1">IFERROR(__xludf.DUMMYFUNCTION("""COMPUTED_VALUE"""),"Proceedings of the Institution of Mechanical Engineers Part E")</f>
        <v>Proceedings of the Institution of Mechanical Engineers Part E</v>
      </c>
      <c r="C82" s="19" t="str">
        <f ca="1">IFERROR(__xludf.DUMMYFUNCTION("""COMPUTED_VALUE"""),"Sage Publications Ltd.")</f>
        <v>Sage Publications Ltd.</v>
      </c>
      <c r="D82" s="20" t="str">
        <f ca="1">IFERROR(__xludf.DUMMYFUNCTION("""COMPUTED_VALUE"""),"0954-4089")</f>
        <v>0954-4089</v>
      </c>
      <c r="E82" s="32" t="str">
        <f ca="1">IFERROR(__xludf.DUMMYFUNCTION("""COMPUTED_VALUE"""),"1997-2004, 2010-2013")</f>
        <v>1997-2004, 2010-2013</v>
      </c>
      <c r="F82" s="22" t="str">
        <f ca="1">IFERROR(__xludf.DUMMYFUNCTION("""COMPUTED_VALUE"""),"SCIE, SCOPUS")</f>
        <v>SCIE, SCOPUS</v>
      </c>
      <c r="G82" s="23" t="str">
        <f ca="1">IFERROR(__xludf.DUMMYFUNCTION("""COMPUTED_VALUE"""),"http://www.riss.kr/link?id=S20891")</f>
        <v>http://www.riss.kr/link?id=S20891</v>
      </c>
      <c r="H82" s="24" t="str">
        <f ca="1">IFERROR(__xludf.DUMMYFUNCTION("""COMPUTED_VALUE"""),"X")</f>
        <v>X</v>
      </c>
    </row>
    <row r="83" spans="1:8" ht="26.25" customHeight="1">
      <c r="A83" s="154">
        <f t="shared" ca="1" si="0"/>
        <v>80</v>
      </c>
      <c r="B83" s="19" t="str">
        <f ca="1">IFERROR(__xludf.DUMMYFUNCTION("""COMPUTED_VALUE"""),"Proceedings of the Institution of Mechanical Engineers Part F")</f>
        <v>Proceedings of the Institution of Mechanical Engineers Part F</v>
      </c>
      <c r="C83" s="19" t="str">
        <f ca="1">IFERROR(__xludf.DUMMYFUNCTION("""COMPUTED_VALUE"""),"Sage Publications Ltd.")</f>
        <v>Sage Publications Ltd.</v>
      </c>
      <c r="D83" s="20" t="str">
        <f ca="1">IFERROR(__xludf.DUMMYFUNCTION("""COMPUTED_VALUE"""),"0954-4097")</f>
        <v>0954-4097</v>
      </c>
      <c r="E83" s="32" t="str">
        <f ca="1">IFERROR(__xludf.DUMMYFUNCTION("""COMPUTED_VALUE"""),"1997-2004, 2010-2021")</f>
        <v>1997-2004, 2010-2021</v>
      </c>
      <c r="F83" s="22" t="str">
        <f ca="1">IFERROR(__xludf.DUMMYFUNCTION("""COMPUTED_VALUE"""),"SCIE, SCOPUS")</f>
        <v>SCIE, SCOPUS</v>
      </c>
      <c r="G83" s="23" t="str">
        <f ca="1">IFERROR(__xludf.DUMMYFUNCTION("""COMPUTED_VALUE"""),"http://www.riss.kr/link?id=S20890")</f>
        <v>http://www.riss.kr/link?id=S20890</v>
      </c>
      <c r="H83" s="24" t="str">
        <f ca="1">IFERROR(__xludf.DUMMYFUNCTION("""COMPUTED_VALUE"""),"O")</f>
        <v>O</v>
      </c>
    </row>
    <row r="84" spans="1:8" ht="26.25" customHeight="1">
      <c r="A84" s="154">
        <f t="shared" ca="1" si="0"/>
        <v>81</v>
      </c>
      <c r="B84" s="19" t="str">
        <f ca="1">IFERROR(__xludf.DUMMYFUNCTION("""COMPUTED_VALUE"""),"Proceedings of the Institution of Mechanical Engineers Part H")</f>
        <v>Proceedings of the Institution of Mechanical Engineers Part H</v>
      </c>
      <c r="C84" s="19" t="str">
        <f ca="1">IFERROR(__xludf.DUMMYFUNCTION("""COMPUTED_VALUE"""),"Sage Publications Ltd.")</f>
        <v>Sage Publications Ltd.</v>
      </c>
      <c r="D84" s="20" t="str">
        <f ca="1">IFERROR(__xludf.DUMMYFUNCTION("""COMPUTED_VALUE"""),"0954-4119")</f>
        <v>0954-4119</v>
      </c>
      <c r="E84" s="32" t="str">
        <f ca="1">IFERROR(__xludf.DUMMYFUNCTION("""COMPUTED_VALUE"""),"1996-2004, 2010-2021")</f>
        <v>1996-2004, 2010-2021</v>
      </c>
      <c r="F84" s="22" t="str">
        <f ca="1">IFERROR(__xludf.DUMMYFUNCTION("""COMPUTED_VALUE"""),"SCIE, SCOPUS")</f>
        <v>SCIE, SCOPUS</v>
      </c>
      <c r="G84" s="23" t="str">
        <f ca="1">IFERROR(__xludf.DUMMYFUNCTION("""COMPUTED_VALUE"""),"http://www.riss.kr/link?id=S45501")</f>
        <v>http://www.riss.kr/link?id=S45501</v>
      </c>
      <c r="H84" s="24" t="str">
        <f ca="1">IFERROR(__xludf.DUMMYFUNCTION("""COMPUTED_VALUE"""),"O")</f>
        <v>O</v>
      </c>
    </row>
    <row r="85" spans="1:8" ht="26.25" customHeight="1">
      <c r="A85" s="154">
        <f t="shared" ca="1" si="0"/>
        <v>82</v>
      </c>
      <c r="B85" s="19" t="str">
        <f ca="1">IFERROR(__xludf.DUMMYFUNCTION("""COMPUTED_VALUE"""),"Proceedings of the Institution of Mechanical Engineers Part I")</f>
        <v>Proceedings of the Institution of Mechanical Engineers Part I</v>
      </c>
      <c r="C85" s="19" t="str">
        <f ca="1">IFERROR(__xludf.DUMMYFUNCTION("""COMPUTED_VALUE"""),"Sage Publications Ltd.")</f>
        <v>Sage Publications Ltd.</v>
      </c>
      <c r="D85" s="20" t="str">
        <f ca="1">IFERROR(__xludf.DUMMYFUNCTION("""COMPUTED_VALUE"""),"0959-6518")</f>
        <v>0959-6518</v>
      </c>
      <c r="E85" s="32" t="str">
        <f ca="1">IFERROR(__xludf.DUMMYFUNCTION("""COMPUTED_VALUE"""),"1996-2004, 2010-2021")</f>
        <v>1996-2004, 2010-2021</v>
      </c>
      <c r="F85" s="22" t="str">
        <f ca="1">IFERROR(__xludf.DUMMYFUNCTION("""COMPUTED_VALUE"""),"SCIE, SCOPUS")</f>
        <v>SCIE, SCOPUS</v>
      </c>
      <c r="G85" s="23" t="str">
        <f ca="1">IFERROR(__xludf.DUMMYFUNCTION("""COMPUTED_VALUE"""),"http://www.riss.kr/link?id=S20888")</f>
        <v>http://www.riss.kr/link?id=S20888</v>
      </c>
      <c r="H85" s="24" t="str">
        <f ca="1">IFERROR(__xludf.DUMMYFUNCTION("""COMPUTED_VALUE"""),"O")</f>
        <v>O</v>
      </c>
    </row>
    <row r="86" spans="1:8" ht="26.25" customHeight="1">
      <c r="A86" s="154">
        <f t="shared" ca="1" si="0"/>
        <v>83</v>
      </c>
      <c r="B86" s="19" t="str">
        <f ca="1">IFERROR(__xludf.DUMMYFUNCTION("""COMPUTED_VALUE"""),"Proceedings of the Institution of Mechanical Engineers Part J")</f>
        <v>Proceedings of the Institution of Mechanical Engineers Part J</v>
      </c>
      <c r="C86" s="19" t="str">
        <f ca="1">IFERROR(__xludf.DUMMYFUNCTION("""COMPUTED_VALUE"""),"Sage Publications Ltd.")</f>
        <v>Sage Publications Ltd.</v>
      </c>
      <c r="D86" s="20" t="str">
        <f ca="1">IFERROR(__xludf.DUMMYFUNCTION("""COMPUTED_VALUE"""),"1350-6501")</f>
        <v>1350-6501</v>
      </c>
      <c r="E86" s="32" t="str">
        <f ca="1">IFERROR(__xludf.DUMMYFUNCTION("""COMPUTED_VALUE"""),"1996-2004, 2010-2013")</f>
        <v>1996-2004, 2010-2013</v>
      </c>
      <c r="F86" s="22" t="str">
        <f ca="1">IFERROR(__xludf.DUMMYFUNCTION("""COMPUTED_VALUE"""),"SCIE, SCOPUS")</f>
        <v>SCIE, SCOPUS</v>
      </c>
      <c r="G86" s="23" t="str">
        <f ca="1">IFERROR(__xludf.DUMMYFUNCTION("""COMPUTED_VALUE"""),"http://www.riss.kr/link?id=S13543")</f>
        <v>http://www.riss.kr/link?id=S13543</v>
      </c>
      <c r="H86" s="24" t="str">
        <f ca="1">IFERROR(__xludf.DUMMYFUNCTION("""COMPUTED_VALUE"""),"X")</f>
        <v>X</v>
      </c>
    </row>
    <row r="87" spans="1:8" ht="26.25" customHeight="1">
      <c r="A87" s="154">
        <f t="shared" ca="1" si="0"/>
        <v>84</v>
      </c>
      <c r="B87" s="19" t="str">
        <f ca="1">IFERROR(__xludf.DUMMYFUNCTION("""COMPUTED_VALUE"""),"Proceedings of the Institution of Mechanical Engineers Part K. Journal of Multi-Body Dynamics")</f>
        <v>Proceedings of the Institution of Mechanical Engineers Part K. Journal of Multi-Body Dynamics</v>
      </c>
      <c r="C87" s="19" t="str">
        <f ca="1">IFERROR(__xludf.DUMMYFUNCTION("""COMPUTED_VALUE"""),"Sage Publications Ltd.")</f>
        <v>Sage Publications Ltd.</v>
      </c>
      <c r="D87" s="20" t="str">
        <f ca="1">IFERROR(__xludf.DUMMYFUNCTION("""COMPUTED_VALUE"""),"1464-4193")</f>
        <v>1464-4193</v>
      </c>
      <c r="E87" s="32" t="str">
        <f ca="1">IFERROR(__xludf.DUMMYFUNCTION("""COMPUTED_VALUE"""),"1999-2004, 2010-2021")</f>
        <v>1999-2004, 2010-2021</v>
      </c>
      <c r="F87" s="22" t="str">
        <f ca="1">IFERROR(__xludf.DUMMYFUNCTION("""COMPUTED_VALUE"""),"SCIE, SCOPUS")</f>
        <v>SCIE, SCOPUS</v>
      </c>
      <c r="G87" s="23" t="str">
        <f ca="1">IFERROR(__xludf.DUMMYFUNCTION("""COMPUTED_VALUE"""),"http://www.riss.kr/link?id=S103925")</f>
        <v>http://www.riss.kr/link?id=S103925</v>
      </c>
      <c r="H87" s="24" t="str">
        <f ca="1">IFERROR(__xludf.DUMMYFUNCTION("""COMPUTED_VALUE"""),"O")</f>
        <v>O</v>
      </c>
    </row>
    <row r="88" spans="1:8" ht="26.25" customHeight="1">
      <c r="A88" s="154">
        <f t="shared" ca="1" si="0"/>
        <v>85</v>
      </c>
      <c r="B88" s="19" t="str">
        <f ca="1">IFERROR(__xludf.DUMMYFUNCTION("""COMPUTED_VALUE"""),"Proceedings of the Institution of Mechanical Engineers Part L. Journal of Materials: Design and Applications")</f>
        <v>Proceedings of the Institution of Mechanical Engineers Part L. Journal of Materials: Design and Applications</v>
      </c>
      <c r="C88" s="19" t="str">
        <f ca="1">IFERROR(__xludf.DUMMYFUNCTION("""COMPUTED_VALUE"""),"Sage Publications Ltd.")</f>
        <v>Sage Publications Ltd.</v>
      </c>
      <c r="D88" s="20" t="str">
        <f ca="1">IFERROR(__xludf.DUMMYFUNCTION("""COMPUTED_VALUE"""),"1464-4207")</f>
        <v>1464-4207</v>
      </c>
      <c r="E88" s="32" t="str">
        <f ca="1">IFERROR(__xludf.DUMMYFUNCTION("""COMPUTED_VALUE"""),"1999-2004, 2010-2012")</f>
        <v>1999-2004, 2010-2012</v>
      </c>
      <c r="F88" s="22" t="str">
        <f ca="1">IFERROR(__xludf.DUMMYFUNCTION("""COMPUTED_VALUE"""),"SCIE, SCOPUS")</f>
        <v>SCIE, SCOPUS</v>
      </c>
      <c r="G88" s="23" t="str">
        <f ca="1">IFERROR(__xludf.DUMMYFUNCTION("""COMPUTED_VALUE"""),"http://www.riss.kr/link?id=S11634165")</f>
        <v>http://www.riss.kr/link?id=S11634165</v>
      </c>
      <c r="H88" s="95" t="str">
        <f ca="1">IFERROR(__xludf.DUMMYFUNCTION("""COMPUTED_VALUE"""),"X")</f>
        <v>X</v>
      </c>
    </row>
    <row r="89" spans="1:8" ht="26.25" customHeight="1">
      <c r="A89" s="154">
        <f t="shared" ca="1" si="0"/>
        <v>86</v>
      </c>
      <c r="B89" s="31" t="str">
        <f ca="1">IFERROR(__xludf.DUMMYFUNCTION("""COMPUTED_VALUE"""),"Racecar Engineering")</f>
        <v>Racecar Engineering</v>
      </c>
      <c r="C89" s="19" t="str">
        <f ca="1">IFERROR(__xludf.DUMMYFUNCTION("""COMPUTED_VALUE"""),"Chelsea Magazine Company Ltd.")</f>
        <v>Chelsea Magazine Company Ltd.</v>
      </c>
      <c r="D89" s="20" t="str">
        <f ca="1">IFERROR(__xludf.DUMMYFUNCTION("""COMPUTED_VALUE"""),"0961-1096")</f>
        <v>0961-1096</v>
      </c>
      <c r="E89" s="32" t="str">
        <f ca="1">IFERROR(__xludf.DUMMYFUNCTION("""COMPUTED_VALUE"""),"2010-2020")</f>
        <v>2010-2020</v>
      </c>
      <c r="F89" s="22" t="str">
        <f ca="1">IFERROR(__xludf.DUMMYFUNCTION("""COMPUTED_VALUE"""),"-")</f>
        <v>-</v>
      </c>
      <c r="G89" s="23" t="str">
        <f ca="1">IFERROR(__xludf.DUMMYFUNCTION("""COMPUTED_VALUE"""),"http://www.riss.kr/link?id=S416464")</f>
        <v>http://www.riss.kr/link?id=S416464</v>
      </c>
      <c r="H89" s="95" t="str">
        <f ca="1">IFERROR(__xludf.DUMMYFUNCTION("""COMPUTED_VALUE"""),"X")</f>
        <v>X</v>
      </c>
    </row>
    <row r="90" spans="1:8" ht="26.25" customHeight="1">
      <c r="A90" s="154">
        <f t="shared" ca="1" si="0"/>
        <v>87</v>
      </c>
      <c r="B90" s="31" t="str">
        <f ca="1">IFERROR(__xludf.DUMMYFUNCTION("""COMPUTED_VALUE"""),"Rapid Prototyping Journal")</f>
        <v>Rapid Prototyping Journal</v>
      </c>
      <c r="C90" s="19" t="str">
        <f ca="1">IFERROR(__xludf.DUMMYFUNCTION("""COMPUTED_VALUE"""),"Emerald Publishing Limited")</f>
        <v>Emerald Publishing Limited</v>
      </c>
      <c r="D90" s="20" t="str">
        <f ca="1">IFERROR(__xludf.DUMMYFUNCTION("""COMPUTED_VALUE"""),"1355-2546")</f>
        <v>1355-2546</v>
      </c>
      <c r="E90" s="32" t="str">
        <f ca="1">IFERROR(__xludf.DUMMYFUNCTION("""COMPUTED_VALUE"""),"2010-2013")</f>
        <v>2010-2013</v>
      </c>
      <c r="F90" s="22" t="str">
        <f ca="1">IFERROR(__xludf.DUMMYFUNCTION("""COMPUTED_VALUE"""),"SCIE, SCOPUS")</f>
        <v>SCIE, SCOPUS</v>
      </c>
      <c r="G90" s="23" t="str">
        <f ca="1">IFERROR(__xludf.DUMMYFUNCTION("""COMPUTED_VALUE"""),"http://www.riss.kr/link?id=S404213")</f>
        <v>http://www.riss.kr/link?id=S404213</v>
      </c>
      <c r="H90" s="95" t="str">
        <f ca="1">IFERROR(__xludf.DUMMYFUNCTION("""COMPUTED_VALUE"""),"X")</f>
        <v>X</v>
      </c>
    </row>
    <row r="91" spans="1:8" ht="26.25" customHeight="1">
      <c r="A91" s="154">
        <f t="shared" ca="1" si="0"/>
        <v>88</v>
      </c>
      <c r="B91" s="19" t="str">
        <f ca="1">IFERROR(__xludf.DUMMYFUNCTION("""COMPUTED_VALUE"""),"Research in Nondestructive Evaluation")</f>
        <v>Research in Nondestructive Evaluation</v>
      </c>
      <c r="C91" s="19" t="str">
        <f ca="1">IFERROR(__xludf.DUMMYFUNCTION("""COMPUTED_VALUE"""),"Taylor &amp; Francis")</f>
        <v>Taylor &amp; Francis</v>
      </c>
      <c r="D91" s="20" t="str">
        <f ca="1">IFERROR(__xludf.DUMMYFUNCTION("""COMPUTED_VALUE"""),"0934-9847")</f>
        <v>0934-9847</v>
      </c>
      <c r="E91" s="32" t="str">
        <f ca="1">IFERROR(__xludf.DUMMYFUNCTION("""COMPUTED_VALUE"""),"2010-2021")</f>
        <v>2010-2021</v>
      </c>
      <c r="F91" s="22" t="str">
        <f ca="1">IFERROR(__xludf.DUMMYFUNCTION("""COMPUTED_VALUE"""),"SCIE, SCOPUS")</f>
        <v>SCIE, SCOPUS</v>
      </c>
      <c r="G91" s="23" t="str">
        <f ca="1">IFERROR(__xludf.DUMMYFUNCTION("""COMPUTED_VALUE"""),"http://www.riss.kr/link?id=S416272")</f>
        <v>http://www.riss.kr/link?id=S416272</v>
      </c>
      <c r="H91" s="95" t="str">
        <f ca="1">IFERROR(__xludf.DUMMYFUNCTION("""COMPUTED_VALUE"""),"O")</f>
        <v>O</v>
      </c>
    </row>
    <row r="92" spans="1:8" ht="26.25" customHeight="1">
      <c r="A92" s="154">
        <f t="shared" ca="1" si="0"/>
        <v>89</v>
      </c>
      <c r="B92" s="31" t="str">
        <f ca="1">IFERROR(__xludf.DUMMYFUNCTION("""COMPUTED_VALUE"""),"Schweissen und Schneiden")</f>
        <v>Schweissen und Schneiden</v>
      </c>
      <c r="C92" s="19" t="str">
        <f ca="1">IFERROR(__xludf.DUMMYFUNCTION("""COMPUTED_VALUE"""),"D V S Media GmbH")</f>
        <v>D V S Media GmbH</v>
      </c>
      <c r="D92" s="20" t="str">
        <f ca="1">IFERROR(__xludf.DUMMYFUNCTION("""COMPUTED_VALUE"""),"0036-7184")</f>
        <v>0036-7184</v>
      </c>
      <c r="E92" s="32" t="str">
        <f ca="1">IFERROR(__xludf.DUMMYFUNCTION("""COMPUTED_VALUE"""),"1993-2004")</f>
        <v>1993-2004</v>
      </c>
      <c r="F92" s="22" t="str">
        <f ca="1">IFERROR(__xludf.DUMMYFUNCTION("""COMPUTED_VALUE"""),"-")</f>
        <v>-</v>
      </c>
      <c r="G92" s="23" t="str">
        <f ca="1">IFERROR(__xludf.DUMMYFUNCTION("""COMPUTED_VALUE"""),"http://www.riss.kr/link?id=S417529")</f>
        <v>http://www.riss.kr/link?id=S417529</v>
      </c>
      <c r="H92" s="95" t="str">
        <f ca="1">IFERROR(__xludf.DUMMYFUNCTION("""COMPUTED_VALUE"""),"X")</f>
        <v>X</v>
      </c>
    </row>
    <row r="93" spans="1:8" ht="26.25" customHeight="1">
      <c r="A93" s="154">
        <f t="shared" ca="1" si="0"/>
        <v>90</v>
      </c>
      <c r="B93" s="31" t="str">
        <f ca="1">IFERROR(__xludf.DUMMYFUNCTION("""COMPUTED_VALUE"""),"Soldering &amp; Surface Mount Technology")</f>
        <v>Soldering &amp; Surface Mount Technology</v>
      </c>
      <c r="C93" s="19" t="str">
        <f ca="1">IFERROR(__xludf.DUMMYFUNCTION("""COMPUTED_VALUE"""),"Emerald Publishing Limited")</f>
        <v>Emerald Publishing Limited</v>
      </c>
      <c r="D93" s="20" t="str">
        <f ca="1">IFERROR(__xludf.DUMMYFUNCTION("""COMPUTED_VALUE"""),"0954-0911")</f>
        <v>0954-0911</v>
      </c>
      <c r="E93" s="32" t="str">
        <f ca="1">IFERROR(__xludf.DUMMYFUNCTION("""COMPUTED_VALUE"""),"2010-2013")</f>
        <v>2010-2013</v>
      </c>
      <c r="F93" s="22" t="str">
        <f ca="1">IFERROR(__xludf.DUMMYFUNCTION("""COMPUTED_VALUE"""),"SCIE, SCOPUS")</f>
        <v>SCIE, SCOPUS</v>
      </c>
      <c r="G93" s="23" t="str">
        <f ca="1">IFERROR(__xludf.DUMMYFUNCTION("""COMPUTED_VALUE"""),"http://www.riss.kr/link?id=S415705")</f>
        <v>http://www.riss.kr/link?id=S415705</v>
      </c>
      <c r="H93" s="95" t="str">
        <f ca="1">IFERROR(__xludf.DUMMYFUNCTION("""COMPUTED_VALUE"""),"X")</f>
        <v>X</v>
      </c>
    </row>
    <row r="94" spans="1:8" ht="26.25" customHeight="1">
      <c r="A94" s="154">
        <f t="shared" ca="1" si="0"/>
        <v>91</v>
      </c>
      <c r="B94" s="31" t="str">
        <f ca="1">IFERROR(__xludf.DUMMYFUNCTION("""COMPUTED_VALUE"""),"Sound and Vibration")</f>
        <v>Sound and Vibration</v>
      </c>
      <c r="C94" s="19" t="str">
        <f ca="1">IFERROR(__xludf.DUMMYFUNCTION("""COMPUTED_VALUE"""),"Tech Science Press")</f>
        <v>Tech Science Press</v>
      </c>
      <c r="D94" s="20" t="str">
        <f ca="1">IFERROR(__xludf.DUMMYFUNCTION("""COMPUTED_VALUE"""),"1541-0161")</f>
        <v>1541-0161</v>
      </c>
      <c r="E94" s="32" t="str">
        <f ca="1">IFERROR(__xludf.DUMMYFUNCTION("""COMPUTED_VALUE"""),"2010-2017")</f>
        <v>2010-2017</v>
      </c>
      <c r="F94" s="22" t="str">
        <f ca="1">IFERROR(__xludf.DUMMYFUNCTION("""COMPUTED_VALUE"""),"ESCI")</f>
        <v>ESCI</v>
      </c>
      <c r="G94" s="23" t="str">
        <f ca="1">IFERROR(__xludf.DUMMYFUNCTION("""COMPUTED_VALUE"""),"http://www.riss.kr/link?id=S417596")</f>
        <v>http://www.riss.kr/link?id=S417596</v>
      </c>
      <c r="H94" s="95" t="str">
        <f ca="1">IFERROR(__xludf.DUMMYFUNCTION("""COMPUTED_VALUE"""),"X")</f>
        <v>X</v>
      </c>
    </row>
    <row r="95" spans="1:8" ht="26.25" customHeight="1">
      <c r="A95" s="154">
        <f t="shared" ca="1" si="0"/>
        <v>92</v>
      </c>
      <c r="B95" s="19" t="str">
        <f ca="1">IFERROR(__xludf.DUMMYFUNCTION("""COMPUTED_VALUE"""),"Structural Engineering and Mechanics")</f>
        <v>Structural Engineering and Mechanics</v>
      </c>
      <c r="C95" s="19" t="str">
        <f ca="1">IFERROR(__xludf.DUMMYFUNCTION("""COMPUTED_VALUE"""),"Techno-Press")</f>
        <v>Techno-Press</v>
      </c>
      <c r="D95" s="20" t="str">
        <f ca="1">IFERROR(__xludf.DUMMYFUNCTION("""COMPUTED_VALUE"""),"1225-4568")</f>
        <v>1225-4568</v>
      </c>
      <c r="E95" s="32" t="str">
        <f ca="1">IFERROR(__xludf.DUMMYFUNCTION("""COMPUTED_VALUE"""),"2010-2021")</f>
        <v>2010-2021</v>
      </c>
      <c r="F95" s="22" t="str">
        <f ca="1">IFERROR(__xludf.DUMMYFUNCTION("""COMPUTED_VALUE"""),"SCIE, SCOPUS")</f>
        <v>SCIE, SCOPUS</v>
      </c>
      <c r="G95" s="23" t="str">
        <f ca="1">IFERROR(__xludf.DUMMYFUNCTION("""COMPUTED_VALUE"""),"http://www.riss.kr/link?id=S14380")</f>
        <v>http://www.riss.kr/link?id=S14380</v>
      </c>
      <c r="H95" s="95" t="str">
        <f ca="1">IFERROR(__xludf.DUMMYFUNCTION("""COMPUTED_VALUE"""),"O")</f>
        <v>O</v>
      </c>
    </row>
    <row r="96" spans="1:8" ht="26.25" customHeight="1">
      <c r="A96" s="154">
        <f t="shared" ca="1" si="0"/>
        <v>93</v>
      </c>
      <c r="B96" s="19" t="str">
        <f ca="1">IFERROR(__xludf.DUMMYFUNCTION("""COMPUTED_VALUE"""),"Technisches Messen - TM")</f>
        <v>Technisches Messen - TM</v>
      </c>
      <c r="C96" s="19" t="str">
        <f ca="1">IFERROR(__xludf.DUMMYFUNCTION("""COMPUTED_VALUE"""),"De Gruyter Oldenbourg")</f>
        <v>De Gruyter Oldenbourg</v>
      </c>
      <c r="D96" s="20" t="str">
        <f ca="1">IFERROR(__xludf.DUMMYFUNCTION("""COMPUTED_VALUE"""),"0171-8096")</f>
        <v>0171-8096</v>
      </c>
      <c r="E96" s="32" t="str">
        <f ca="1">IFERROR(__xludf.DUMMYFUNCTION("""COMPUTED_VALUE"""),"2010-2021")</f>
        <v>2010-2021</v>
      </c>
      <c r="F96" s="22" t="str">
        <f ca="1">IFERROR(__xludf.DUMMYFUNCTION("""COMPUTED_VALUE"""),"SCIE, SCOPUS")</f>
        <v>SCIE, SCOPUS</v>
      </c>
      <c r="G96" s="23" t="str">
        <f ca="1">IFERROR(__xludf.DUMMYFUNCTION("""COMPUTED_VALUE"""),"http://www.riss.kr/link?id=S410779")</f>
        <v>http://www.riss.kr/link?id=S410779</v>
      </c>
      <c r="H96" s="95" t="str">
        <f ca="1">IFERROR(__xludf.DUMMYFUNCTION("""COMPUTED_VALUE"""),"O")</f>
        <v>O</v>
      </c>
    </row>
    <row r="97" spans="1:8" ht="26.25" customHeight="1">
      <c r="A97" s="154">
        <f t="shared" ca="1" si="0"/>
        <v>94</v>
      </c>
      <c r="B97" s="31" t="str">
        <f ca="1">IFERROR(__xludf.DUMMYFUNCTION("""COMPUTED_VALUE"""),"The International Journal of Applied Electromagnetics and Mechanics")</f>
        <v>The International Journal of Applied Electromagnetics and Mechanics</v>
      </c>
      <c r="C97" s="19" t="str">
        <f ca="1">IFERROR(__xludf.DUMMYFUNCTION("""COMPUTED_VALUE"""),"IOS Press")</f>
        <v>IOS Press</v>
      </c>
      <c r="D97" s="20" t="str">
        <f ca="1">IFERROR(__xludf.DUMMYFUNCTION("""COMPUTED_VALUE"""),"1383-5416")</f>
        <v>1383-5416</v>
      </c>
      <c r="E97" s="32" t="str">
        <f ca="1">IFERROR(__xludf.DUMMYFUNCTION("""COMPUTED_VALUE"""),"2010-2013")</f>
        <v>2010-2013</v>
      </c>
      <c r="F97" s="22" t="str">
        <f ca="1">IFERROR(__xludf.DUMMYFUNCTION("""COMPUTED_VALUE"""),"SCIE, SCOPUS")</f>
        <v>SCIE, SCOPUS</v>
      </c>
      <c r="G97" s="23" t="str">
        <f ca="1">IFERROR(__xludf.DUMMYFUNCTION("""COMPUTED_VALUE"""),"http://www.riss.kr/link?id=S415890")</f>
        <v>http://www.riss.kr/link?id=S415890</v>
      </c>
      <c r="H97" s="95" t="str">
        <f ca="1">IFERROR(__xludf.DUMMYFUNCTION("""COMPUTED_VALUE"""),"X")</f>
        <v>X</v>
      </c>
    </row>
    <row r="98" spans="1:8" ht="26.25" customHeight="1">
      <c r="A98" s="154">
        <f t="shared" ca="1" si="0"/>
        <v>95</v>
      </c>
      <c r="B98" s="19" t="str">
        <f ca="1">IFERROR(__xludf.DUMMYFUNCTION("""COMPUTED_VALUE"""),"The Journal of Strain Analysis for Engineering Design")</f>
        <v>The Journal of Strain Analysis for Engineering Design</v>
      </c>
      <c r="C98" s="19" t="str">
        <f ca="1">IFERROR(__xludf.DUMMYFUNCTION("""COMPUTED_VALUE"""),"Sage Publications Ltd.")</f>
        <v>Sage Publications Ltd.</v>
      </c>
      <c r="D98" s="20" t="str">
        <f ca="1">IFERROR(__xludf.DUMMYFUNCTION("""COMPUTED_VALUE"""),"0309-3247")</f>
        <v>0309-3247</v>
      </c>
      <c r="E98" s="32" t="str">
        <f ca="1">IFERROR(__xludf.DUMMYFUNCTION("""COMPUTED_VALUE"""),"2010-2020")</f>
        <v>2010-2020</v>
      </c>
      <c r="F98" s="22" t="str">
        <f ca="1">IFERROR(__xludf.DUMMYFUNCTION("""COMPUTED_VALUE"""),"SCIE, SCOPUS")</f>
        <v>SCIE, SCOPUS</v>
      </c>
      <c r="G98" s="23" t="str">
        <f ca="1">IFERROR(__xludf.DUMMYFUNCTION("""COMPUTED_VALUE"""),"http://www.riss.kr/link?id=S414717")</f>
        <v>http://www.riss.kr/link?id=S414717</v>
      </c>
      <c r="H98" s="95" t="str">
        <f ca="1">IFERROR(__xludf.DUMMYFUNCTION("""COMPUTED_VALUE"""),"X")</f>
        <v>X</v>
      </c>
    </row>
    <row r="99" spans="1:8" ht="26.25" customHeight="1">
      <c r="A99" s="154">
        <f t="shared" ca="1" si="0"/>
        <v>96</v>
      </c>
      <c r="B99" s="31" t="str">
        <f ca="1">IFERROR(__xludf.DUMMYFUNCTION("""COMPUTED_VALUE"""),"The Quarterly Journal of Mechanics and Applied Mathematics")</f>
        <v>The Quarterly Journal of Mechanics and Applied Mathematics</v>
      </c>
      <c r="C99" s="19" t="str">
        <f ca="1">IFERROR(__xludf.DUMMYFUNCTION("""COMPUTED_VALUE"""),"Oxford University Press")</f>
        <v>Oxford University Press</v>
      </c>
      <c r="D99" s="20" t="str">
        <f ca="1">IFERROR(__xludf.DUMMYFUNCTION("""COMPUTED_VALUE"""),"0033-5614")</f>
        <v>0033-5614</v>
      </c>
      <c r="E99" s="32" t="str">
        <f ca="1">IFERROR(__xludf.DUMMYFUNCTION("""COMPUTED_VALUE"""),"2010, 2011")</f>
        <v>2010, 2011</v>
      </c>
      <c r="F99" s="22" t="str">
        <f ca="1">IFERROR(__xludf.DUMMYFUNCTION("""COMPUTED_VALUE"""),"SCIE, SCOPUS")</f>
        <v>SCIE, SCOPUS</v>
      </c>
      <c r="G99" s="23" t="str">
        <f ca="1">IFERROR(__xludf.DUMMYFUNCTION("""COMPUTED_VALUE"""),"http://www.riss.kr/link?id=S15953")</f>
        <v>http://www.riss.kr/link?id=S15953</v>
      </c>
      <c r="H99" s="95" t="str">
        <f ca="1">IFERROR(__xludf.DUMMYFUNCTION("""COMPUTED_VALUE"""),"X")</f>
        <v>X</v>
      </c>
    </row>
    <row r="100" spans="1:8" ht="26.25" customHeight="1">
      <c r="A100" s="154">
        <f t="shared" ca="1" si="0"/>
        <v>97</v>
      </c>
      <c r="B100" s="31" t="str">
        <f ca="1">IFERROR(__xludf.DUMMYFUNCTION("""COMPUTED_VALUE"""),"Transactions of the Canadian Society for Mechanical Engineering")</f>
        <v>Transactions of the Canadian Society for Mechanical Engineering</v>
      </c>
      <c r="C100" s="19" t="str">
        <f ca="1">IFERROR(__xludf.DUMMYFUNCTION("""COMPUTED_VALUE"""),"Canadian Society for Mechanical Engineering")</f>
        <v>Canadian Society for Mechanical Engineering</v>
      </c>
      <c r="D100" s="20" t="str">
        <f ca="1">IFERROR(__xludf.DUMMYFUNCTION("""COMPUTED_VALUE"""),"0315-8977")</f>
        <v>0315-8977</v>
      </c>
      <c r="E100" s="32" t="str">
        <f ca="1">IFERROR(__xludf.DUMMYFUNCTION("""COMPUTED_VALUE"""),"2010-2019")</f>
        <v>2010-2019</v>
      </c>
      <c r="F100" s="22" t="str">
        <f ca="1">IFERROR(__xludf.DUMMYFUNCTION("""COMPUTED_VALUE"""),"SCIE, SCOPUS")</f>
        <v>SCIE, SCOPUS</v>
      </c>
      <c r="G100" s="23" t="str">
        <f ca="1">IFERROR(__xludf.DUMMYFUNCTION("""COMPUTED_VALUE"""),"http://www.riss.kr/link?id=S97926")</f>
        <v>http://www.riss.kr/link?id=S97926</v>
      </c>
      <c r="H100" s="95" t="str">
        <f ca="1">IFERROR(__xludf.DUMMYFUNCTION("""COMPUTED_VALUE"""),"X")</f>
        <v>X</v>
      </c>
    </row>
    <row r="101" spans="1:8" ht="26.25" customHeight="1">
      <c r="A101" s="154">
        <f t="shared" ca="1" si="0"/>
        <v>98</v>
      </c>
      <c r="B101" s="31" t="str">
        <f ca="1">IFERROR(__xludf.DUMMYFUNCTION("""COMPUTED_VALUE"""),"Transmission Digest")</f>
        <v>Transmission Digest</v>
      </c>
      <c r="C101" s="19" t="str">
        <f ca="1">IFERROR(__xludf.DUMMYFUNCTION("""COMPUTED_VALUE"""),"MD Publications")</f>
        <v>MD Publications</v>
      </c>
      <c r="D101" s="20" t="str">
        <f ca="1">IFERROR(__xludf.DUMMYFUNCTION("""COMPUTED_VALUE"""),"0277-8300")</f>
        <v>0277-8300</v>
      </c>
      <c r="E101" s="32" t="str">
        <f ca="1">IFERROR(__xludf.DUMMYFUNCTION("""COMPUTED_VALUE"""),"2010-2020")</f>
        <v>2010-2020</v>
      </c>
      <c r="F101" s="22" t="str">
        <f ca="1">IFERROR(__xludf.DUMMYFUNCTION("""COMPUTED_VALUE"""),"-")</f>
        <v>-</v>
      </c>
      <c r="G101" s="23" t="str">
        <f ca="1">IFERROR(__xludf.DUMMYFUNCTION("""COMPUTED_VALUE"""),"http://www.riss.kr/link?id=S115391")</f>
        <v>http://www.riss.kr/link?id=S115391</v>
      </c>
      <c r="H101" s="95" t="str">
        <f ca="1">IFERROR(__xludf.DUMMYFUNCTION("""COMPUTED_VALUE"""),"X")</f>
        <v>X</v>
      </c>
    </row>
    <row r="102" spans="1:8" ht="26.25" customHeight="1">
      <c r="A102" s="154">
        <f t="shared" ca="1" si="0"/>
        <v>99</v>
      </c>
      <c r="B102" s="31" t="str">
        <f ca="1">IFERROR(__xludf.DUMMYFUNCTION("""COMPUTED_VALUE"""),"Transportation Research Record")</f>
        <v>Transportation Research Record</v>
      </c>
      <c r="C102" s="19" t="str">
        <f ca="1">IFERROR(__xludf.DUMMYFUNCTION("""COMPUTED_VALUE"""),"Sage Publications Ltd.")</f>
        <v>Sage Publications Ltd.</v>
      </c>
      <c r="D102" s="20" t="str">
        <f ca="1">IFERROR(__xludf.DUMMYFUNCTION("""COMPUTED_VALUE"""),"0361-1981")</f>
        <v>0361-1981</v>
      </c>
      <c r="E102" s="32" t="str">
        <f ca="1">IFERROR(__xludf.DUMMYFUNCTION("""COMPUTED_VALUE"""),"1993-2004, 2010-2016")</f>
        <v>1993-2004, 2010-2016</v>
      </c>
      <c r="F102" s="22" t="str">
        <f ca="1">IFERROR(__xludf.DUMMYFUNCTION("""COMPUTED_VALUE"""),"SCIE, SCOPUS")</f>
        <v>SCIE, SCOPUS</v>
      </c>
      <c r="G102" s="23" t="str">
        <f ca="1">IFERROR(__xludf.DUMMYFUNCTION("""COMPUTED_VALUE"""),"http://www.riss.kr/link?id=S17778")</f>
        <v>http://www.riss.kr/link?id=S17778</v>
      </c>
      <c r="H102" s="95" t="str">
        <f ca="1">IFERROR(__xludf.DUMMYFUNCTION("""COMPUTED_VALUE"""),"X")</f>
        <v>X</v>
      </c>
    </row>
    <row r="103" spans="1:8" ht="26.25" customHeight="1">
      <c r="A103" s="154">
        <f t="shared" ca="1" si="0"/>
        <v>100</v>
      </c>
      <c r="B103" s="31" t="str">
        <f ca="1">IFERROR(__xludf.DUMMYFUNCTION("""COMPUTED_VALUE"""),"Tribology &amp; lubrication Technology")</f>
        <v>Tribology &amp; lubrication Technology</v>
      </c>
      <c r="C103" s="19" t="str">
        <f ca="1">IFERROR(__xludf.DUMMYFUNCTION("""COMPUTED_VALUE"""),"Society of Tribologists and Lubrication Engineers")</f>
        <v>Society of Tribologists and Lubrication Engineers</v>
      </c>
      <c r="D103" s="20" t="str">
        <f ca="1">IFERROR(__xludf.DUMMYFUNCTION("""COMPUTED_VALUE"""),"1545-858X")</f>
        <v>1545-858X</v>
      </c>
      <c r="E103" s="32" t="str">
        <f ca="1">IFERROR(__xludf.DUMMYFUNCTION("""COMPUTED_VALUE"""),"2010-2011")</f>
        <v>2010-2011</v>
      </c>
      <c r="F103" s="22" t="str">
        <f ca="1">IFERROR(__xludf.DUMMYFUNCTION("""COMPUTED_VALUE"""),"SCOPUS")</f>
        <v>SCOPUS</v>
      </c>
      <c r="G103" s="23" t="str">
        <f ca="1">IFERROR(__xludf.DUMMYFUNCTION("""COMPUTED_VALUE"""),"http://www.riss.kr/link?id=S104898")</f>
        <v>http://www.riss.kr/link?id=S104898</v>
      </c>
      <c r="H103" s="95" t="str">
        <f ca="1">IFERROR(__xludf.DUMMYFUNCTION("""COMPUTED_VALUE"""),"X")</f>
        <v>X</v>
      </c>
    </row>
    <row r="104" spans="1:8" ht="26.25" customHeight="1">
      <c r="A104" s="154">
        <f t="shared" ca="1" si="0"/>
        <v>101</v>
      </c>
      <c r="B104" s="19" t="str">
        <f ca="1">IFERROR(__xludf.DUMMYFUNCTION("""COMPUTED_VALUE"""),"Tribology Transactions")</f>
        <v>Tribology Transactions</v>
      </c>
      <c r="C104" s="19" t="str">
        <f ca="1">IFERROR(__xludf.DUMMYFUNCTION("""COMPUTED_VALUE"""),"Taylor &amp; Francis")</f>
        <v>Taylor &amp; Francis</v>
      </c>
      <c r="D104" s="20" t="str">
        <f ca="1">IFERROR(__xludf.DUMMYFUNCTION("""COMPUTED_VALUE"""),"1040-2004")</f>
        <v>1040-2004</v>
      </c>
      <c r="E104" s="32" t="str">
        <f ca="1">IFERROR(__xludf.DUMMYFUNCTION("""COMPUTED_VALUE"""),"2010-2021")</f>
        <v>2010-2021</v>
      </c>
      <c r="F104" s="22" t="str">
        <f ca="1">IFERROR(__xludf.DUMMYFUNCTION("""COMPUTED_VALUE"""),"SCIE, SCOPUS")</f>
        <v>SCIE, SCOPUS</v>
      </c>
      <c r="G104" s="23" t="str">
        <f ca="1">IFERROR(__xludf.DUMMYFUNCTION("""COMPUTED_VALUE"""),"http://www.riss.kr/link?id=S21137")</f>
        <v>http://www.riss.kr/link?id=S21137</v>
      </c>
      <c r="H104" s="95" t="str">
        <f ca="1">IFERROR(__xludf.DUMMYFUNCTION("""COMPUTED_VALUE"""),"O")</f>
        <v>O</v>
      </c>
    </row>
    <row r="105" spans="1:8" ht="26.25" customHeight="1">
      <c r="A105" s="154">
        <f t="shared" ca="1" si="0"/>
        <v>102</v>
      </c>
      <c r="B105" s="19" t="str">
        <f ca="1">IFERROR(__xludf.DUMMYFUNCTION("""COMPUTED_VALUE"""),"Vehicle System Dynamics")</f>
        <v>Vehicle System Dynamics</v>
      </c>
      <c r="C105" s="19" t="str">
        <f ca="1">IFERROR(__xludf.DUMMYFUNCTION("""COMPUTED_VALUE"""),"Taylor &amp; Francis")</f>
        <v>Taylor &amp; Francis</v>
      </c>
      <c r="D105" s="20" t="str">
        <f ca="1">IFERROR(__xludf.DUMMYFUNCTION("""COMPUTED_VALUE"""),"0042-3114")</f>
        <v>0042-3114</v>
      </c>
      <c r="E105" s="32" t="str">
        <f ca="1">IFERROR(__xludf.DUMMYFUNCTION("""COMPUTED_VALUE"""),"2010-2021")</f>
        <v>2010-2021</v>
      </c>
      <c r="F105" s="22" t="str">
        <f ca="1">IFERROR(__xludf.DUMMYFUNCTION("""COMPUTED_VALUE"""),"SCIE, SCOPUS")</f>
        <v>SCIE, SCOPUS</v>
      </c>
      <c r="G105" s="23" t="str">
        <f ca="1">IFERROR(__xludf.DUMMYFUNCTION("""COMPUTED_VALUE"""),"http://www.riss.kr/link?id=S12927")</f>
        <v>http://www.riss.kr/link?id=S12927</v>
      </c>
      <c r="H105" s="95" t="str">
        <f ca="1">IFERROR(__xludf.DUMMYFUNCTION("""COMPUTED_VALUE"""),"O")</f>
        <v>O</v>
      </c>
    </row>
    <row r="106" spans="1:8" ht="26.25" customHeight="1">
      <c r="A106" s="154">
        <f t="shared" ca="1" si="0"/>
        <v>103</v>
      </c>
      <c r="B106" s="31" t="str">
        <f ca="1">IFERROR(__xludf.DUMMYFUNCTION("""COMPUTED_VALUE"""),"Welding in the World")</f>
        <v>Welding in the World</v>
      </c>
      <c r="C106" s="19" t="str">
        <f ca="1">IFERROR(__xludf.DUMMYFUNCTION("""COMPUTED_VALUE"""),"Springer")</f>
        <v>Springer</v>
      </c>
      <c r="D106" s="20" t="str">
        <f ca="1">IFERROR(__xludf.DUMMYFUNCTION("""COMPUTED_VALUE"""),"0043-2288")</f>
        <v>0043-2288</v>
      </c>
      <c r="E106" s="32" t="str">
        <f ca="1">IFERROR(__xludf.DUMMYFUNCTION("""COMPUTED_VALUE"""),"2010-2013")</f>
        <v>2010-2013</v>
      </c>
      <c r="F106" s="22" t="str">
        <f ca="1">IFERROR(__xludf.DUMMYFUNCTION("""COMPUTED_VALUE"""),"SCIE, SCOPUS")</f>
        <v>SCIE, SCOPUS</v>
      </c>
      <c r="G106" s="23" t="str">
        <f ca="1">IFERROR(__xludf.DUMMYFUNCTION("""COMPUTED_VALUE"""),"http://www.riss.kr/link?id=S417506")</f>
        <v>http://www.riss.kr/link?id=S417506</v>
      </c>
      <c r="H106" s="95" t="str">
        <f ca="1">IFERROR(__xludf.DUMMYFUNCTION("""COMPUTED_VALUE"""),"X")</f>
        <v>X</v>
      </c>
    </row>
    <row r="107" spans="1:8" ht="26.25" customHeight="1">
      <c r="A107" s="154">
        <f t="shared" ca="1" si="0"/>
        <v>104</v>
      </c>
      <c r="B107" s="31" t="str">
        <f ca="1">IFERROR(__xludf.DUMMYFUNCTION("""COMPUTED_VALUE"""),"Welding International")</f>
        <v>Welding International</v>
      </c>
      <c r="C107" s="19" t="str">
        <f ca="1">IFERROR(__xludf.DUMMYFUNCTION("""COMPUTED_VALUE"""),"Taylor &amp; Francis")</f>
        <v>Taylor &amp; Francis</v>
      </c>
      <c r="D107" s="20" t="str">
        <f ca="1">IFERROR(__xludf.DUMMYFUNCTION("""COMPUTED_VALUE"""),"0950-7116")</f>
        <v>0950-7116</v>
      </c>
      <c r="E107" s="32" t="str">
        <f ca="1">IFERROR(__xludf.DUMMYFUNCTION("""COMPUTED_VALUE"""),"2010-2019")</f>
        <v>2010-2019</v>
      </c>
      <c r="F107" s="22" t="str">
        <f ca="1">IFERROR(__xludf.DUMMYFUNCTION("""COMPUTED_VALUE"""),"-")</f>
        <v>-</v>
      </c>
      <c r="G107" s="23" t="str">
        <f ca="1">IFERROR(__xludf.DUMMYFUNCTION("""COMPUTED_VALUE"""),"http://www.riss.kr/link?id=S414819")</f>
        <v>http://www.riss.kr/link?id=S414819</v>
      </c>
      <c r="H107" s="95" t="str">
        <f ca="1">IFERROR(__xludf.DUMMYFUNCTION("""COMPUTED_VALUE"""),"X")</f>
        <v>X</v>
      </c>
    </row>
    <row r="108" spans="1:8" ht="26.25" customHeight="1">
      <c r="A108" s="154">
        <f t="shared" ca="1" si="0"/>
        <v>105</v>
      </c>
      <c r="B108" s="19" t="str">
        <f ca="1">IFERROR(__xludf.DUMMYFUNCTION("""COMPUTED_VALUE"""),"Welding Journal")</f>
        <v>Welding Journal</v>
      </c>
      <c r="C108" s="19" t="str">
        <f ca="1">IFERROR(__xludf.DUMMYFUNCTION("""COMPUTED_VALUE"""),"American Welding Society")</f>
        <v>American Welding Society</v>
      </c>
      <c r="D108" s="20" t="str">
        <f ca="1">IFERROR(__xludf.DUMMYFUNCTION("""COMPUTED_VALUE"""),"0043-2296")</f>
        <v>0043-2296</v>
      </c>
      <c r="E108" s="32" t="str">
        <f ca="1">IFERROR(__xludf.DUMMYFUNCTION("""COMPUTED_VALUE"""),"1965-2004, 2010-2021")</f>
        <v>1965-2004, 2010-2021</v>
      </c>
      <c r="F108" s="22" t="str">
        <f ca="1">IFERROR(__xludf.DUMMYFUNCTION("""COMPUTED_VALUE"""),"SCIE, SCOPUS")</f>
        <v>SCIE, SCOPUS</v>
      </c>
      <c r="G108" s="23" t="str">
        <f ca="1">IFERROR(__xludf.DUMMYFUNCTION("""COMPUTED_VALUE"""),"http://www.riss.kr/link?id=S15504")</f>
        <v>http://www.riss.kr/link?id=S15504</v>
      </c>
      <c r="H108" s="95" t="str">
        <f ca="1">IFERROR(__xludf.DUMMYFUNCTION("""COMPUTED_VALUE"""),"O")</f>
        <v>O</v>
      </c>
    </row>
    <row r="109" spans="1:8" ht="26.25" customHeight="1">
      <c r="A109" s="154">
        <f t="shared" ca="1" si="0"/>
        <v>106</v>
      </c>
      <c r="B109" s="31" t="str">
        <f ca="1">IFERROR(__xludf.DUMMYFUNCTION("""COMPUTED_VALUE"""),"What Car?")</f>
        <v>What Car?</v>
      </c>
      <c r="C109" s="19" t="str">
        <f ca="1">IFERROR(__xludf.DUMMYFUNCTION("""COMPUTED_VALUE"""),"Haymarket Publishing")</f>
        <v>Haymarket Publishing</v>
      </c>
      <c r="D109" s="20" t="str">
        <f ca="1">IFERROR(__xludf.DUMMYFUNCTION("""COMPUTED_VALUE"""),"0307-2991")</f>
        <v>0307-2991</v>
      </c>
      <c r="E109" s="32" t="str">
        <f ca="1">IFERROR(__xludf.DUMMYFUNCTION("""COMPUTED_VALUE"""),"2010-2020")</f>
        <v>2010-2020</v>
      </c>
      <c r="F109" s="22" t="str">
        <f ca="1">IFERROR(__xludf.DUMMYFUNCTION("""COMPUTED_VALUE"""),"-")</f>
        <v>-</v>
      </c>
      <c r="G109" s="23" t="str">
        <f ca="1">IFERROR(__xludf.DUMMYFUNCTION("""COMPUTED_VALUE"""),"http://www.riss.kr/link?id=S115392")</f>
        <v>http://www.riss.kr/link?id=S115392</v>
      </c>
      <c r="H109" s="95" t="str">
        <f ca="1">IFERROR(__xludf.DUMMYFUNCTION("""COMPUTED_VALUE"""),"X")</f>
        <v>X</v>
      </c>
    </row>
    <row r="110" spans="1:8" ht="26.25" customHeight="1">
      <c r="A110" s="154">
        <f t="shared" ca="1" si="0"/>
        <v>107</v>
      </c>
      <c r="B110" s="19" t="str">
        <f ca="1">IFERROR(__xludf.DUMMYFUNCTION("""COMPUTED_VALUE"""),"タ-ボ機械")</f>
        <v>タ-ボ機械</v>
      </c>
      <c r="C110" s="19" t="str">
        <f ca="1">IFERROR(__xludf.DUMMYFUNCTION("""COMPUTED_VALUE"""),"Japan Industrial Publishing Co., Ltd.")</f>
        <v>Japan Industrial Publishing Co., Ltd.</v>
      </c>
      <c r="D110" s="20" t="str">
        <f ca="1">IFERROR(__xludf.DUMMYFUNCTION("""COMPUTED_VALUE"""),"0385-8839")</f>
        <v>0385-8839</v>
      </c>
      <c r="E110" s="32" t="str">
        <f ca="1">IFERROR(__xludf.DUMMYFUNCTION("""COMPUTED_VALUE"""),"2011-2021")</f>
        <v>2011-2021</v>
      </c>
      <c r="F110" s="22" t="str">
        <f ca="1">IFERROR(__xludf.DUMMYFUNCTION("""COMPUTED_VALUE"""),"-")</f>
        <v>-</v>
      </c>
      <c r="G110" s="23" t="str">
        <f ca="1">IFERROR(__xludf.DUMMYFUNCTION("""COMPUTED_VALUE"""),"http://www.riss.kr/link?id=S85490")</f>
        <v>http://www.riss.kr/link?id=S85490</v>
      </c>
      <c r="H110" s="95" t="str">
        <f ca="1">IFERROR(__xludf.DUMMYFUNCTION("""COMPUTED_VALUE"""),"O")</f>
        <v>O</v>
      </c>
    </row>
    <row r="111" spans="1:8" ht="26.25" customHeight="1">
      <c r="A111" s="154">
        <f t="shared" ca="1" si="0"/>
        <v>108</v>
      </c>
      <c r="B111" s="19" t="str">
        <f ca="1">IFERROR(__xludf.DUMMYFUNCTION("""COMPUTED_VALUE"""),"フル－ドパワ－システム")</f>
        <v>フル－ドパワ－システム</v>
      </c>
      <c r="C111" s="19" t="str">
        <f ca="1">IFERROR(__xludf.DUMMYFUNCTION("""COMPUTED_VALUE"""),"Japan Fluid Power System Society")</f>
        <v>Japan Fluid Power System Society</v>
      </c>
      <c r="D111" s="20" t="str">
        <f ca="1">IFERROR(__xludf.DUMMYFUNCTION("""COMPUTED_VALUE"""),"1346-7719")</f>
        <v>1346-7719</v>
      </c>
      <c r="E111" s="32" t="str">
        <f ca="1">IFERROR(__xludf.DUMMYFUNCTION("""COMPUTED_VALUE"""),"2013-2020")</f>
        <v>2013-2020</v>
      </c>
      <c r="F111" s="22" t="str">
        <f ca="1">IFERROR(__xludf.DUMMYFUNCTION("""COMPUTED_VALUE"""),"-")</f>
        <v>-</v>
      </c>
      <c r="G111" s="23" t="str">
        <f ca="1">IFERROR(__xludf.DUMMYFUNCTION("""COMPUTED_VALUE"""),"http://www.riss.kr/link?id=S20010476")</f>
        <v>http://www.riss.kr/link?id=S20010476</v>
      </c>
      <c r="H111" s="95" t="str">
        <f ca="1">IFERROR(__xludf.DUMMYFUNCTION("""COMPUTED_VALUE"""),"X")</f>
        <v>X</v>
      </c>
    </row>
    <row r="112" spans="1:8" ht="26.25" customHeight="1">
      <c r="A112" s="154">
        <f t="shared" ca="1" si="0"/>
        <v>109</v>
      </c>
      <c r="B112" s="19" t="str">
        <f ca="1">IFERROR(__xludf.DUMMYFUNCTION("""COMPUTED_VALUE"""),"加工技術")</f>
        <v>加工技術</v>
      </c>
      <c r="C112" s="19" t="str">
        <f ca="1">IFERROR(__xludf.DUMMYFUNCTION("""COMPUTED_VALUE"""),"纖維社")</f>
        <v>纖維社</v>
      </c>
      <c r="D112" s="20" t="str">
        <f ca="1">IFERROR(__xludf.DUMMYFUNCTION("""COMPUTED_VALUE"""),"0386-6041")</f>
        <v>0386-6041</v>
      </c>
      <c r="E112" s="32" t="str">
        <f ca="1">IFERROR(__xludf.DUMMYFUNCTION("""COMPUTED_VALUE"""),"1996-2021")</f>
        <v>1996-2021</v>
      </c>
      <c r="F112" s="22" t="str">
        <f ca="1">IFERROR(__xludf.DUMMYFUNCTION("""COMPUTED_VALUE"""),"-")</f>
        <v>-</v>
      </c>
      <c r="G112" s="23" t="str">
        <f ca="1">IFERROR(__xludf.DUMMYFUNCTION("""COMPUTED_VALUE"""),"http://www.riss.kr/link?id=S48936")</f>
        <v>http://www.riss.kr/link?id=S48936</v>
      </c>
      <c r="H112" s="24" t="str">
        <f ca="1">IFERROR(__xludf.DUMMYFUNCTION("""COMPUTED_VALUE"""),"O")</f>
        <v>O</v>
      </c>
    </row>
    <row r="113" spans="1:8" ht="26.25" customHeight="1">
      <c r="A113" s="154">
        <f t="shared" ca="1" si="0"/>
        <v>110</v>
      </c>
      <c r="B113" s="19" t="str">
        <f ca="1">IFERROR(__xludf.DUMMYFUNCTION("""COMPUTED_VALUE"""),"建設機械")</f>
        <v>建設機械</v>
      </c>
      <c r="C113" s="19" t="str">
        <f ca="1">IFERROR(__xludf.DUMMYFUNCTION("""COMPUTED_VALUE"""),"Japan Industrial Publishing Co., Ltd.")</f>
        <v>Japan Industrial Publishing Co., Ltd.</v>
      </c>
      <c r="D113" s="20" t="str">
        <f ca="1">IFERROR(__xludf.DUMMYFUNCTION("""COMPUTED_VALUE"""),"0385-9878")</f>
        <v>0385-9878</v>
      </c>
      <c r="E113" s="32" t="str">
        <f ca="1">IFERROR(__xludf.DUMMYFUNCTION("""COMPUTED_VALUE"""),"1980-2021")</f>
        <v>1980-2021</v>
      </c>
      <c r="F113" s="22" t="str">
        <f ca="1">IFERROR(__xludf.DUMMYFUNCTION("""COMPUTED_VALUE"""),"-")</f>
        <v>-</v>
      </c>
      <c r="G113" s="23" t="str">
        <f ca="1">IFERROR(__xludf.DUMMYFUNCTION("""COMPUTED_VALUE"""),"http://www.riss.kr/link?id=S63516")</f>
        <v>http://www.riss.kr/link?id=S63516</v>
      </c>
      <c r="H113" s="24" t="str">
        <f ca="1">IFERROR(__xludf.DUMMYFUNCTION("""COMPUTED_VALUE"""),"O")</f>
        <v>O</v>
      </c>
    </row>
    <row r="114" spans="1:8" ht="26.25" customHeight="1">
      <c r="A114" s="154">
        <f t="shared" ca="1" si="0"/>
        <v>111</v>
      </c>
      <c r="B114" s="19" t="str">
        <f ca="1">IFERROR(__xludf.DUMMYFUNCTION("""COMPUTED_VALUE"""),"計測と制御")</f>
        <v>計測と制御</v>
      </c>
      <c r="C114" s="19" t="str">
        <f ca="1">IFERROR(__xludf.DUMMYFUNCTION("""COMPUTED_VALUE"""),"Society of Instrument and Control Engineers")</f>
        <v>Society of Instrument and Control Engineers</v>
      </c>
      <c r="D114" s="20" t="str">
        <f ca="1">IFERROR(__xludf.DUMMYFUNCTION("""COMPUTED_VALUE"""),"0453-4662")</f>
        <v>0453-4662</v>
      </c>
      <c r="E114" s="32" t="str">
        <f ca="1">IFERROR(__xludf.DUMMYFUNCTION("""COMPUTED_VALUE"""),"1965, 1968-2021")</f>
        <v>1965, 1968-2021</v>
      </c>
      <c r="F114" s="22" t="str">
        <f ca="1">IFERROR(__xludf.DUMMYFUNCTION("""COMPUTED_VALUE"""),"-")</f>
        <v>-</v>
      </c>
      <c r="G114" s="23" t="str">
        <f ca="1">IFERROR(__xludf.DUMMYFUNCTION("""COMPUTED_VALUE"""),"http://www.riss.kr/link?id=S26171")</f>
        <v>http://www.riss.kr/link?id=S26171</v>
      </c>
      <c r="H114" s="24" t="str">
        <f ca="1">IFERROR(__xludf.DUMMYFUNCTION("""COMPUTED_VALUE"""),"O")</f>
        <v>O</v>
      </c>
    </row>
    <row r="115" spans="1:8" ht="26.25" customHeight="1">
      <c r="A115" s="154">
        <f t="shared" ca="1" si="0"/>
        <v>112</v>
      </c>
      <c r="B115" s="31" t="str">
        <f ca="1">IFERROR(__xludf.DUMMYFUNCTION("""COMPUTED_VALUE"""),"計測自動制御學會論文集")</f>
        <v>計測自動制御學會論文集</v>
      </c>
      <c r="C115" s="19" t="str">
        <f ca="1">IFERROR(__xludf.DUMMYFUNCTION("""COMPUTED_VALUE"""),"Corona Publishing Co., Ltd.")</f>
        <v>Corona Publishing Co., Ltd.</v>
      </c>
      <c r="D115" s="20" t="str">
        <f ca="1">IFERROR(__xludf.DUMMYFUNCTION("""COMPUTED_VALUE"""),"0453-4654")</f>
        <v>0453-4654</v>
      </c>
      <c r="E115" s="32" t="str">
        <f ca="1">IFERROR(__xludf.DUMMYFUNCTION("""COMPUTED_VALUE"""),"1967, 1969-1977, 1981-2004")</f>
        <v>1967, 1969-1977, 1981-2004</v>
      </c>
      <c r="F115" s="22" t="str">
        <f ca="1">IFERROR(__xludf.DUMMYFUNCTION("""COMPUTED_VALUE"""),"-")</f>
        <v>-</v>
      </c>
      <c r="G115" s="23" t="str">
        <f ca="1">IFERROR(__xludf.DUMMYFUNCTION("""COMPUTED_VALUE"""),"http://www.riss.kr/link?id=S417041")</f>
        <v>http://www.riss.kr/link?id=S417041</v>
      </c>
      <c r="H115" s="24" t="str">
        <f ca="1">IFERROR(__xludf.DUMMYFUNCTION("""COMPUTED_VALUE"""),"X")</f>
        <v>X</v>
      </c>
    </row>
    <row r="116" spans="1:8" ht="26.25" customHeight="1">
      <c r="A116" s="154">
        <f t="shared" ca="1" si="0"/>
        <v>113</v>
      </c>
      <c r="B116" s="19" t="str">
        <f ca="1">IFERROR(__xludf.DUMMYFUNCTION("""COMPUTED_VALUE"""),"空気調和 衛生工学会論文集")</f>
        <v>空気調和 衛生工学会論文集</v>
      </c>
      <c r="C116" s="19" t="str">
        <f ca="1">IFERROR(__xludf.DUMMYFUNCTION("""COMPUTED_VALUE"""),"Air-Conditioning and Sanitary Engineering of Japan")</f>
        <v>Air-Conditioning and Sanitary Engineering of Japan</v>
      </c>
      <c r="D116" s="20" t="str">
        <f ca="1">IFERROR(__xludf.DUMMYFUNCTION("""COMPUTED_VALUE"""),"0385-275X")</f>
        <v>0385-275X</v>
      </c>
      <c r="E116" s="32" t="str">
        <f ca="1">IFERROR(__xludf.DUMMYFUNCTION("""COMPUTED_VALUE"""),"2010-2021")</f>
        <v>2010-2021</v>
      </c>
      <c r="F116" s="22" t="str">
        <f ca="1">IFERROR(__xludf.DUMMYFUNCTION("""COMPUTED_VALUE"""),"-")</f>
        <v>-</v>
      </c>
      <c r="G116" s="23" t="str">
        <f ca="1">IFERROR(__xludf.DUMMYFUNCTION("""COMPUTED_VALUE"""),"http://www.riss.kr/link?id=S411199")</f>
        <v>http://www.riss.kr/link?id=S411199</v>
      </c>
      <c r="H116" s="24" t="str">
        <f ca="1">IFERROR(__xludf.DUMMYFUNCTION("""COMPUTED_VALUE"""),"O")</f>
        <v>O</v>
      </c>
    </row>
    <row r="117" spans="1:8" ht="26.25" customHeight="1">
      <c r="A117" s="154">
        <f t="shared" ca="1" si="0"/>
        <v>114</v>
      </c>
      <c r="B117" s="31" t="str">
        <f ca="1">IFERROR(__xludf.DUMMYFUNCTION("""COMPUTED_VALUE"""),"空氣調和·衛生工學")</f>
        <v>空氣調和·衛生工學</v>
      </c>
      <c r="C117" s="19" t="str">
        <f ca="1">IFERROR(__xludf.DUMMYFUNCTION("""COMPUTED_VALUE"""),"Air-Conditioning and Sanitary Engineering of Japan")</f>
        <v>Air-Conditioning and Sanitary Engineering of Japan</v>
      </c>
      <c r="D117" s="20" t="str">
        <f ca="1">IFERROR(__xludf.DUMMYFUNCTION("""COMPUTED_VALUE"""),"0386-4081")</f>
        <v>0386-4081</v>
      </c>
      <c r="E117" s="32" t="str">
        <f ca="1">IFERROR(__xludf.DUMMYFUNCTION("""COMPUTED_VALUE"""),"2010-2019")</f>
        <v>2010-2019</v>
      </c>
      <c r="F117" s="22" t="str">
        <f ca="1">IFERROR(__xludf.DUMMYFUNCTION("""COMPUTED_VALUE"""),"-")</f>
        <v>-</v>
      </c>
      <c r="G117" s="23" t="str">
        <f ca="1">IFERROR(__xludf.DUMMYFUNCTION("""COMPUTED_VALUE"""),"http://www.riss.kr/link?id=S31658")</f>
        <v>http://www.riss.kr/link?id=S31658</v>
      </c>
      <c r="H117" s="24" t="str">
        <f ca="1">IFERROR(__xludf.DUMMYFUNCTION("""COMPUTED_VALUE"""),"X")</f>
        <v>X</v>
      </c>
    </row>
    <row r="118" spans="1:8" ht="26.25" customHeight="1">
      <c r="A118" s="154">
        <f t="shared" ca="1" si="0"/>
        <v>115</v>
      </c>
      <c r="B118" s="19" t="str">
        <f ca="1">IFERROR(__xludf.DUMMYFUNCTION("""COMPUTED_VALUE"""),"機械 と工具")</f>
        <v>機械 と工具</v>
      </c>
      <c r="C118" s="19" t="str">
        <f ca="1">IFERROR(__xludf.DUMMYFUNCTION("""COMPUTED_VALUE"""),"Kogyo Chosakai Publishing Co. Ltd.")</f>
        <v>Kogyo Chosakai Publishing Co. Ltd.</v>
      </c>
      <c r="D118" s="20" t="str">
        <f ca="1">IFERROR(__xludf.DUMMYFUNCTION("""COMPUTED_VALUE"""),"0387-1053")</f>
        <v>0387-1053</v>
      </c>
      <c r="E118" s="32" t="str">
        <f ca="1">IFERROR(__xludf.DUMMYFUNCTION("""COMPUTED_VALUE"""),"2010, 2012-2020")</f>
        <v>2010, 2012-2020</v>
      </c>
      <c r="F118" s="22" t="str">
        <f ca="1">IFERROR(__xludf.DUMMYFUNCTION("""COMPUTED_VALUE"""),"-")</f>
        <v>-</v>
      </c>
      <c r="G118" s="23" t="str">
        <f ca="1">IFERROR(__xludf.DUMMYFUNCTION("""COMPUTED_VALUE"""),"http://www.riss.kr/link?id=S48402")</f>
        <v>http://www.riss.kr/link?id=S48402</v>
      </c>
      <c r="H118" s="24" t="str">
        <f ca="1">IFERROR(__xludf.DUMMYFUNCTION("""COMPUTED_VALUE"""),"X")</f>
        <v>X</v>
      </c>
    </row>
    <row r="119" spans="1:8" ht="26.25" customHeight="1">
      <c r="A119" s="154">
        <f t="shared" ca="1" si="0"/>
        <v>116</v>
      </c>
      <c r="B119" s="19" t="str">
        <f ca="1">IFERROR(__xludf.DUMMYFUNCTION("""COMPUTED_VALUE"""),"機械の硏究")</f>
        <v>機械の硏究</v>
      </c>
      <c r="C119" s="19" t="str">
        <f ca="1">IFERROR(__xludf.DUMMYFUNCTION("""COMPUTED_VALUE"""),"Yokendo Co. Ltd.")</f>
        <v>Yokendo Co. Ltd.</v>
      </c>
      <c r="D119" s="20" t="str">
        <f ca="1">IFERROR(__xludf.DUMMYFUNCTION("""COMPUTED_VALUE"""),"0368-5713")</f>
        <v>0368-5713</v>
      </c>
      <c r="E119" s="32" t="str">
        <f ca="1">IFERROR(__xludf.DUMMYFUNCTION("""COMPUTED_VALUE"""),"1949-1962, 1967-1968, 1974-1975, 1980-2004, 2010-2020")</f>
        <v>1949-1962, 1967-1968, 1974-1975, 1980-2004, 2010-2020</v>
      </c>
      <c r="F119" s="22" t="str">
        <f ca="1">IFERROR(__xludf.DUMMYFUNCTION("""COMPUTED_VALUE"""),"-")</f>
        <v>-</v>
      </c>
      <c r="G119" s="23" t="str">
        <f ca="1">IFERROR(__xludf.DUMMYFUNCTION("""COMPUTED_VALUE"""),"http://www.riss.kr/link?id=S19734")</f>
        <v>http://www.riss.kr/link?id=S19734</v>
      </c>
      <c r="H119" s="24" t="str">
        <f ca="1">IFERROR(__xludf.DUMMYFUNCTION("""COMPUTED_VALUE"""),"X")</f>
        <v>X</v>
      </c>
    </row>
    <row r="120" spans="1:8" ht="26.25" customHeight="1">
      <c r="A120" s="154">
        <f t="shared" ca="1" si="0"/>
        <v>117</v>
      </c>
      <c r="B120" s="19" t="str">
        <f ca="1">IFERROR(__xludf.DUMMYFUNCTION("""COMPUTED_VALUE"""),"機械技術")</f>
        <v>機械技術</v>
      </c>
      <c r="C120" s="19" t="str">
        <f ca="1">IFERROR(__xludf.DUMMYFUNCTION("""COMPUTED_VALUE"""),"Industrial Daily News Ltd.")</f>
        <v>Industrial Daily News Ltd.</v>
      </c>
      <c r="D120" s="20" t="str">
        <f ca="1">IFERROR(__xludf.DUMMYFUNCTION("""COMPUTED_VALUE"""),"0451-9396")</f>
        <v>0451-9396</v>
      </c>
      <c r="E120" s="32" t="str">
        <f ca="1">IFERROR(__xludf.DUMMYFUNCTION("""COMPUTED_VALUE"""),"1974-1975, 1980-2020")</f>
        <v>1974-1975, 1980-2020</v>
      </c>
      <c r="F120" s="22" t="str">
        <f ca="1">IFERROR(__xludf.DUMMYFUNCTION("""COMPUTED_VALUE"""),"-")</f>
        <v>-</v>
      </c>
      <c r="G120" s="23" t="str">
        <f ca="1">IFERROR(__xludf.DUMMYFUNCTION("""COMPUTED_VALUE"""),"http://www.riss.kr/link?id=S40376")</f>
        <v>http://www.riss.kr/link?id=S40376</v>
      </c>
      <c r="H120" s="24" t="str">
        <f ca="1">IFERROR(__xludf.DUMMYFUNCTION("""COMPUTED_VALUE"""),"X")</f>
        <v>X</v>
      </c>
    </row>
    <row r="121" spans="1:8" ht="26.25" customHeight="1">
      <c r="A121" s="154">
        <f t="shared" ca="1" si="0"/>
        <v>118</v>
      </c>
      <c r="B121" s="19" t="str">
        <f ca="1">IFERROR(__xludf.DUMMYFUNCTION("""COMPUTED_VALUE"""),"機械設計")</f>
        <v>機械設計</v>
      </c>
      <c r="C121" s="19" t="str">
        <f ca="1">IFERROR(__xludf.DUMMYFUNCTION("""COMPUTED_VALUE"""),"Industrial Daily News Ltd.")</f>
        <v>Industrial Daily News Ltd.</v>
      </c>
      <c r="D121" s="20" t="str">
        <f ca="1">IFERROR(__xludf.DUMMYFUNCTION("""COMPUTED_VALUE"""),"0387-1045")</f>
        <v>0387-1045</v>
      </c>
      <c r="E121" s="32" t="str">
        <f ca="1">IFERROR(__xludf.DUMMYFUNCTION("""COMPUTED_VALUE"""),"1973-2021")</f>
        <v>1973-2021</v>
      </c>
      <c r="F121" s="22" t="str">
        <f ca="1">IFERROR(__xludf.DUMMYFUNCTION("""COMPUTED_VALUE"""),"-")</f>
        <v>-</v>
      </c>
      <c r="G121" s="23" t="str">
        <f ca="1">IFERROR(__xludf.DUMMYFUNCTION("""COMPUTED_VALUE"""),"http://www.riss.kr/link?id=S40515")</f>
        <v>http://www.riss.kr/link?id=S40515</v>
      </c>
      <c r="H121" s="24" t="str">
        <f ca="1">IFERROR(__xludf.DUMMYFUNCTION("""COMPUTED_VALUE"""),"O")</f>
        <v>O</v>
      </c>
    </row>
    <row r="122" spans="1:8" ht="26.25" customHeight="1">
      <c r="A122" s="154">
        <f t="shared" ca="1" si="0"/>
        <v>119</v>
      </c>
      <c r="B122" s="19" t="str">
        <f ca="1">IFERROR(__xludf.DUMMYFUNCTION("""COMPUTED_VALUE"""),"機能材料")</f>
        <v>機能材料</v>
      </c>
      <c r="C122" s="19" t="str">
        <f ca="1">IFERROR(__xludf.DUMMYFUNCTION("""COMPUTED_VALUE"""),"C M C Publishing Co., Ltd.")</f>
        <v>C M C Publishing Co., Ltd.</v>
      </c>
      <c r="D122" s="20" t="str">
        <f ca="1">IFERROR(__xludf.DUMMYFUNCTION("""COMPUTED_VALUE"""),"0286-4835")</f>
        <v>0286-4835</v>
      </c>
      <c r="E122" s="32" t="str">
        <f ca="1">IFERROR(__xludf.DUMMYFUNCTION("""COMPUTED_VALUE"""),"1999, 2010-2021")</f>
        <v>1999, 2010-2021</v>
      </c>
      <c r="F122" s="22" t="str">
        <f ca="1">IFERROR(__xludf.DUMMYFUNCTION("""COMPUTED_VALUE"""),"-")</f>
        <v>-</v>
      </c>
      <c r="G122" s="23" t="str">
        <f ca="1">IFERROR(__xludf.DUMMYFUNCTION("""COMPUTED_VALUE"""),"http://www.riss.kr/link?id=S20068215")</f>
        <v>http://www.riss.kr/link?id=S20068215</v>
      </c>
      <c r="H122" s="24" t="str">
        <f ca="1">IFERROR(__xludf.DUMMYFUNCTION("""COMPUTED_VALUE"""),"O")</f>
        <v>O</v>
      </c>
    </row>
    <row r="123" spans="1:8" ht="26.25" customHeight="1">
      <c r="A123" s="154">
        <f t="shared" ca="1" si="0"/>
        <v>120</v>
      </c>
      <c r="B123" s="31" t="str">
        <f ca="1">IFERROR(__xludf.DUMMYFUNCTION("""COMPUTED_VALUE"""),"內然機關")</f>
        <v>內然機關</v>
      </c>
      <c r="C123" s="19" t="str">
        <f ca="1">IFERROR(__xludf.DUMMYFUNCTION("""COMPUTED_VALUE"""),"Sankaido")</f>
        <v>Sankaido</v>
      </c>
      <c r="D123" s="20" t="str">
        <f ca="1">IFERROR(__xludf.DUMMYFUNCTION("""COMPUTED_VALUE"""),"0387-1142")</f>
        <v>0387-1142</v>
      </c>
      <c r="E123" s="32" t="str">
        <f ca="1">IFERROR(__xludf.DUMMYFUNCTION("""COMPUTED_VALUE"""),"1968, 1972-1995")</f>
        <v>1968, 1972-1995</v>
      </c>
      <c r="F123" s="22" t="str">
        <f ca="1">IFERROR(__xludf.DUMMYFUNCTION("""COMPUTED_VALUE"""),"-")</f>
        <v>-</v>
      </c>
      <c r="G123" s="23" t="str">
        <f ca="1">IFERROR(__xludf.DUMMYFUNCTION("""COMPUTED_VALUE"""),"http://www.riss.kr/link?id=S48399")</f>
        <v>http://www.riss.kr/link?id=S48399</v>
      </c>
      <c r="H123" s="24" t="str">
        <f ca="1">IFERROR(__xludf.DUMMYFUNCTION("""COMPUTED_VALUE"""),"X")</f>
        <v>X</v>
      </c>
    </row>
    <row r="124" spans="1:8" ht="26.25" customHeight="1">
      <c r="A124" s="154">
        <f t="shared" ca="1" si="0"/>
        <v>121</v>
      </c>
      <c r="B124" s="19" t="str">
        <f ca="1">IFERROR(__xludf.DUMMYFUNCTION("""COMPUTED_VALUE"""),"非破壞檢査")</f>
        <v>非破壞檢査</v>
      </c>
      <c r="C124" s="19" t="str">
        <f ca="1">IFERROR(__xludf.DUMMYFUNCTION("""COMPUTED_VALUE"""),"Japanese Society for Non-Destructive Inspection")</f>
        <v>Japanese Society for Non-Destructive Inspection</v>
      </c>
      <c r="D124" s="20" t="str">
        <f ca="1">IFERROR(__xludf.DUMMYFUNCTION("""COMPUTED_VALUE"""),"0367-5866")</f>
        <v>0367-5866</v>
      </c>
      <c r="E124" s="32" t="str">
        <f ca="1">IFERROR(__xludf.DUMMYFUNCTION("""COMPUTED_VALUE"""),"1983-2021")</f>
        <v>1983-2021</v>
      </c>
      <c r="F124" s="22" t="str">
        <f ca="1">IFERROR(__xludf.DUMMYFUNCTION("""COMPUTED_VALUE"""),"-")</f>
        <v>-</v>
      </c>
      <c r="G124" s="23" t="str">
        <f ca="1">IFERROR(__xludf.DUMMYFUNCTION("""COMPUTED_VALUE"""),"http://www.riss.kr/link?id=S19748")</f>
        <v>http://www.riss.kr/link?id=S19748</v>
      </c>
      <c r="H124" s="24" t="str">
        <f ca="1">IFERROR(__xludf.DUMMYFUNCTION("""COMPUTED_VALUE"""),"O")</f>
        <v>O</v>
      </c>
    </row>
    <row r="125" spans="1:8" ht="26.25" customHeight="1">
      <c r="A125" s="154">
        <f t="shared" ca="1" si="0"/>
        <v>122</v>
      </c>
      <c r="B125" s="19" t="str">
        <f ca="1">IFERROR(__xludf.DUMMYFUNCTION("""COMPUTED_VALUE"""),"塑性と加工")</f>
        <v>塑性と加工</v>
      </c>
      <c r="C125" s="19" t="str">
        <f ca="1">IFERROR(__xludf.DUMMYFUNCTION("""COMPUTED_VALUE"""),"Japan Society for Technology of Plasticity")</f>
        <v>Japan Society for Technology of Plasticity</v>
      </c>
      <c r="D125" s="20" t="str">
        <f ca="1">IFERROR(__xludf.DUMMYFUNCTION("""COMPUTED_VALUE"""),"0038-1586")</f>
        <v>0038-1586</v>
      </c>
      <c r="E125" s="32" t="str">
        <f ca="1">IFERROR(__xludf.DUMMYFUNCTION("""COMPUTED_VALUE"""),"1981-2001, 2003-2021")</f>
        <v>1981-2001, 2003-2021</v>
      </c>
      <c r="F125" s="22" t="str">
        <f ca="1">IFERROR(__xludf.DUMMYFUNCTION("""COMPUTED_VALUE"""),"-")</f>
        <v>-</v>
      </c>
      <c r="G125" s="23" t="str">
        <f ca="1">IFERROR(__xludf.DUMMYFUNCTION("""COMPUTED_VALUE"""),"http://www.riss.kr/link?id=S416847")</f>
        <v>http://www.riss.kr/link?id=S416847</v>
      </c>
      <c r="H125" s="24" t="str">
        <f ca="1">IFERROR(__xludf.DUMMYFUNCTION("""COMPUTED_VALUE"""),"O")</f>
        <v>O</v>
      </c>
    </row>
    <row r="126" spans="1:8" ht="26.25" customHeight="1">
      <c r="A126" s="154">
        <f t="shared" ca="1" si="0"/>
        <v>123</v>
      </c>
      <c r="B126" s="31" t="str">
        <f ca="1">IFERROR(__xludf.DUMMYFUNCTION("""COMPUTED_VALUE"""),"溶接技術")</f>
        <v>溶接技術</v>
      </c>
      <c r="C126" s="19" t="str">
        <f ca="1">IFERROR(__xludf.DUMMYFUNCTION("""COMPUTED_VALUE"""),"Sanpo Publications, Inc.")</f>
        <v>Sanpo Publications, Inc.</v>
      </c>
      <c r="D126" s="20" t="str">
        <f ca="1">IFERROR(__xludf.DUMMYFUNCTION("""COMPUTED_VALUE"""),"0387-0197")</f>
        <v>0387-0197</v>
      </c>
      <c r="E126" s="32" t="str">
        <f ca="1">IFERROR(__xludf.DUMMYFUNCTION("""COMPUTED_VALUE"""),"1974-1975, 1983-2004")</f>
        <v>1974-1975, 1983-2004</v>
      </c>
      <c r="F126" s="22" t="str">
        <f ca="1">IFERROR(__xludf.DUMMYFUNCTION("""COMPUTED_VALUE"""),"-")</f>
        <v>-</v>
      </c>
      <c r="G126" s="23" t="str">
        <f ca="1">IFERROR(__xludf.DUMMYFUNCTION("""COMPUTED_VALUE"""),"http://www.riss.kr/link?id=S63464")</f>
        <v>http://www.riss.kr/link?id=S63464</v>
      </c>
      <c r="H126" s="24" t="str">
        <f ca="1">IFERROR(__xludf.DUMMYFUNCTION("""COMPUTED_VALUE"""),"X")</f>
        <v>X</v>
      </c>
    </row>
    <row r="127" spans="1:8" ht="26.25" customHeight="1">
      <c r="A127" s="154">
        <f t="shared" ca="1" si="0"/>
        <v>124</v>
      </c>
      <c r="B127" s="19" t="str">
        <f ca="1">IFERROR(__xludf.DUMMYFUNCTION("""COMPUTED_VALUE"""),"溶接學會誌")</f>
        <v>溶接學會誌</v>
      </c>
      <c r="C127" s="19" t="str">
        <f ca="1">IFERROR(__xludf.DUMMYFUNCTION("""COMPUTED_VALUE"""),"Japan Welding Society")</f>
        <v>Japan Welding Society</v>
      </c>
      <c r="D127" s="20" t="str">
        <f ca="1">IFERROR(__xludf.DUMMYFUNCTION("""COMPUTED_VALUE"""),"0021-4787")</f>
        <v>0021-4787</v>
      </c>
      <c r="E127" s="32" t="str">
        <f ca="1">IFERROR(__xludf.DUMMYFUNCTION("""COMPUTED_VALUE"""),"1974-2021")</f>
        <v>1974-2021</v>
      </c>
      <c r="F127" s="22" t="str">
        <f ca="1">IFERROR(__xludf.DUMMYFUNCTION("""COMPUTED_VALUE"""),"SCOPUS")</f>
        <v>SCOPUS</v>
      </c>
      <c r="G127" s="23" t="str">
        <f ca="1">IFERROR(__xludf.DUMMYFUNCTION("""COMPUTED_VALUE"""),"http://www.riss.kr/link?id=S35299")</f>
        <v>http://www.riss.kr/link?id=S35299</v>
      </c>
      <c r="H127" s="24" t="str">
        <f ca="1">IFERROR(__xludf.DUMMYFUNCTION("""COMPUTED_VALUE"""),"O")</f>
        <v>O</v>
      </c>
    </row>
    <row r="128" spans="1:8" ht="26.25" customHeight="1">
      <c r="A128" s="154">
        <f t="shared" ca="1" si="0"/>
        <v>125</v>
      </c>
      <c r="B128" s="19" t="str">
        <f ca="1">IFERROR(__xludf.DUMMYFUNCTION("""COMPUTED_VALUE"""),"日本ロボツト學會誌")</f>
        <v>日本ロボツト學會誌</v>
      </c>
      <c r="C128" s="19" t="str">
        <f ca="1">IFERROR(__xludf.DUMMYFUNCTION("""COMPUTED_VALUE"""),"Nihon Robotto Gakkai")</f>
        <v>Nihon Robotto Gakkai</v>
      </c>
      <c r="D128" s="20" t="str">
        <f ca="1">IFERROR(__xludf.DUMMYFUNCTION("""COMPUTED_VALUE"""),"0289-1824")</f>
        <v>0289-1824</v>
      </c>
      <c r="E128" s="32" t="str">
        <f ca="1">IFERROR(__xludf.DUMMYFUNCTION("""COMPUTED_VALUE"""),"1991-2021")</f>
        <v>1991-2021</v>
      </c>
      <c r="F128" s="22" t="str">
        <f ca="1">IFERROR(__xludf.DUMMYFUNCTION("""COMPUTED_VALUE"""),"-")</f>
        <v>-</v>
      </c>
      <c r="G128" s="23" t="str">
        <f ca="1">IFERROR(__xludf.DUMMYFUNCTION("""COMPUTED_VALUE"""),"http://www.riss.kr/link?id=S60898")</f>
        <v>http://www.riss.kr/link?id=S60898</v>
      </c>
      <c r="H128" s="24" t="str">
        <f ca="1">IFERROR(__xludf.DUMMYFUNCTION("""COMPUTED_VALUE"""),"O")</f>
        <v>O</v>
      </c>
    </row>
    <row r="129" spans="1:9" ht="26.25" customHeight="1">
      <c r="A129" s="154">
        <f t="shared" ca="1" si="0"/>
        <v>126</v>
      </c>
      <c r="B129" s="31" t="str">
        <f ca="1">IFERROR(__xludf.DUMMYFUNCTION("""COMPUTED_VALUE"""),"日本機械學會論文集. A")</f>
        <v>日本機械學會論文集. A</v>
      </c>
      <c r="C129" s="19" t="str">
        <f ca="1">IFERROR(__xludf.DUMMYFUNCTION("""COMPUTED_VALUE"""),"Japan Society of Mechanical Engineers")</f>
        <v>Japan Society of Mechanical Engineers</v>
      </c>
      <c r="D129" s="20" t="str">
        <f ca="1">IFERROR(__xludf.DUMMYFUNCTION("""COMPUTED_VALUE"""),"0387-5008")</f>
        <v>0387-5008</v>
      </c>
      <c r="E129" s="32" t="str">
        <f ca="1">IFERROR(__xludf.DUMMYFUNCTION("""COMPUTED_VALUE"""),"1979-2010")</f>
        <v>1979-2010</v>
      </c>
      <c r="F129" s="22" t="str">
        <f ca="1">IFERROR(__xludf.DUMMYFUNCTION("""COMPUTED_VALUE"""),"-")</f>
        <v>-</v>
      </c>
      <c r="G129" s="23" t="str">
        <f ca="1">IFERROR(__xludf.DUMMYFUNCTION("""COMPUTED_VALUE"""),"http://www.riss.kr/link?id=S7127")</f>
        <v>http://www.riss.kr/link?id=S7127</v>
      </c>
      <c r="H129" s="24" t="str">
        <f ca="1">IFERROR(__xludf.DUMMYFUNCTION("""COMPUTED_VALUE"""),"X")</f>
        <v>X</v>
      </c>
    </row>
    <row r="130" spans="1:9" ht="26.25" customHeight="1">
      <c r="A130" s="154">
        <f t="shared" ca="1" si="0"/>
        <v>127</v>
      </c>
      <c r="B130" s="31" t="str">
        <f ca="1">IFERROR(__xludf.DUMMYFUNCTION("""COMPUTED_VALUE"""),"日本機械學會論文集. B")</f>
        <v>日本機械學會論文集. B</v>
      </c>
      <c r="C130" s="19" t="str">
        <f ca="1">IFERROR(__xludf.DUMMYFUNCTION("""COMPUTED_VALUE"""),"Japan Society of Mechanical Engineers")</f>
        <v>Japan Society of Mechanical Engineers</v>
      </c>
      <c r="D130" s="20" t="str">
        <f ca="1">IFERROR(__xludf.DUMMYFUNCTION("""COMPUTED_VALUE"""),"0387-5016")</f>
        <v>0387-5016</v>
      </c>
      <c r="E130" s="32" t="str">
        <f ca="1">IFERROR(__xludf.DUMMYFUNCTION("""COMPUTED_VALUE"""),"1979-2010")</f>
        <v>1979-2010</v>
      </c>
      <c r="F130" s="22" t="str">
        <f ca="1">IFERROR(__xludf.DUMMYFUNCTION("""COMPUTED_VALUE"""),"-")</f>
        <v>-</v>
      </c>
      <c r="G130" s="23" t="str">
        <f ca="1">IFERROR(__xludf.DUMMYFUNCTION("""COMPUTED_VALUE"""),"http://www.riss.kr/link?id=S80312")</f>
        <v>http://www.riss.kr/link?id=S80312</v>
      </c>
      <c r="H130" s="24" t="str">
        <f ca="1">IFERROR(__xludf.DUMMYFUNCTION("""COMPUTED_VALUE"""),"X")</f>
        <v>X</v>
      </c>
    </row>
    <row r="131" spans="1:9" ht="26.25" customHeight="1">
      <c r="A131" s="154">
        <f t="shared" ca="1" si="0"/>
        <v>128</v>
      </c>
      <c r="B131" s="31" t="str">
        <f ca="1">IFERROR(__xludf.DUMMYFUNCTION("""COMPUTED_VALUE"""),"日本機械學會論文集. C")</f>
        <v>日本機械學會論文集. C</v>
      </c>
      <c r="C131" s="19" t="str">
        <f ca="1">IFERROR(__xludf.DUMMYFUNCTION("""COMPUTED_VALUE"""),"Japan Society of Mechanical Engineers")</f>
        <v>Japan Society of Mechanical Engineers</v>
      </c>
      <c r="D131" s="20" t="str">
        <f ca="1">IFERROR(__xludf.DUMMYFUNCTION("""COMPUTED_VALUE"""),"0387-5024")</f>
        <v>0387-5024</v>
      </c>
      <c r="E131" s="32" t="str">
        <f ca="1">IFERROR(__xludf.DUMMYFUNCTION("""COMPUTED_VALUE"""),"1979-2010")</f>
        <v>1979-2010</v>
      </c>
      <c r="F131" s="22" t="str">
        <f ca="1">IFERROR(__xludf.DUMMYFUNCTION("""COMPUTED_VALUE"""),"-")</f>
        <v>-</v>
      </c>
      <c r="G131" s="23" t="str">
        <f ca="1">IFERROR(__xludf.DUMMYFUNCTION("""COMPUTED_VALUE"""),"http://www.riss.kr/link?id=S80194")</f>
        <v>http://www.riss.kr/link?id=S80194</v>
      </c>
      <c r="H131" s="24" t="str">
        <f ca="1">IFERROR(__xludf.DUMMYFUNCTION("""COMPUTED_VALUE"""),"X")</f>
        <v>X</v>
      </c>
    </row>
    <row r="132" spans="1:9" ht="26.25" customHeight="1">
      <c r="A132" s="154">
        <f t="shared" ca="1" si="0"/>
        <v>129</v>
      </c>
      <c r="B132" s="19" t="str">
        <f ca="1">IFERROR(__xludf.DUMMYFUNCTION("""COMPUTED_VALUE"""),"日本機械学会誌")</f>
        <v>日本機械学会誌</v>
      </c>
      <c r="C132" s="19" t="str">
        <f ca="1">IFERROR(__xludf.DUMMYFUNCTION("""COMPUTED_VALUE"""),"Japan Society of Mechanical Engineers")</f>
        <v>Japan Society of Mechanical Engineers</v>
      </c>
      <c r="D132" s="20" t="str">
        <f ca="1">IFERROR(__xludf.DUMMYFUNCTION("""COMPUTED_VALUE"""),"0021-4728")</f>
        <v>0021-4728</v>
      </c>
      <c r="E132" s="32" t="str">
        <f ca="1">IFERROR(__xludf.DUMMYFUNCTION("""COMPUTED_VALUE"""),"1952, 1956-1965, 1967, 1969-2021")</f>
        <v>1952, 1956-1965, 1967, 1969-2021</v>
      </c>
      <c r="F132" s="22" t="str">
        <f ca="1">IFERROR(__xludf.DUMMYFUNCTION("""COMPUTED_VALUE"""),"-")</f>
        <v>-</v>
      </c>
      <c r="G132" s="23" t="str">
        <f ca="1">IFERROR(__xludf.DUMMYFUNCTION("""COMPUTED_VALUE"""),"http://www.riss.kr/link?id=S35765")</f>
        <v>http://www.riss.kr/link?id=S35765</v>
      </c>
      <c r="H132" s="24" t="str">
        <f ca="1">IFERROR(__xludf.DUMMYFUNCTION("""COMPUTED_VALUE"""),"O")</f>
        <v>O</v>
      </c>
    </row>
    <row r="133" spans="1:9" ht="26.25" customHeight="1">
      <c r="A133" s="154">
        <f t="shared" ca="1" si="0"/>
        <v>130</v>
      </c>
      <c r="B133" s="31" t="str">
        <f ca="1">IFERROR(__xludf.DUMMYFUNCTION("""COMPUTED_VALUE"""),"自動車と整備")</f>
        <v>自動車と整備</v>
      </c>
      <c r="C133" s="19" t="str">
        <f ca="1">IFERROR(__xludf.DUMMYFUNCTION("""COMPUTED_VALUE"""),"日整硏出版社")</f>
        <v>日整硏出版社</v>
      </c>
      <c r="D133" s="20"/>
      <c r="E133" s="32" t="str">
        <f ca="1">IFERROR(__xludf.DUMMYFUNCTION("""COMPUTED_VALUE"""),"2010-2012")</f>
        <v>2010-2012</v>
      </c>
      <c r="F133" s="22" t="str">
        <f ca="1">IFERROR(__xludf.DUMMYFUNCTION("""COMPUTED_VALUE"""),"-")</f>
        <v>-</v>
      </c>
      <c r="G133" s="23" t="str">
        <f ca="1">IFERROR(__xludf.DUMMYFUNCTION("""COMPUTED_VALUE"""),"http://www.riss.kr/link?id=S62753")</f>
        <v>http://www.riss.kr/link?id=S62753</v>
      </c>
      <c r="H133" s="24" t="str">
        <f ca="1">IFERROR(__xludf.DUMMYFUNCTION("""COMPUTED_VALUE"""),"X")</f>
        <v>X</v>
      </c>
    </row>
    <row r="134" spans="1:9" ht="26.25" customHeight="1">
      <c r="A134" s="159">
        <f t="shared" ca="1" si="0"/>
        <v>131</v>
      </c>
      <c r="B134" s="85" t="str">
        <f ca="1">IFERROR(__xludf.DUMMYFUNCTION("""COMPUTED_VALUE"""),"自動車工學")</f>
        <v>自動車工學</v>
      </c>
      <c r="C134" s="160" t="str">
        <f ca="1">IFERROR(__xludf.DUMMYFUNCTION("""COMPUTED_VALUE"""),"Tetsudo Nihon-sha")</f>
        <v>Tetsudo Nihon-sha</v>
      </c>
      <c r="D134" s="113" t="str">
        <f ca="1">IFERROR(__xludf.DUMMYFUNCTION("""COMPUTED_VALUE"""),"0388-3841")</f>
        <v>0388-3841</v>
      </c>
      <c r="E134" s="105" t="str">
        <f ca="1">IFERROR(__xludf.DUMMYFUNCTION("""COMPUTED_VALUE"""),"2010-2016")</f>
        <v>2010-2016</v>
      </c>
      <c r="F134" s="22" t="str">
        <f ca="1">IFERROR(__xludf.DUMMYFUNCTION("""COMPUTED_VALUE"""),"-")</f>
        <v>-</v>
      </c>
      <c r="G134" s="194" t="str">
        <f ca="1">IFERROR(__xludf.DUMMYFUNCTION("""COMPUTED_VALUE"""),"http://www.riss.kr/link?id=S35658")</f>
        <v>http://www.riss.kr/link?id=S35658</v>
      </c>
      <c r="H134" s="195" t="str">
        <f ca="1">IFERROR(__xludf.DUMMYFUNCTION("""COMPUTED_VALUE"""),"X")</f>
        <v>X</v>
      </c>
    </row>
    <row r="135" spans="1:9" ht="26.25" customHeight="1">
      <c r="A135" s="196">
        <f t="shared" ca="1" si="0"/>
        <v>132</v>
      </c>
      <c r="B135" s="19" t="str">
        <f ca="1">IFERROR(__xludf.DUMMYFUNCTION("""COMPUTED_VALUE"""),"自動車技術")</f>
        <v>自動車技術</v>
      </c>
      <c r="C135" s="19" t="str">
        <f ca="1">IFERROR(__xludf.DUMMYFUNCTION("""COMPUTED_VALUE"""),"Society of Automotive Engineers of Japan, Inc.")</f>
        <v>Society of Automotive Engineers of Japan, Inc.</v>
      </c>
      <c r="D135" s="20" t="str">
        <f ca="1">IFERROR(__xludf.DUMMYFUNCTION("""COMPUTED_VALUE"""),"0385-7298")</f>
        <v>0385-7298</v>
      </c>
      <c r="E135" s="32" t="str">
        <f ca="1">IFERROR(__xludf.DUMMYFUNCTION("""COMPUTED_VALUE"""),"2010-2021")</f>
        <v>2010-2021</v>
      </c>
      <c r="F135" s="22" t="str">
        <f ca="1">IFERROR(__xludf.DUMMYFUNCTION("""COMPUTED_VALUE"""),"-")</f>
        <v>-</v>
      </c>
      <c r="G135" s="23" t="str">
        <f ca="1">IFERROR(__xludf.DUMMYFUNCTION("""COMPUTED_VALUE"""),"http://www.riss.kr/link?id=S411233")</f>
        <v>http://www.riss.kr/link?id=S411233</v>
      </c>
      <c r="H135" s="24" t="str">
        <f ca="1">IFERROR(__xludf.DUMMYFUNCTION("""COMPUTED_VALUE"""),"O")</f>
        <v>O</v>
      </c>
    </row>
    <row r="136" spans="1:9" ht="26.25" customHeight="1">
      <c r="A136" s="196">
        <f t="shared" ca="1" si="0"/>
        <v>133</v>
      </c>
      <c r="B136" s="31" t="str">
        <f ca="1">IFERROR(__xludf.DUMMYFUNCTION("""COMPUTED_VALUE"""),"自動車技術會論文集")</f>
        <v>自動車技術會論文集</v>
      </c>
      <c r="C136" s="19" t="str">
        <f ca="1">IFERROR(__xludf.DUMMYFUNCTION("""COMPUTED_VALUE"""),"Society of Automotive Engineers of Japan, Inc.")</f>
        <v>Society of Automotive Engineers of Japan, Inc.</v>
      </c>
      <c r="D136" s="20" t="str">
        <f ca="1">IFERROR(__xludf.DUMMYFUNCTION("""COMPUTED_VALUE"""),"0287-8321")</f>
        <v>0287-8321</v>
      </c>
      <c r="E136" s="32" t="str">
        <f ca="1">IFERROR(__xludf.DUMMYFUNCTION("""COMPUTED_VALUE"""),"2010-2018")</f>
        <v>2010-2018</v>
      </c>
      <c r="F136" s="22" t="str">
        <f ca="1">IFERROR(__xludf.DUMMYFUNCTION("""COMPUTED_VALUE"""),"-")</f>
        <v>-</v>
      </c>
      <c r="G136" s="23" t="str">
        <f ca="1">IFERROR(__xludf.DUMMYFUNCTION("""COMPUTED_VALUE"""),"http://www.riss.kr/link?id=S61535")</f>
        <v>http://www.riss.kr/link?id=S61535</v>
      </c>
      <c r="H136" s="24" t="str">
        <f ca="1">IFERROR(__xludf.DUMMYFUNCTION("""COMPUTED_VALUE"""),"X")</f>
        <v>X</v>
      </c>
      <c r="I136" s="5"/>
    </row>
    <row r="137" spans="1:9" ht="26.25" customHeight="1">
      <c r="A137" s="199">
        <f t="shared" ca="1" si="0"/>
        <v>134</v>
      </c>
      <c r="B137" s="160" t="str">
        <f ca="1">IFERROR(__xludf.DUMMYFUNCTION("""COMPUTED_VALUE"""),"精密工學會誌")</f>
        <v>精密工學會誌</v>
      </c>
      <c r="C137" s="160" t="str">
        <f ca="1">IFERROR(__xludf.DUMMYFUNCTION("""COMPUTED_VALUE"""),"Japan Society for Precision Engineering")</f>
        <v>Japan Society for Precision Engineering</v>
      </c>
      <c r="D137" s="113" t="str">
        <f ca="1">IFERROR(__xludf.DUMMYFUNCTION("""COMPUTED_VALUE"""),"0912-0289")</f>
        <v>0912-0289</v>
      </c>
      <c r="E137" s="105" t="str">
        <f ca="1">IFERROR(__xludf.DUMMYFUNCTION("""COMPUTED_VALUE"""),"1986-2021")</f>
        <v>1986-2021</v>
      </c>
      <c r="F137" s="200" t="str">
        <f ca="1">IFERROR(__xludf.DUMMYFUNCTION("""COMPUTED_VALUE"""),"SCOPUS")</f>
        <v>SCOPUS</v>
      </c>
      <c r="G137" s="194" t="str">
        <f ca="1">IFERROR(__xludf.DUMMYFUNCTION("""COMPUTED_VALUE"""),"http://www.riss.kr/link?id=S19733")</f>
        <v>http://www.riss.kr/link?id=S19733</v>
      </c>
      <c r="H137" s="195" t="str">
        <f ca="1">IFERROR(__xludf.DUMMYFUNCTION("""COMPUTED_VALUE"""),"O")</f>
        <v>O</v>
      </c>
      <c r="I137" s="5"/>
    </row>
    <row r="138" spans="1:9" ht="26.25" customHeight="1">
      <c r="A138" s="196">
        <f t="shared" ca="1" si="0"/>
        <v>135</v>
      </c>
      <c r="B138" s="31" t="str">
        <f ca="1">IFERROR(__xludf.DUMMYFUNCTION("""COMPUTED_VALUE"""),"海外纖維技術文獻集")</f>
        <v>海外纖維技術文獻集</v>
      </c>
      <c r="C138" s="19" t="str">
        <f ca="1">IFERROR(__xludf.DUMMYFUNCTION("""COMPUTED_VALUE"""),"日本纖維機械學會")</f>
        <v>日本纖維機械學會</v>
      </c>
      <c r="D138" s="20"/>
      <c r="E138" s="39" t="str">
        <f ca="1">IFERROR(__xludf.DUMMYFUNCTION("""COMPUTED_VALUE"""),"1983-2017")</f>
        <v>1983-2017</v>
      </c>
      <c r="F138" s="22" t="str">
        <f ca="1">IFERROR(__xludf.DUMMYFUNCTION("""COMPUTED_VALUE"""),"-")</f>
        <v>-</v>
      </c>
      <c r="G138" s="116" t="str">
        <f ca="1">IFERROR(__xludf.DUMMYFUNCTION("""COMPUTED_VALUE"""),"http://www.riss.kr/link?id=S63688")</f>
        <v>http://www.riss.kr/link?id=S63688</v>
      </c>
      <c r="H138" s="24" t="str">
        <f ca="1">IFERROR(__xludf.DUMMYFUNCTION("""COMPUTED_VALUE"""),"X")</f>
        <v>X</v>
      </c>
    </row>
    <row r="139" spans="1:9" ht="28.5" customHeight="1">
      <c r="A139" s="161">
        <f t="shared" ca="1" si="0"/>
        <v>136</v>
      </c>
      <c r="B139" s="121" t="str">
        <f ca="1">IFERROR(__xludf.DUMMYFUNCTION("""COMPUTED_VALUE"""),"Soft Robotics")</f>
        <v>Soft Robotics</v>
      </c>
      <c r="C139" s="121" t="str">
        <f ca="1">IFERROR(__xludf.DUMMYFUNCTION("""COMPUTED_VALUE"""),"Mary and Libert Inc")</f>
        <v>Mary and Libert Inc</v>
      </c>
      <c r="D139" s="121" t="str">
        <f ca="1">IFERROR(__xludf.DUMMYFUNCTION("""COMPUTED_VALUE"""),"2169-5180")</f>
        <v>2169-5180</v>
      </c>
      <c r="E139" s="121" t="str">
        <f ca="1">IFERROR(__xludf.DUMMYFUNCTION("""COMPUTED_VALUE"""),"2021~2021")</f>
        <v>2021~2021</v>
      </c>
      <c r="F139" s="201"/>
      <c r="G139" s="121"/>
      <c r="H139" s="202" t="str">
        <f ca="1">IFERROR(__xludf.DUMMYFUNCTION("""COMPUTED_VALUE"""),"O")</f>
        <v>O</v>
      </c>
    </row>
    <row r="140" spans="1:9" ht="16.5" customHeight="1">
      <c r="A140" s="46"/>
      <c r="F140" s="167"/>
    </row>
    <row r="141" spans="1:9" ht="16.5" customHeight="1">
      <c r="A141" s="46"/>
      <c r="F141" s="167"/>
    </row>
    <row r="142" spans="1:9" ht="16.5" customHeight="1">
      <c r="A142" s="46"/>
      <c r="F142" s="167"/>
    </row>
    <row r="143" spans="1:9" ht="16.5" customHeight="1">
      <c r="A143" s="46"/>
      <c r="F143" s="167"/>
    </row>
    <row r="144" spans="1:9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 display="http://www.riss.kr/link?id=S418336"/>
    <hyperlink ref="G5" r:id="rId2" display="http://www.riss.kr/link?id=S21699"/>
    <hyperlink ref="G6" r:id="rId3" display="http://www.riss.kr/link?id=S20012637"/>
    <hyperlink ref="G7" r:id="rId4" display="http://www.riss.kr/link?id=S17339"/>
    <hyperlink ref="C8" r:id="rId5" display="http://scientific.net/"/>
    <hyperlink ref="G8" r:id="rId6" display="http://www.riss.kr/link?id=S31000997"/>
    <hyperlink ref="G9" r:id="rId7" display="http://www.riss.kr/link?id=S16306"/>
    <hyperlink ref="G10" r:id="rId8" display="http://www.riss.kr/link?id=S407021"/>
    <hyperlink ref="G11" r:id="rId9" display="http://www.riss.kr/link?id=S410895"/>
    <hyperlink ref="G12" r:id="rId10" display="http://www.riss.kr/link?id=S20013054"/>
    <hyperlink ref="G13" r:id="rId11" display="http://www.riss.kr/link?id=S115372"/>
    <hyperlink ref="G14" r:id="rId12" display="http://www.riss.kr/link?id=S112893"/>
    <hyperlink ref="G15" r:id="rId13" display="http://www.riss.kr/link?id=S115393"/>
    <hyperlink ref="G16" r:id="rId14" display="http://www.riss.kr/link?id=S16085"/>
    <hyperlink ref="G17" r:id="rId15" display="http://www.riss.kr/link?id=S115373"/>
    <hyperlink ref="G18" r:id="rId16" display="http://www.riss.kr/link?id=S90482"/>
    <hyperlink ref="G19" r:id="rId17" display="http://www.riss.kr/link?id=S115375"/>
    <hyperlink ref="G20" r:id="rId18" display="http://www.riss.kr/link?id=S414163"/>
    <hyperlink ref="G21" r:id="rId19" display="http://www.riss.kr/link?id=S30004502"/>
    <hyperlink ref="G22" r:id="rId20" display="http://www.riss.kr/link?id=S16252"/>
    <hyperlink ref="G23" r:id="rId21" display="http://www.riss.kr/link?id=S80384"/>
    <hyperlink ref="G24" r:id="rId22" display="http://www.riss.kr/link?id=S115376"/>
    <hyperlink ref="G25" r:id="rId23" display="http://www.riss.kr/link?id=S11575509"/>
    <hyperlink ref="G26" r:id="rId24" display="http://www.riss.kr/link?id=S115377"/>
    <hyperlink ref="G27" r:id="rId25" display="http://www.riss.kr/link?id=S16220"/>
    <hyperlink ref="G28" r:id="rId26" display="http://www.riss.kr/link?id=S16206"/>
    <hyperlink ref="G29" r:id="rId27" display="http://www.riss.kr/link?id=S14978"/>
    <hyperlink ref="G30" r:id="rId28" display="http://www.riss.kr/link?id=S20411"/>
    <hyperlink ref="G31" r:id="rId29" display="http://www.riss.kr/link?id=S104991"/>
    <hyperlink ref="G32" r:id="rId30" display="http://www.riss.kr/link?id=S28951"/>
    <hyperlink ref="G33" r:id="rId31" display="http://www.riss.kr/link?id=S412775"/>
    <hyperlink ref="G34" r:id="rId32" display="http://www.riss.kr/link?id=S11926"/>
    <hyperlink ref="G35" r:id="rId33" display="http://www.riss.kr/link?id=S401504"/>
    <hyperlink ref="G36" r:id="rId34" display="http://www.riss.kr/link?id=S408115"/>
    <hyperlink ref="G37" r:id="rId35" display="http://www.riss.kr/link?id=S404178"/>
    <hyperlink ref="G38" r:id="rId36" display="http://www.riss.kr/link?id=S402265"/>
    <hyperlink ref="G39" r:id="rId37" display="http://www.riss.kr/link?id=S402120"/>
    <hyperlink ref="G40" r:id="rId38" display="http://www.riss.kr/link?id=S405412"/>
    <hyperlink ref="G41" r:id="rId39" display="http://www.riss.kr/link?id=S21836"/>
    <hyperlink ref="G42" r:id="rId40" display="http://www.riss.kr/link?id=S16097"/>
    <hyperlink ref="G43" r:id="rId41" display="http://www.riss.kr/link?id=S418684"/>
    <hyperlink ref="G44" r:id="rId42" display="http://www.riss.kr/link?id=S410183"/>
    <hyperlink ref="G45" r:id="rId43" display="http://www.riss.kr/link?id=S31011616"/>
    <hyperlink ref="G46" r:id="rId44" display="http://www.riss.kr/link?id=S31019599"/>
    <hyperlink ref="G47" r:id="rId45" display="http://www.riss.kr/link?id=S103860"/>
    <hyperlink ref="G48" r:id="rId46" display="http://www.riss.kr/link?id=S24614"/>
    <hyperlink ref="G49" r:id="rId47" display="http://www.riss.kr/link?id=S16083"/>
    <hyperlink ref="G50" r:id="rId48" display="http://www.riss.kr/link?id=S115994"/>
    <hyperlink ref="G51" r:id="rId49" display="http://www.riss.kr/link?id=S20010946"/>
    <hyperlink ref="G52" r:id="rId50" display="http://www.riss.kr/link?id=S80605"/>
    <hyperlink ref="G53" r:id="rId51" display="http://www.riss.kr/link?id=S16077"/>
    <hyperlink ref="G54" r:id="rId52" display="http://www.riss.kr/link?id=S87729"/>
    <hyperlink ref="G55" r:id="rId53" display="http://www.riss.kr/link?id=S402394"/>
    <hyperlink ref="G56" r:id="rId54" display="http://www.riss.kr/link?id=S11645644"/>
    <hyperlink ref="G57" r:id="rId55" display="http://www.riss.kr/link?id=S5542"/>
    <hyperlink ref="G58" r:id="rId56" display="http://www.riss.kr/link?id=S12868"/>
    <hyperlink ref="G59" r:id="rId57" display="http://www.riss.kr/link?id=S14006"/>
    <hyperlink ref="G60" r:id="rId58" display="http://www.riss.kr/link?id=S97822"/>
    <hyperlink ref="G61" r:id="rId59" display="http://www.riss.kr/link?id=S16063"/>
    <hyperlink ref="G62" r:id="rId60" display="http://www.riss.kr/link?id=S16060"/>
    <hyperlink ref="G63" r:id="rId61" display="http://www.riss.kr/link?id=S15596"/>
    <hyperlink ref="G64" r:id="rId62" display="http://www.riss.kr/link?id=S11572188"/>
    <hyperlink ref="G65" r:id="rId63" display="http://www.riss.kr/link?id=S28149"/>
    <hyperlink ref="G66" r:id="rId64" display="http://www.riss.kr/link?id=S16024"/>
    <hyperlink ref="G67" r:id="rId65" display="http://www.riss.kr/link?id=S20011296"/>
    <hyperlink ref="G68" r:id="rId66" display="http://www.riss.kr/link?id=S403110"/>
    <hyperlink ref="G69" r:id="rId67" display="http://www.riss.kr/link?id=S16015"/>
    <hyperlink ref="G70" r:id="rId68" display="http://www.riss.kr/link?id=S20010548"/>
    <hyperlink ref="G71" r:id="rId69" display="http://www.riss.kr/link?id=S20010588"/>
    <hyperlink ref="G72" r:id="rId70" display="http://www.riss.kr/link?id=S17254"/>
    <hyperlink ref="G73" r:id="rId71" display="http://www.riss.kr/link?id=S114686"/>
    <hyperlink ref="G74" r:id="rId72" display="http://www.riss.kr/link?id=S402182"/>
    <hyperlink ref="G75" r:id="rId73" display="http://www.riss.kr/link?id=S20951"/>
    <hyperlink ref="G76" r:id="rId74" display="http://www.riss.kr/link?id=S20950"/>
    <hyperlink ref="G77" r:id="rId75" display="http://www.riss.kr/link?id=S60691"/>
    <hyperlink ref="G78" r:id="rId76" display="http://www.riss.kr/link?id=S20881"/>
    <hyperlink ref="G79" r:id="rId77" display="http://www.riss.kr/link?id=S15959"/>
    <hyperlink ref="G80" r:id="rId78" display="http://www.riss.kr/link?id=S30006165"/>
    <hyperlink ref="G81" r:id="rId79" display="http://www.riss.kr/link?id=S20886"/>
    <hyperlink ref="G82" r:id="rId80" display="http://www.riss.kr/link?id=S20891"/>
    <hyperlink ref="G83" r:id="rId81" display="http://www.riss.kr/link?id=S20890"/>
    <hyperlink ref="G84" r:id="rId82" display="http://www.riss.kr/link?id=S45501"/>
    <hyperlink ref="G85" r:id="rId83" display="http://www.riss.kr/link?id=S20888"/>
    <hyperlink ref="G86" r:id="rId84" display="http://www.riss.kr/link?id=S13543"/>
    <hyperlink ref="G87" r:id="rId85" display="http://www.riss.kr/link?id=S103925"/>
    <hyperlink ref="G88" r:id="rId86" display="http://www.riss.kr/link?id=S11634165"/>
    <hyperlink ref="G89" r:id="rId87" display="http://www.riss.kr/link?id=S416464"/>
    <hyperlink ref="G90" r:id="rId88" display="http://www.riss.kr/link?id=S404213"/>
    <hyperlink ref="G91" r:id="rId89" display="http://www.riss.kr/link?id=S416272"/>
    <hyperlink ref="G92" r:id="rId90" display="http://www.riss.kr/link?id=S417529"/>
    <hyperlink ref="G93" r:id="rId91" display="http://www.riss.kr/link?id=S415705"/>
    <hyperlink ref="G94" r:id="rId92" display="http://www.riss.kr/link?id=S417596"/>
    <hyperlink ref="G95" r:id="rId93" display="http://www.riss.kr/link?id=S14380"/>
    <hyperlink ref="G96" r:id="rId94" display="http://www.riss.kr/link?id=S410779"/>
    <hyperlink ref="G97" r:id="rId95" display="http://www.riss.kr/link?id=S415890"/>
    <hyperlink ref="G98" r:id="rId96" display="http://www.riss.kr/link?id=S414717"/>
    <hyperlink ref="G99" r:id="rId97" display="http://www.riss.kr/link?id=S15953"/>
    <hyperlink ref="G100" r:id="rId98" display="http://www.riss.kr/link?id=S97926"/>
    <hyperlink ref="G101" r:id="rId99" display="http://www.riss.kr/link?id=S115391"/>
    <hyperlink ref="G102" r:id="rId100" display="http://www.riss.kr/link?id=S17778"/>
    <hyperlink ref="G103" r:id="rId101" display="http://www.riss.kr/link?id=S104898"/>
    <hyperlink ref="G104" r:id="rId102" display="http://www.riss.kr/link?id=S21137"/>
    <hyperlink ref="G105" r:id="rId103" display="http://www.riss.kr/link?id=S12927"/>
    <hyperlink ref="G106" r:id="rId104" display="http://www.riss.kr/link?id=S417506"/>
    <hyperlink ref="G107" r:id="rId105" display="http://www.riss.kr/link?id=S414819"/>
    <hyperlink ref="G108" r:id="rId106" display="http://www.riss.kr/link?id=S15504"/>
    <hyperlink ref="G109" r:id="rId107" display="http://www.riss.kr/link?id=S115392"/>
    <hyperlink ref="G110" r:id="rId108" display="http://www.riss.kr/link?id=S85490"/>
    <hyperlink ref="G111" r:id="rId109" display="http://www.riss.kr/link?id=S20010476"/>
    <hyperlink ref="G112" r:id="rId110" display="http://www.riss.kr/link?id=S48936"/>
    <hyperlink ref="G113" r:id="rId111" display="http://www.riss.kr/link?id=S63516"/>
    <hyperlink ref="G114" r:id="rId112" display="http://www.riss.kr/link?id=S26171"/>
    <hyperlink ref="G115" r:id="rId113" display="http://www.riss.kr/link?id=S417041"/>
    <hyperlink ref="G116" r:id="rId114" display="http://www.riss.kr/link?id=S411199"/>
    <hyperlink ref="G117" r:id="rId115" display="http://www.riss.kr/link?id=S31658"/>
    <hyperlink ref="G118" r:id="rId116" display="http://www.riss.kr/link?id=S48402"/>
    <hyperlink ref="G119" r:id="rId117" display="http://www.riss.kr/link?id=S19734"/>
    <hyperlink ref="G120" r:id="rId118" display="http://www.riss.kr/link?id=S40376"/>
    <hyperlink ref="G121" r:id="rId119" display="http://www.riss.kr/link?id=S40515"/>
    <hyperlink ref="G122" r:id="rId120" display="http://www.riss.kr/link?id=S20068215"/>
    <hyperlink ref="G123" r:id="rId121" display="http://www.riss.kr/link?id=S48399"/>
    <hyperlink ref="G124" r:id="rId122" display="http://www.riss.kr/link?id=S19748"/>
    <hyperlink ref="G125" r:id="rId123" display="http://www.riss.kr/link?id=S416847"/>
    <hyperlink ref="G126" r:id="rId124" display="http://www.riss.kr/link?id=S63464"/>
    <hyperlink ref="G127" r:id="rId125" display="http://www.riss.kr/link?id=S35299"/>
    <hyperlink ref="G128" r:id="rId126" display="http://www.riss.kr/link?id=S60898"/>
    <hyperlink ref="G129" r:id="rId127" display="http://www.riss.kr/link?id=S7127"/>
    <hyperlink ref="G130" r:id="rId128" display="http://www.riss.kr/link?id=S80312"/>
    <hyperlink ref="G131" r:id="rId129" display="http://www.riss.kr/link?id=S80194"/>
    <hyperlink ref="G132" r:id="rId130" display="http://www.riss.kr/link?id=S35765"/>
    <hyperlink ref="G133" r:id="rId131" display="http://www.riss.kr/link?id=S62753"/>
    <hyperlink ref="G134" r:id="rId132" display="http://www.riss.kr/link?id=S35658"/>
    <hyperlink ref="G135" r:id="rId133" display="http://www.riss.kr/link?id=S411233"/>
    <hyperlink ref="G136" r:id="rId134" display="http://www.riss.kr/link?id=S61535"/>
    <hyperlink ref="G137" r:id="rId135" display="http://www.riss.kr/link?id=S19733"/>
    <hyperlink ref="G138" r:id="rId136" display="http://www.riss.kr/link?id=S63688"/>
  </hyperlink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4999</v>
      </c>
      <c r="B1" s="290"/>
      <c r="C1" s="290"/>
      <c r="D1" s="290"/>
      <c r="E1" s="290"/>
      <c r="F1" s="290"/>
      <c r="G1" s="290"/>
      <c r="H1" s="290"/>
      <c r="J1" s="18" t="s">
        <v>37</v>
      </c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03" t="s">
        <v>2</v>
      </c>
      <c r="B3" s="204" t="s">
        <v>4</v>
      </c>
      <c r="C3" s="204" t="s">
        <v>5</v>
      </c>
      <c r="D3" s="204" t="s">
        <v>6</v>
      </c>
      <c r="E3" s="204" t="s">
        <v>7</v>
      </c>
      <c r="F3" s="204" t="s">
        <v>8</v>
      </c>
      <c r="G3" s="204" t="s">
        <v>9</v>
      </c>
      <c r="H3" s="205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si="0">IF(B4="","",ROW(B4)-3)</f>
        <v>1</v>
      </c>
      <c r="B4" s="19" t="s">
        <v>38</v>
      </c>
      <c r="C4" s="19" t="s">
        <v>39</v>
      </c>
      <c r="D4" s="20" t="s">
        <v>40</v>
      </c>
      <c r="E4" s="39" t="s">
        <v>5000</v>
      </c>
      <c r="F4" s="206" t="s">
        <v>42</v>
      </c>
      <c r="G4" s="116" t="s">
        <v>43</v>
      </c>
      <c r="H4" s="24" t="s">
        <v>20</v>
      </c>
    </row>
    <row r="5" spans="1:26" ht="26.25" customHeight="1">
      <c r="A5" s="154">
        <f t="shared" si="0"/>
        <v>2</v>
      </c>
      <c r="B5" s="31" t="s">
        <v>59</v>
      </c>
      <c r="C5" s="19" t="s">
        <v>60</v>
      </c>
      <c r="D5" s="20" t="s">
        <v>61</v>
      </c>
      <c r="E5" s="39" t="s">
        <v>62</v>
      </c>
      <c r="F5" s="206" t="s">
        <v>63</v>
      </c>
      <c r="G5" s="116" t="s">
        <v>64</v>
      </c>
      <c r="H5" s="24" t="s">
        <v>55</v>
      </c>
    </row>
    <row r="6" spans="1:26" ht="26.25" customHeight="1">
      <c r="A6" s="154">
        <f t="shared" si="0"/>
        <v>3</v>
      </c>
      <c r="B6" s="31" t="s">
        <v>67</v>
      </c>
      <c r="C6" s="19" t="s">
        <v>60</v>
      </c>
      <c r="D6" s="20" t="s">
        <v>68</v>
      </c>
      <c r="E6" s="39" t="s">
        <v>69</v>
      </c>
      <c r="F6" s="206" t="s">
        <v>42</v>
      </c>
      <c r="G6" s="116" t="s">
        <v>70</v>
      </c>
      <c r="H6" s="24" t="s">
        <v>55</v>
      </c>
    </row>
    <row r="7" spans="1:26" ht="26.25" customHeight="1">
      <c r="A7" s="154">
        <f t="shared" si="0"/>
        <v>4</v>
      </c>
      <c r="B7" s="19" t="s">
        <v>5001</v>
      </c>
      <c r="C7" s="19" t="s">
        <v>124</v>
      </c>
      <c r="D7" s="20" t="s">
        <v>125</v>
      </c>
      <c r="E7" s="39" t="s">
        <v>2504</v>
      </c>
      <c r="F7" s="206" t="s">
        <v>42</v>
      </c>
      <c r="G7" s="116" t="s">
        <v>127</v>
      </c>
      <c r="H7" s="24" t="s">
        <v>20</v>
      </c>
    </row>
    <row r="8" spans="1:26" ht="26.25" customHeight="1">
      <c r="A8" s="154">
        <f t="shared" si="0"/>
        <v>5</v>
      </c>
      <c r="B8" s="19" t="s">
        <v>153</v>
      </c>
      <c r="C8" s="39" t="s">
        <v>154</v>
      </c>
      <c r="D8" s="20" t="s">
        <v>155</v>
      </c>
      <c r="E8" s="83" t="s">
        <v>5002</v>
      </c>
      <c r="F8" s="206" t="s">
        <v>53</v>
      </c>
      <c r="G8" s="207" t="s">
        <v>157</v>
      </c>
      <c r="H8" s="24" t="s">
        <v>20</v>
      </c>
    </row>
    <row r="9" spans="1:26" ht="26.25" customHeight="1">
      <c r="A9" s="154">
        <f t="shared" si="0"/>
        <v>6</v>
      </c>
      <c r="B9" s="31" t="s">
        <v>206</v>
      </c>
      <c r="C9" s="19" t="s">
        <v>207</v>
      </c>
      <c r="D9" s="20" t="s">
        <v>208</v>
      </c>
      <c r="E9" s="39" t="s">
        <v>209</v>
      </c>
      <c r="F9" s="206" t="s">
        <v>42</v>
      </c>
      <c r="G9" s="116" t="s">
        <v>210</v>
      </c>
      <c r="H9" s="24" t="s">
        <v>55</v>
      </c>
    </row>
    <row r="10" spans="1:26" ht="26.25" customHeight="1">
      <c r="A10" s="154">
        <f t="shared" si="0"/>
        <v>7</v>
      </c>
      <c r="B10" s="19" t="s">
        <v>298</v>
      </c>
      <c r="C10" s="19" t="s">
        <v>299</v>
      </c>
      <c r="D10" s="20" t="s">
        <v>300</v>
      </c>
      <c r="E10" s="39" t="s">
        <v>5003</v>
      </c>
      <c r="F10" s="206" t="s">
        <v>31</v>
      </c>
      <c r="G10" s="116" t="s">
        <v>302</v>
      </c>
      <c r="H10" s="24" t="s">
        <v>20</v>
      </c>
    </row>
    <row r="11" spans="1:26" ht="26.25" customHeight="1">
      <c r="A11" s="154">
        <f t="shared" si="0"/>
        <v>8</v>
      </c>
      <c r="B11" s="31" t="s">
        <v>414</v>
      </c>
      <c r="C11" s="19" t="s">
        <v>394</v>
      </c>
      <c r="D11" s="20" t="s">
        <v>415</v>
      </c>
      <c r="E11" s="39" t="s">
        <v>416</v>
      </c>
      <c r="F11" s="206" t="s">
        <v>31</v>
      </c>
      <c r="G11" s="116" t="s">
        <v>417</v>
      </c>
      <c r="H11" s="24" t="s">
        <v>55</v>
      </c>
    </row>
    <row r="12" spans="1:26" ht="26.25" customHeight="1">
      <c r="A12" s="154">
        <f t="shared" si="0"/>
        <v>9</v>
      </c>
      <c r="B12" s="19" t="s">
        <v>827</v>
      </c>
      <c r="C12" s="19" t="s">
        <v>124</v>
      </c>
      <c r="D12" s="20" t="s">
        <v>828</v>
      </c>
      <c r="E12" s="39" t="s">
        <v>3736</v>
      </c>
      <c r="F12" s="206" t="s">
        <v>42</v>
      </c>
      <c r="G12" s="116" t="s">
        <v>829</v>
      </c>
      <c r="H12" s="24" t="s">
        <v>20</v>
      </c>
    </row>
    <row r="13" spans="1:26" ht="26.25" customHeight="1">
      <c r="A13" s="154">
        <f t="shared" si="0"/>
        <v>10</v>
      </c>
      <c r="B13" s="31" t="s">
        <v>853</v>
      </c>
      <c r="C13" s="19" t="s">
        <v>854</v>
      </c>
      <c r="D13" s="20" t="s">
        <v>855</v>
      </c>
      <c r="E13" s="39" t="s">
        <v>170</v>
      </c>
      <c r="F13" s="206" t="s">
        <v>53</v>
      </c>
      <c r="G13" s="116" t="s">
        <v>856</v>
      </c>
      <c r="H13" s="24" t="s">
        <v>55</v>
      </c>
    </row>
    <row r="14" spans="1:26" ht="26.25" customHeight="1">
      <c r="A14" s="154">
        <f t="shared" si="0"/>
        <v>11</v>
      </c>
      <c r="B14" s="19" t="s">
        <v>860</v>
      </c>
      <c r="C14" s="19" t="s">
        <v>861</v>
      </c>
      <c r="D14" s="20" t="s">
        <v>862</v>
      </c>
      <c r="E14" s="39" t="s">
        <v>1990</v>
      </c>
      <c r="F14" s="206" t="s">
        <v>53</v>
      </c>
      <c r="G14" s="116" t="s">
        <v>864</v>
      </c>
      <c r="H14" s="24" t="s">
        <v>20</v>
      </c>
    </row>
    <row r="15" spans="1:26" ht="26.25" customHeight="1">
      <c r="A15" s="154">
        <f t="shared" si="0"/>
        <v>12</v>
      </c>
      <c r="B15" s="19" t="s">
        <v>956</v>
      </c>
      <c r="C15" s="19" t="s">
        <v>957</v>
      </c>
      <c r="D15" s="20" t="s">
        <v>958</v>
      </c>
      <c r="E15" s="39" t="s">
        <v>5004</v>
      </c>
      <c r="F15" s="206" t="s">
        <v>350</v>
      </c>
      <c r="G15" s="116" t="s">
        <v>960</v>
      </c>
      <c r="H15" s="24" t="s">
        <v>20</v>
      </c>
    </row>
    <row r="16" spans="1:26" ht="26.25" customHeight="1">
      <c r="A16" s="154">
        <f t="shared" si="0"/>
        <v>13</v>
      </c>
      <c r="B16" s="19" t="s">
        <v>1319</v>
      </c>
      <c r="C16" s="19" t="s">
        <v>1320</v>
      </c>
      <c r="D16" s="20" t="s">
        <v>1321</v>
      </c>
      <c r="E16" s="39" t="s">
        <v>52</v>
      </c>
      <c r="F16" s="206" t="s">
        <v>42</v>
      </c>
      <c r="G16" s="116" t="s">
        <v>1322</v>
      </c>
      <c r="H16" s="24" t="s">
        <v>20</v>
      </c>
    </row>
    <row r="17" spans="1:8" ht="26.25" customHeight="1">
      <c r="A17" s="154">
        <f t="shared" si="0"/>
        <v>14</v>
      </c>
      <c r="B17" s="19" t="s">
        <v>1325</v>
      </c>
      <c r="C17" s="19" t="s">
        <v>1320</v>
      </c>
      <c r="D17" s="20" t="s">
        <v>1326</v>
      </c>
      <c r="E17" s="39" t="s">
        <v>5005</v>
      </c>
      <c r="F17" s="206" t="s">
        <v>31</v>
      </c>
      <c r="G17" s="116" t="s">
        <v>1328</v>
      </c>
      <c r="H17" s="24" t="s">
        <v>20</v>
      </c>
    </row>
    <row r="18" spans="1:8" ht="26.25" customHeight="1">
      <c r="A18" s="154">
        <f t="shared" si="0"/>
        <v>15</v>
      </c>
      <c r="B18" s="19" t="s">
        <v>1490</v>
      </c>
      <c r="C18" s="19" t="s">
        <v>1491</v>
      </c>
      <c r="D18" s="20" t="s">
        <v>1492</v>
      </c>
      <c r="E18" s="39" t="s">
        <v>5006</v>
      </c>
      <c r="F18" s="206" t="s">
        <v>53</v>
      </c>
      <c r="G18" s="116" t="s">
        <v>1494</v>
      </c>
      <c r="H18" s="24" t="s">
        <v>20</v>
      </c>
    </row>
    <row r="19" spans="1:8" ht="26.25" customHeight="1">
      <c r="A19" s="154">
        <f t="shared" si="0"/>
        <v>16</v>
      </c>
      <c r="B19" s="31" t="s">
        <v>1507</v>
      </c>
      <c r="C19" s="19" t="s">
        <v>1320</v>
      </c>
      <c r="D19" s="20" t="s">
        <v>1508</v>
      </c>
      <c r="E19" s="39" t="s">
        <v>1509</v>
      </c>
      <c r="F19" s="206" t="s">
        <v>53</v>
      </c>
      <c r="G19" s="116" t="s">
        <v>1510</v>
      </c>
      <c r="H19" s="24" t="s">
        <v>55</v>
      </c>
    </row>
    <row r="20" spans="1:8" ht="26.25" customHeight="1">
      <c r="A20" s="154">
        <f t="shared" si="0"/>
        <v>17</v>
      </c>
      <c r="B20" s="31" t="s">
        <v>1630</v>
      </c>
      <c r="C20" s="19" t="s">
        <v>1626</v>
      </c>
      <c r="D20" s="20" t="s">
        <v>1631</v>
      </c>
      <c r="E20" s="39" t="s">
        <v>693</v>
      </c>
      <c r="F20" s="206" t="s">
        <v>42</v>
      </c>
      <c r="G20" s="116" t="s">
        <v>1632</v>
      </c>
      <c r="H20" s="24" t="s">
        <v>55</v>
      </c>
    </row>
    <row r="21" spans="1:8" ht="26.25" customHeight="1">
      <c r="A21" s="154">
        <f t="shared" si="0"/>
        <v>18</v>
      </c>
      <c r="B21" s="31" t="s">
        <v>1646</v>
      </c>
      <c r="C21" s="19" t="s">
        <v>1647</v>
      </c>
      <c r="D21" s="20" t="s">
        <v>1648</v>
      </c>
      <c r="E21" s="39" t="s">
        <v>416</v>
      </c>
      <c r="F21" s="206" t="s">
        <v>53</v>
      </c>
      <c r="G21" s="116" t="s">
        <v>1649</v>
      </c>
      <c r="H21" s="24" t="s">
        <v>55</v>
      </c>
    </row>
    <row r="22" spans="1:8" ht="26.25" customHeight="1">
      <c r="A22" s="154">
        <f t="shared" si="0"/>
        <v>19</v>
      </c>
      <c r="B22" s="31" t="s">
        <v>1707</v>
      </c>
      <c r="C22" s="19" t="s">
        <v>271</v>
      </c>
      <c r="D22" s="20" t="s">
        <v>1708</v>
      </c>
      <c r="E22" s="39">
        <v>2010</v>
      </c>
      <c r="F22" s="206" t="s">
        <v>42</v>
      </c>
      <c r="G22" s="116" t="s">
        <v>1709</v>
      </c>
      <c r="H22" s="24" t="s">
        <v>55</v>
      </c>
    </row>
    <row r="23" spans="1:8" ht="26.25" customHeight="1">
      <c r="A23" s="154">
        <f t="shared" si="0"/>
        <v>20</v>
      </c>
      <c r="B23" s="33" t="s">
        <v>1054</v>
      </c>
      <c r="C23" s="83" t="s">
        <v>1055</v>
      </c>
      <c r="D23" s="84" t="s">
        <v>1056</v>
      </c>
      <c r="E23" s="83">
        <v>2019</v>
      </c>
      <c r="F23" s="206" t="s">
        <v>42</v>
      </c>
      <c r="G23" s="208" t="s">
        <v>1799</v>
      </c>
      <c r="H23" s="24" t="s">
        <v>55</v>
      </c>
    </row>
    <row r="24" spans="1:8" ht="26.25" customHeight="1">
      <c r="A24" s="154">
        <f t="shared" si="0"/>
        <v>21</v>
      </c>
      <c r="B24" s="19" t="s">
        <v>1803</v>
      </c>
      <c r="C24" s="19" t="s">
        <v>1804</v>
      </c>
      <c r="D24" s="20" t="s">
        <v>1805</v>
      </c>
      <c r="E24" s="39" t="s">
        <v>178</v>
      </c>
      <c r="F24" s="206" t="s">
        <v>42</v>
      </c>
      <c r="G24" s="116" t="s">
        <v>1806</v>
      </c>
      <c r="H24" s="24" t="s">
        <v>20</v>
      </c>
    </row>
    <row r="25" spans="1:8" ht="26.25" customHeight="1">
      <c r="A25" s="154">
        <f t="shared" si="0"/>
        <v>22</v>
      </c>
      <c r="B25" s="19" t="s">
        <v>1814</v>
      </c>
      <c r="C25" s="19" t="s">
        <v>1789</v>
      </c>
      <c r="D25" s="20" t="s">
        <v>1815</v>
      </c>
      <c r="E25" s="39" t="s">
        <v>178</v>
      </c>
      <c r="F25" s="206" t="s">
        <v>31</v>
      </c>
      <c r="G25" s="116" t="s">
        <v>1816</v>
      </c>
      <c r="H25" s="24" t="s">
        <v>20</v>
      </c>
    </row>
    <row r="26" spans="1:8" ht="26.25" customHeight="1">
      <c r="A26" s="154">
        <f t="shared" si="0"/>
        <v>23</v>
      </c>
      <c r="B26" s="19" t="s">
        <v>1837</v>
      </c>
      <c r="C26" s="19" t="s">
        <v>1838</v>
      </c>
      <c r="D26" s="20" t="s">
        <v>1839</v>
      </c>
      <c r="E26" s="39" t="s">
        <v>178</v>
      </c>
      <c r="F26" s="206" t="s">
        <v>31</v>
      </c>
      <c r="G26" s="116" t="s">
        <v>1840</v>
      </c>
      <c r="H26" s="24" t="s">
        <v>20</v>
      </c>
    </row>
    <row r="27" spans="1:8" ht="26.25" customHeight="1">
      <c r="A27" s="154">
        <f t="shared" si="0"/>
        <v>24</v>
      </c>
      <c r="B27" s="160" t="s">
        <v>1907</v>
      </c>
      <c r="C27" s="19" t="s">
        <v>124</v>
      </c>
      <c r="D27" s="20" t="s">
        <v>1908</v>
      </c>
      <c r="E27" s="39" t="s">
        <v>5007</v>
      </c>
      <c r="F27" s="206" t="s">
        <v>42</v>
      </c>
      <c r="G27" s="116" t="s">
        <v>1910</v>
      </c>
      <c r="H27" s="24" t="s">
        <v>20</v>
      </c>
    </row>
    <row r="28" spans="1:8" ht="26.25" customHeight="1">
      <c r="A28" s="154">
        <f t="shared" si="0"/>
        <v>25</v>
      </c>
      <c r="B28" s="31" t="s">
        <v>1932</v>
      </c>
      <c r="C28" s="66" t="s">
        <v>965</v>
      </c>
      <c r="D28" s="20" t="s">
        <v>966</v>
      </c>
      <c r="E28" s="39" t="s">
        <v>1033</v>
      </c>
      <c r="F28" s="206" t="s">
        <v>31</v>
      </c>
      <c r="G28" s="116" t="s">
        <v>1933</v>
      </c>
      <c r="H28" s="24" t="s">
        <v>55</v>
      </c>
    </row>
    <row r="29" spans="1:8" ht="26.25" customHeight="1">
      <c r="A29" s="154">
        <f t="shared" si="0"/>
        <v>26</v>
      </c>
      <c r="B29" s="19" t="s">
        <v>1940</v>
      </c>
      <c r="C29" s="66" t="s">
        <v>277</v>
      </c>
      <c r="D29" s="20" t="s">
        <v>1941</v>
      </c>
      <c r="E29" s="39" t="s">
        <v>5008</v>
      </c>
      <c r="F29" s="206" t="s">
        <v>42</v>
      </c>
      <c r="G29" s="116" t="s">
        <v>1943</v>
      </c>
      <c r="H29" s="24" t="s">
        <v>20</v>
      </c>
    </row>
    <row r="30" spans="1:8" ht="26.25" customHeight="1">
      <c r="A30" s="154">
        <f t="shared" si="0"/>
        <v>27</v>
      </c>
      <c r="B30" s="209" t="s">
        <v>1944</v>
      </c>
      <c r="C30" s="19" t="s">
        <v>1945</v>
      </c>
      <c r="D30" s="20" t="s">
        <v>1946</v>
      </c>
      <c r="E30" s="39" t="s">
        <v>1947</v>
      </c>
      <c r="F30" s="206" t="s">
        <v>42</v>
      </c>
      <c r="G30" s="116" t="s">
        <v>1948</v>
      </c>
      <c r="H30" s="24" t="s">
        <v>55</v>
      </c>
    </row>
    <row r="31" spans="1:8" ht="26.25" customHeight="1">
      <c r="A31" s="154">
        <f t="shared" si="0"/>
        <v>28</v>
      </c>
      <c r="B31" s="19" t="s">
        <v>1976</v>
      </c>
      <c r="C31" s="19" t="s">
        <v>124</v>
      </c>
      <c r="D31" s="20" t="s">
        <v>1977</v>
      </c>
      <c r="E31" s="39" t="s">
        <v>52</v>
      </c>
      <c r="F31" s="206" t="s">
        <v>42</v>
      </c>
      <c r="G31" s="116" t="s">
        <v>1978</v>
      </c>
      <c r="H31" s="24" t="s">
        <v>20</v>
      </c>
    </row>
    <row r="32" spans="1:8" ht="26.25" customHeight="1">
      <c r="A32" s="154">
        <f t="shared" si="0"/>
        <v>29</v>
      </c>
      <c r="B32" s="88" t="s">
        <v>1979</v>
      </c>
      <c r="C32" s="19" t="s">
        <v>1980</v>
      </c>
      <c r="D32" s="20" t="s">
        <v>1981</v>
      </c>
      <c r="E32" s="39" t="s">
        <v>416</v>
      </c>
      <c r="F32" s="206" t="s">
        <v>53</v>
      </c>
      <c r="G32" s="116" t="s">
        <v>1982</v>
      </c>
      <c r="H32" s="24" t="s">
        <v>55</v>
      </c>
    </row>
    <row r="33" spans="1:8" ht="26.25" customHeight="1">
      <c r="A33" s="154">
        <f t="shared" si="0"/>
        <v>30</v>
      </c>
      <c r="B33" s="19" t="s">
        <v>2045</v>
      </c>
      <c r="C33" s="19" t="s">
        <v>141</v>
      </c>
      <c r="D33" s="20" t="s">
        <v>2046</v>
      </c>
      <c r="E33" s="39" t="s">
        <v>5009</v>
      </c>
      <c r="F33" s="206" t="s">
        <v>42</v>
      </c>
      <c r="G33" s="116" t="s">
        <v>2048</v>
      </c>
      <c r="H33" s="24" t="s">
        <v>20</v>
      </c>
    </row>
    <row r="34" spans="1:8" ht="26.25" customHeight="1">
      <c r="A34" s="154">
        <f t="shared" si="0"/>
        <v>31</v>
      </c>
      <c r="B34" s="19" t="s">
        <v>2060</v>
      </c>
      <c r="C34" s="19" t="s">
        <v>141</v>
      </c>
      <c r="D34" s="20" t="s">
        <v>2061</v>
      </c>
      <c r="E34" s="39" t="s">
        <v>5010</v>
      </c>
      <c r="F34" s="206" t="s">
        <v>42</v>
      </c>
      <c r="G34" s="116" t="s">
        <v>2063</v>
      </c>
      <c r="H34" s="24" t="s">
        <v>20</v>
      </c>
    </row>
    <row r="35" spans="1:8" ht="26.25" customHeight="1">
      <c r="A35" s="154">
        <f t="shared" si="0"/>
        <v>32</v>
      </c>
      <c r="B35" s="31" t="s">
        <v>865</v>
      </c>
      <c r="C35" s="19" t="s">
        <v>277</v>
      </c>
      <c r="D35" s="20" t="s">
        <v>866</v>
      </c>
      <c r="E35" s="39" t="s">
        <v>2100</v>
      </c>
      <c r="F35" s="206" t="s">
        <v>42</v>
      </c>
      <c r="G35" s="116" t="s">
        <v>2101</v>
      </c>
      <c r="H35" s="24" t="s">
        <v>55</v>
      </c>
    </row>
    <row r="36" spans="1:8" ht="26.25" customHeight="1">
      <c r="A36" s="154">
        <f t="shared" si="0"/>
        <v>33</v>
      </c>
      <c r="B36" s="19" t="s">
        <v>2119</v>
      </c>
      <c r="C36" s="19" t="s">
        <v>447</v>
      </c>
      <c r="D36" s="20" t="s">
        <v>2120</v>
      </c>
      <c r="E36" s="39" t="s">
        <v>4979</v>
      </c>
      <c r="F36" s="206" t="s">
        <v>42</v>
      </c>
      <c r="G36" s="116" t="s">
        <v>2122</v>
      </c>
      <c r="H36" s="24" t="s">
        <v>20</v>
      </c>
    </row>
    <row r="37" spans="1:8" ht="26.25" customHeight="1">
      <c r="A37" s="154">
        <f t="shared" si="0"/>
        <v>34</v>
      </c>
      <c r="B37" s="31" t="s">
        <v>2146</v>
      </c>
      <c r="C37" s="19" t="s">
        <v>141</v>
      </c>
      <c r="D37" s="20" t="s">
        <v>2147</v>
      </c>
      <c r="E37" s="39" t="s">
        <v>542</v>
      </c>
      <c r="F37" s="206" t="s">
        <v>53</v>
      </c>
      <c r="G37" s="116" t="s">
        <v>2148</v>
      </c>
      <c r="H37" s="24" t="s">
        <v>55</v>
      </c>
    </row>
    <row r="38" spans="1:8" ht="26.25" customHeight="1">
      <c r="A38" s="154">
        <f t="shared" si="0"/>
        <v>35</v>
      </c>
      <c r="B38" s="19" t="s">
        <v>2186</v>
      </c>
      <c r="C38" s="19" t="s">
        <v>141</v>
      </c>
      <c r="D38" s="20" t="s">
        <v>2187</v>
      </c>
      <c r="E38" s="39" t="s">
        <v>2705</v>
      </c>
      <c r="F38" s="206" t="s">
        <v>42</v>
      </c>
      <c r="G38" s="116" t="s">
        <v>2188</v>
      </c>
      <c r="H38" s="24" t="s">
        <v>20</v>
      </c>
    </row>
    <row r="39" spans="1:8" ht="26.25" customHeight="1">
      <c r="A39" s="154">
        <f t="shared" si="0"/>
        <v>36</v>
      </c>
      <c r="B39" s="19" t="s">
        <v>2234</v>
      </c>
      <c r="C39" s="19" t="s">
        <v>45</v>
      </c>
      <c r="D39" s="20" t="s">
        <v>2235</v>
      </c>
      <c r="E39" s="39" t="s">
        <v>4995</v>
      </c>
      <c r="F39" s="206" t="s">
        <v>42</v>
      </c>
      <c r="G39" s="116" t="s">
        <v>2237</v>
      </c>
      <c r="H39" s="24" t="s">
        <v>20</v>
      </c>
    </row>
    <row r="40" spans="1:8" ht="26.25" customHeight="1">
      <c r="A40" s="154">
        <f t="shared" si="0"/>
        <v>37</v>
      </c>
      <c r="B40" s="19" t="s">
        <v>2238</v>
      </c>
      <c r="C40" s="19" t="s">
        <v>277</v>
      </c>
      <c r="D40" s="20" t="s">
        <v>2239</v>
      </c>
      <c r="E40" s="39" t="s">
        <v>5011</v>
      </c>
      <c r="F40" s="206" t="s">
        <v>42</v>
      </c>
      <c r="G40" s="116" t="s">
        <v>2240</v>
      </c>
      <c r="H40" s="24" t="s">
        <v>20</v>
      </c>
    </row>
    <row r="41" spans="1:8" ht="26.25" customHeight="1">
      <c r="A41" s="154">
        <f t="shared" si="0"/>
        <v>38</v>
      </c>
      <c r="B41" s="31" t="s">
        <v>2241</v>
      </c>
      <c r="C41" s="19" t="s">
        <v>2242</v>
      </c>
      <c r="D41" s="20" t="s">
        <v>2243</v>
      </c>
      <c r="E41" s="39" t="s">
        <v>2244</v>
      </c>
      <c r="F41" s="206" t="s">
        <v>53</v>
      </c>
      <c r="G41" s="116" t="s">
        <v>2245</v>
      </c>
      <c r="H41" s="24" t="s">
        <v>55</v>
      </c>
    </row>
    <row r="42" spans="1:8" ht="26.25" customHeight="1">
      <c r="A42" s="154">
        <f t="shared" si="0"/>
        <v>39</v>
      </c>
      <c r="B42" s="31" t="s">
        <v>2246</v>
      </c>
      <c r="C42" s="19" t="s">
        <v>2247</v>
      </c>
      <c r="D42" s="20" t="s">
        <v>2248</v>
      </c>
      <c r="E42" s="39" t="s">
        <v>2249</v>
      </c>
      <c r="F42" s="206" t="s">
        <v>42</v>
      </c>
      <c r="G42" s="116" t="s">
        <v>2250</v>
      </c>
      <c r="H42" s="24" t="s">
        <v>55</v>
      </c>
    </row>
    <row r="43" spans="1:8" ht="26.25" customHeight="1">
      <c r="A43" s="154">
        <f t="shared" si="0"/>
        <v>40</v>
      </c>
      <c r="B43" s="31" t="s">
        <v>2251</v>
      </c>
      <c r="C43" s="19" t="s">
        <v>277</v>
      </c>
      <c r="D43" s="20" t="s">
        <v>2252</v>
      </c>
      <c r="E43" s="39" t="s">
        <v>2253</v>
      </c>
      <c r="F43" s="206" t="s">
        <v>42</v>
      </c>
      <c r="G43" s="116" t="s">
        <v>2254</v>
      </c>
      <c r="H43" s="24" t="s">
        <v>55</v>
      </c>
    </row>
    <row r="44" spans="1:8" ht="26.25" customHeight="1">
      <c r="A44" s="154">
        <f t="shared" si="0"/>
        <v>41</v>
      </c>
      <c r="B44" s="19" t="s">
        <v>2341</v>
      </c>
      <c r="C44" s="19" t="s">
        <v>141</v>
      </c>
      <c r="D44" s="20" t="s">
        <v>2342</v>
      </c>
      <c r="E44" s="39" t="s">
        <v>178</v>
      </c>
      <c r="F44" s="206" t="s">
        <v>42</v>
      </c>
      <c r="G44" s="116" t="s">
        <v>2343</v>
      </c>
      <c r="H44" s="24" t="s">
        <v>20</v>
      </c>
    </row>
    <row r="45" spans="1:8" ht="26.25" customHeight="1">
      <c r="A45" s="154">
        <f t="shared" si="0"/>
        <v>42</v>
      </c>
      <c r="B45" s="31" t="s">
        <v>1088</v>
      </c>
      <c r="C45" s="19" t="s">
        <v>588</v>
      </c>
      <c r="D45" s="20" t="s">
        <v>1089</v>
      </c>
      <c r="E45" s="39" t="s">
        <v>170</v>
      </c>
      <c r="F45" s="206" t="s">
        <v>42</v>
      </c>
      <c r="G45" s="116" t="s">
        <v>2347</v>
      </c>
      <c r="H45" s="24" t="s">
        <v>55</v>
      </c>
    </row>
    <row r="46" spans="1:8" ht="26.25" customHeight="1">
      <c r="A46" s="154">
        <f t="shared" si="0"/>
        <v>43</v>
      </c>
      <c r="B46" s="31" t="s">
        <v>2360</v>
      </c>
      <c r="C46" s="19" t="s">
        <v>2361</v>
      </c>
      <c r="D46" s="20" t="s">
        <v>2362</v>
      </c>
      <c r="E46" s="39" t="s">
        <v>5012</v>
      </c>
      <c r="F46" s="206" t="s">
        <v>42</v>
      </c>
      <c r="G46" s="116" t="s">
        <v>2363</v>
      </c>
      <c r="H46" s="24" t="s">
        <v>55</v>
      </c>
    </row>
    <row r="47" spans="1:8" ht="26.25" customHeight="1">
      <c r="A47" s="154">
        <f t="shared" si="0"/>
        <v>44</v>
      </c>
      <c r="B47" s="19" t="s">
        <v>1680</v>
      </c>
      <c r="C47" s="19" t="s">
        <v>141</v>
      </c>
      <c r="D47" s="20" t="s">
        <v>1681</v>
      </c>
      <c r="E47" s="39" t="s">
        <v>178</v>
      </c>
      <c r="F47" s="206" t="s">
        <v>42</v>
      </c>
      <c r="G47" s="116" t="s">
        <v>2364</v>
      </c>
      <c r="H47" s="24" t="s">
        <v>20</v>
      </c>
    </row>
    <row r="48" spans="1:8" ht="26.25" customHeight="1">
      <c r="A48" s="154">
        <f t="shared" si="0"/>
        <v>45</v>
      </c>
      <c r="B48" s="19" t="s">
        <v>2398</v>
      </c>
      <c r="C48" s="19" t="s">
        <v>2399</v>
      </c>
      <c r="D48" s="20" t="s">
        <v>2400</v>
      </c>
      <c r="E48" s="39" t="s">
        <v>2890</v>
      </c>
      <c r="F48" s="206" t="s">
        <v>63</v>
      </c>
      <c r="G48" s="116" t="s">
        <v>2401</v>
      </c>
      <c r="H48" s="24" t="s">
        <v>20</v>
      </c>
    </row>
    <row r="49" spans="1:8" ht="26.25" customHeight="1">
      <c r="A49" s="154">
        <f t="shared" si="0"/>
        <v>46</v>
      </c>
      <c r="B49" s="31" t="s">
        <v>367</v>
      </c>
      <c r="C49" s="19" t="s">
        <v>124</v>
      </c>
      <c r="D49" s="20" t="s">
        <v>368</v>
      </c>
      <c r="E49" s="39" t="s">
        <v>163</v>
      </c>
      <c r="F49" s="206" t="s">
        <v>42</v>
      </c>
      <c r="G49" s="116" t="s">
        <v>2477</v>
      </c>
      <c r="H49" s="24" t="s">
        <v>55</v>
      </c>
    </row>
    <row r="50" spans="1:8" ht="26.25" customHeight="1">
      <c r="A50" s="154">
        <f t="shared" si="0"/>
        <v>47</v>
      </c>
      <c r="B50" s="31" t="s">
        <v>695</v>
      </c>
      <c r="C50" s="19" t="s">
        <v>141</v>
      </c>
      <c r="D50" s="20" t="s">
        <v>696</v>
      </c>
      <c r="E50" s="39" t="s">
        <v>603</v>
      </c>
      <c r="F50" s="206" t="s">
        <v>42</v>
      </c>
      <c r="G50" s="116" t="s">
        <v>2479</v>
      </c>
      <c r="H50" s="24" t="s">
        <v>55</v>
      </c>
    </row>
    <row r="51" spans="1:8" ht="26.25" customHeight="1">
      <c r="A51" s="154">
        <f t="shared" si="0"/>
        <v>48</v>
      </c>
      <c r="B51" s="19" t="s">
        <v>2500</v>
      </c>
      <c r="C51" s="19" t="s">
        <v>2501</v>
      </c>
      <c r="D51" s="20" t="s">
        <v>1717</v>
      </c>
      <c r="E51" s="39" t="s">
        <v>52</v>
      </c>
      <c r="F51" s="206" t="s">
        <v>42</v>
      </c>
      <c r="G51" s="116" t="s">
        <v>2502</v>
      </c>
      <c r="H51" s="24" t="s">
        <v>20</v>
      </c>
    </row>
    <row r="52" spans="1:8" ht="26.25" customHeight="1">
      <c r="A52" s="154">
        <f t="shared" si="0"/>
        <v>49</v>
      </c>
      <c r="B52" s="19" t="s">
        <v>2503</v>
      </c>
      <c r="C52" s="19" t="s">
        <v>2501</v>
      </c>
      <c r="D52" s="20" t="s">
        <v>1723</v>
      </c>
      <c r="E52" s="39" t="s">
        <v>2504</v>
      </c>
      <c r="F52" s="206" t="s">
        <v>42</v>
      </c>
      <c r="G52" s="116" t="s">
        <v>2505</v>
      </c>
      <c r="H52" s="24" t="s">
        <v>20</v>
      </c>
    </row>
    <row r="53" spans="1:8" ht="26.25" customHeight="1">
      <c r="A53" s="154">
        <f t="shared" si="0"/>
        <v>50</v>
      </c>
      <c r="B53" s="31" t="s">
        <v>319</v>
      </c>
      <c r="C53" s="19" t="s">
        <v>2600</v>
      </c>
      <c r="D53" s="20" t="s">
        <v>321</v>
      </c>
      <c r="E53" s="39" t="s">
        <v>163</v>
      </c>
      <c r="F53" s="206" t="s">
        <v>42</v>
      </c>
      <c r="G53" s="116" t="s">
        <v>2601</v>
      </c>
      <c r="H53" s="24" t="s">
        <v>55</v>
      </c>
    </row>
    <row r="54" spans="1:8" ht="26.25" customHeight="1">
      <c r="A54" s="154">
        <f t="shared" si="0"/>
        <v>51</v>
      </c>
      <c r="B54" s="19" t="s">
        <v>2602</v>
      </c>
      <c r="C54" s="19" t="s">
        <v>2603</v>
      </c>
      <c r="D54" s="20" t="s">
        <v>2604</v>
      </c>
      <c r="E54" s="39" t="s">
        <v>186</v>
      </c>
      <c r="F54" s="206" t="s">
        <v>42</v>
      </c>
      <c r="G54" s="116" t="s">
        <v>2605</v>
      </c>
      <c r="H54" s="24" t="s">
        <v>20</v>
      </c>
    </row>
    <row r="55" spans="1:8" ht="26.25" customHeight="1">
      <c r="A55" s="154">
        <f t="shared" si="0"/>
        <v>52</v>
      </c>
      <c r="B55" s="19" t="s">
        <v>2606</v>
      </c>
      <c r="C55" s="19" t="s">
        <v>124</v>
      </c>
      <c r="D55" s="20" t="s">
        <v>2607</v>
      </c>
      <c r="E55" s="39" t="s">
        <v>52</v>
      </c>
      <c r="F55" s="206" t="s">
        <v>42</v>
      </c>
      <c r="G55" s="116" t="s">
        <v>2608</v>
      </c>
      <c r="H55" s="24" t="s">
        <v>20</v>
      </c>
    </row>
    <row r="56" spans="1:8" ht="26.25" customHeight="1">
      <c r="A56" s="154">
        <f t="shared" si="0"/>
        <v>53</v>
      </c>
      <c r="B56" s="19" t="s">
        <v>2613</v>
      </c>
      <c r="C56" s="19" t="s">
        <v>124</v>
      </c>
      <c r="D56" s="20" t="s">
        <v>2614</v>
      </c>
      <c r="E56" s="39" t="s">
        <v>52</v>
      </c>
      <c r="F56" s="206" t="s">
        <v>42</v>
      </c>
      <c r="G56" s="116" t="s">
        <v>2615</v>
      </c>
      <c r="H56" s="24" t="s">
        <v>20</v>
      </c>
    </row>
    <row r="57" spans="1:8" ht="26.25" customHeight="1">
      <c r="A57" s="154">
        <f t="shared" si="0"/>
        <v>54</v>
      </c>
      <c r="B57" s="19" t="s">
        <v>2616</v>
      </c>
      <c r="C57" s="19" t="s">
        <v>2617</v>
      </c>
      <c r="D57" s="20" t="s">
        <v>2618</v>
      </c>
      <c r="E57" s="39" t="s">
        <v>2705</v>
      </c>
      <c r="F57" s="206" t="s">
        <v>31</v>
      </c>
      <c r="G57" s="116" t="s">
        <v>2619</v>
      </c>
      <c r="H57" s="24" t="s">
        <v>20</v>
      </c>
    </row>
    <row r="58" spans="1:8" ht="26.25" customHeight="1">
      <c r="A58" s="154">
        <f t="shared" si="0"/>
        <v>55</v>
      </c>
      <c r="B58" s="31" t="s">
        <v>1132</v>
      </c>
      <c r="C58" s="19" t="s">
        <v>1106</v>
      </c>
      <c r="D58" s="20" t="s">
        <v>1134</v>
      </c>
      <c r="E58" s="39" t="s">
        <v>2582</v>
      </c>
      <c r="F58" s="206" t="s">
        <v>31</v>
      </c>
      <c r="G58" s="116" t="s">
        <v>2620</v>
      </c>
      <c r="H58" s="24" t="s">
        <v>55</v>
      </c>
    </row>
    <row r="59" spans="1:8" ht="26.25" customHeight="1">
      <c r="A59" s="154">
        <f t="shared" si="0"/>
        <v>56</v>
      </c>
      <c r="B59" s="19" t="s">
        <v>2621</v>
      </c>
      <c r="C59" s="19" t="s">
        <v>173</v>
      </c>
      <c r="D59" s="20" t="s">
        <v>2622</v>
      </c>
      <c r="E59" s="39" t="s">
        <v>178</v>
      </c>
      <c r="F59" s="206" t="s">
        <v>42</v>
      </c>
      <c r="G59" s="116" t="s">
        <v>2623</v>
      </c>
      <c r="H59" s="24" t="s">
        <v>20</v>
      </c>
    </row>
    <row r="60" spans="1:8" ht="26.25" customHeight="1">
      <c r="A60" s="154">
        <f t="shared" si="0"/>
        <v>57</v>
      </c>
      <c r="B60" s="19" t="s">
        <v>2627</v>
      </c>
      <c r="C60" s="19" t="s">
        <v>124</v>
      </c>
      <c r="D60" s="20" t="s">
        <v>2628</v>
      </c>
      <c r="E60" s="39" t="s">
        <v>52</v>
      </c>
      <c r="F60" s="206" t="s">
        <v>42</v>
      </c>
      <c r="G60" s="116" t="s">
        <v>2629</v>
      </c>
      <c r="H60" s="24" t="s">
        <v>20</v>
      </c>
    </row>
    <row r="61" spans="1:8" ht="26.25" customHeight="1">
      <c r="A61" s="154">
        <f t="shared" si="0"/>
        <v>58</v>
      </c>
      <c r="B61" s="19" t="s">
        <v>2630</v>
      </c>
      <c r="C61" s="19" t="s">
        <v>2631</v>
      </c>
      <c r="D61" s="20" t="s">
        <v>2632</v>
      </c>
      <c r="E61" s="39" t="s">
        <v>52</v>
      </c>
      <c r="F61" s="206" t="s">
        <v>42</v>
      </c>
      <c r="G61" s="116" t="s">
        <v>2633</v>
      </c>
      <c r="H61" s="24" t="s">
        <v>20</v>
      </c>
    </row>
    <row r="62" spans="1:8" ht="26.25" customHeight="1">
      <c r="A62" s="154">
        <f t="shared" si="0"/>
        <v>59</v>
      </c>
      <c r="B62" s="70" t="s">
        <v>1139</v>
      </c>
      <c r="C62" s="39" t="s">
        <v>2664</v>
      </c>
      <c r="D62" s="20" t="s">
        <v>1141</v>
      </c>
      <c r="E62" s="83">
        <v>2019</v>
      </c>
      <c r="F62" s="206" t="s">
        <v>53</v>
      </c>
      <c r="G62" s="207" t="s">
        <v>2665</v>
      </c>
      <c r="H62" s="24" t="s">
        <v>55</v>
      </c>
    </row>
    <row r="63" spans="1:8" ht="26.25" customHeight="1">
      <c r="A63" s="154">
        <f t="shared" si="0"/>
        <v>60</v>
      </c>
      <c r="B63" s="19" t="s">
        <v>2666</v>
      </c>
      <c r="C63" s="19" t="s">
        <v>2667</v>
      </c>
      <c r="D63" s="20" t="s">
        <v>2668</v>
      </c>
      <c r="E63" s="39" t="s">
        <v>5013</v>
      </c>
      <c r="F63" s="206" t="s">
        <v>53</v>
      </c>
      <c r="G63" s="116" t="s">
        <v>2670</v>
      </c>
      <c r="H63" s="24" t="s">
        <v>20</v>
      </c>
    </row>
    <row r="64" spans="1:8" ht="26.25" customHeight="1">
      <c r="A64" s="154">
        <f t="shared" si="0"/>
        <v>61</v>
      </c>
      <c r="B64" s="19" t="s">
        <v>2671</v>
      </c>
      <c r="C64" s="19" t="s">
        <v>2667</v>
      </c>
      <c r="D64" s="20" t="s">
        <v>2672</v>
      </c>
      <c r="E64" s="39" t="s">
        <v>5014</v>
      </c>
      <c r="F64" s="206" t="s">
        <v>53</v>
      </c>
      <c r="G64" s="116" t="s">
        <v>2674</v>
      </c>
      <c r="H64" s="24" t="s">
        <v>20</v>
      </c>
    </row>
    <row r="65" spans="1:8" ht="26.25" customHeight="1">
      <c r="A65" s="154">
        <f t="shared" si="0"/>
        <v>62</v>
      </c>
      <c r="B65" s="31" t="s">
        <v>2675</v>
      </c>
      <c r="C65" s="19" t="s">
        <v>2676</v>
      </c>
      <c r="D65" s="20" t="s">
        <v>1148</v>
      </c>
      <c r="E65" s="39" t="s">
        <v>170</v>
      </c>
      <c r="F65" s="206" t="s">
        <v>63</v>
      </c>
      <c r="G65" s="116" t="s">
        <v>2677</v>
      </c>
      <c r="H65" s="24" t="s">
        <v>55</v>
      </c>
    </row>
    <row r="66" spans="1:8" ht="26.25" customHeight="1">
      <c r="A66" s="154">
        <f t="shared" si="0"/>
        <v>63</v>
      </c>
      <c r="B66" s="31" t="s">
        <v>2678</v>
      </c>
      <c r="C66" s="19" t="s">
        <v>277</v>
      </c>
      <c r="D66" s="20" t="s">
        <v>2679</v>
      </c>
      <c r="E66" s="39" t="s">
        <v>2257</v>
      </c>
      <c r="F66" s="206" t="s">
        <v>42</v>
      </c>
      <c r="G66" s="116" t="s">
        <v>2680</v>
      </c>
      <c r="H66" s="24" t="s">
        <v>55</v>
      </c>
    </row>
    <row r="67" spans="1:8" ht="26.25" customHeight="1">
      <c r="A67" s="154">
        <f t="shared" si="0"/>
        <v>64</v>
      </c>
      <c r="B67" s="19" t="s">
        <v>2681</v>
      </c>
      <c r="C67" s="19" t="s">
        <v>277</v>
      </c>
      <c r="D67" s="20" t="s">
        <v>2682</v>
      </c>
      <c r="E67" s="39" t="s">
        <v>5015</v>
      </c>
      <c r="F67" s="206" t="s">
        <v>42</v>
      </c>
      <c r="G67" s="116" t="s">
        <v>2684</v>
      </c>
      <c r="H67" s="24" t="s">
        <v>20</v>
      </c>
    </row>
    <row r="68" spans="1:8" ht="26.25" customHeight="1">
      <c r="A68" s="154">
        <f t="shared" si="0"/>
        <v>65</v>
      </c>
      <c r="B68" s="19" t="s">
        <v>2707</v>
      </c>
      <c r="C68" s="19" t="s">
        <v>1804</v>
      </c>
      <c r="D68" s="20" t="s">
        <v>2708</v>
      </c>
      <c r="E68" s="39" t="s">
        <v>5016</v>
      </c>
      <c r="F68" s="206" t="s">
        <v>53</v>
      </c>
      <c r="G68" s="116" t="s">
        <v>2710</v>
      </c>
      <c r="H68" s="24" t="s">
        <v>20</v>
      </c>
    </row>
    <row r="69" spans="1:8" ht="26.25" customHeight="1">
      <c r="A69" s="154">
        <f t="shared" si="0"/>
        <v>66</v>
      </c>
      <c r="B69" s="19" t="s">
        <v>2722</v>
      </c>
      <c r="C69" s="19" t="s">
        <v>45</v>
      </c>
      <c r="D69" s="20" t="s">
        <v>2723</v>
      </c>
      <c r="E69" s="39" t="s">
        <v>2705</v>
      </c>
      <c r="F69" s="206" t="s">
        <v>42</v>
      </c>
      <c r="G69" s="116" t="s">
        <v>2724</v>
      </c>
      <c r="H69" s="24" t="s">
        <v>20</v>
      </c>
    </row>
    <row r="70" spans="1:8" ht="26.25" customHeight="1">
      <c r="A70" s="154">
        <f t="shared" si="0"/>
        <v>67</v>
      </c>
      <c r="B70" s="31" t="s">
        <v>2733</v>
      </c>
      <c r="C70" s="19" t="s">
        <v>748</v>
      </c>
      <c r="D70" s="20" t="s">
        <v>2734</v>
      </c>
      <c r="E70" s="39" t="s">
        <v>209</v>
      </c>
      <c r="F70" s="206" t="s">
        <v>42</v>
      </c>
      <c r="G70" s="116" t="s">
        <v>2735</v>
      </c>
      <c r="H70" s="24" t="s">
        <v>55</v>
      </c>
    </row>
    <row r="71" spans="1:8" ht="26.25" customHeight="1">
      <c r="A71" s="154">
        <f t="shared" si="0"/>
        <v>68</v>
      </c>
      <c r="B71" s="31" t="s">
        <v>2736</v>
      </c>
      <c r="C71" s="19" t="s">
        <v>808</v>
      </c>
      <c r="D71" s="20" t="s">
        <v>2737</v>
      </c>
      <c r="E71" s="39" t="s">
        <v>209</v>
      </c>
      <c r="F71" s="206" t="s">
        <v>42</v>
      </c>
      <c r="G71" s="116" t="s">
        <v>2738</v>
      </c>
      <c r="H71" s="24" t="s">
        <v>55</v>
      </c>
    </row>
    <row r="72" spans="1:8" ht="26.25" customHeight="1">
      <c r="A72" s="154">
        <f t="shared" si="0"/>
        <v>69</v>
      </c>
      <c r="B72" s="31" t="s">
        <v>878</v>
      </c>
      <c r="C72" s="19" t="s">
        <v>2742</v>
      </c>
      <c r="D72" s="20" t="s">
        <v>879</v>
      </c>
      <c r="E72" s="39" t="s">
        <v>2100</v>
      </c>
      <c r="F72" s="206" t="s">
        <v>1846</v>
      </c>
      <c r="G72" s="116" t="s">
        <v>2743</v>
      </c>
      <c r="H72" s="24" t="s">
        <v>55</v>
      </c>
    </row>
    <row r="73" spans="1:8" ht="26.25" customHeight="1">
      <c r="A73" s="154">
        <f t="shared" si="0"/>
        <v>70</v>
      </c>
      <c r="B73" s="19" t="s">
        <v>2765</v>
      </c>
      <c r="C73" s="19" t="s">
        <v>2766</v>
      </c>
      <c r="D73" s="20" t="s">
        <v>2767</v>
      </c>
      <c r="E73" s="39" t="s">
        <v>5017</v>
      </c>
      <c r="F73" s="206" t="s">
        <v>42</v>
      </c>
      <c r="G73" s="116" t="s">
        <v>2769</v>
      </c>
      <c r="H73" s="24" t="s">
        <v>20</v>
      </c>
    </row>
    <row r="74" spans="1:8" ht="26.25" customHeight="1">
      <c r="A74" s="154">
        <f t="shared" si="0"/>
        <v>71</v>
      </c>
      <c r="B74" s="19" t="s">
        <v>2873</v>
      </c>
      <c r="C74" s="19" t="s">
        <v>173</v>
      </c>
      <c r="D74" s="20" t="s">
        <v>2874</v>
      </c>
      <c r="E74" s="39" t="s">
        <v>52</v>
      </c>
      <c r="F74" s="206" t="s">
        <v>42</v>
      </c>
      <c r="G74" s="116" t="s">
        <v>2875</v>
      </c>
      <c r="H74" s="24" t="s">
        <v>20</v>
      </c>
    </row>
    <row r="75" spans="1:8" ht="26.25" customHeight="1">
      <c r="A75" s="154">
        <f t="shared" si="0"/>
        <v>72</v>
      </c>
      <c r="B75" s="31" t="s">
        <v>1530</v>
      </c>
      <c r="C75" s="19" t="s">
        <v>2901</v>
      </c>
      <c r="D75" s="20" t="s">
        <v>1532</v>
      </c>
      <c r="E75" s="39" t="s">
        <v>2902</v>
      </c>
      <c r="F75" s="206" t="s">
        <v>53</v>
      </c>
      <c r="G75" s="116" t="s">
        <v>2903</v>
      </c>
      <c r="H75" s="95" t="s">
        <v>20</v>
      </c>
    </row>
    <row r="76" spans="1:8" ht="26.25" customHeight="1">
      <c r="A76" s="154">
        <f t="shared" si="0"/>
        <v>73</v>
      </c>
      <c r="B76" s="19" t="s">
        <v>1704</v>
      </c>
      <c r="C76" s="19" t="s">
        <v>141</v>
      </c>
      <c r="D76" s="20" t="s">
        <v>1706</v>
      </c>
      <c r="E76" s="39" t="s">
        <v>186</v>
      </c>
      <c r="F76" s="206" t="s">
        <v>42</v>
      </c>
      <c r="G76" s="116" t="s">
        <v>2990</v>
      </c>
      <c r="H76" s="24" t="s">
        <v>20</v>
      </c>
    </row>
    <row r="77" spans="1:8" ht="26.25" customHeight="1">
      <c r="A77" s="154">
        <f t="shared" si="0"/>
        <v>74</v>
      </c>
      <c r="B77" s="31" t="s">
        <v>3060</v>
      </c>
      <c r="C77" s="19" t="s">
        <v>3061</v>
      </c>
      <c r="D77" s="20" t="s">
        <v>3062</v>
      </c>
      <c r="E77" s="39" t="s">
        <v>3063</v>
      </c>
      <c r="F77" s="206" t="s">
        <v>42</v>
      </c>
      <c r="G77" s="116" t="s">
        <v>3064</v>
      </c>
      <c r="H77" s="24" t="s">
        <v>55</v>
      </c>
    </row>
    <row r="78" spans="1:8" ht="26.25" customHeight="1">
      <c r="A78" s="154">
        <f t="shared" si="0"/>
        <v>75</v>
      </c>
      <c r="B78" s="31" t="s">
        <v>3078</v>
      </c>
      <c r="C78" s="19" t="s">
        <v>1980</v>
      </c>
      <c r="D78" s="20" t="s">
        <v>3079</v>
      </c>
      <c r="E78" s="39" t="s">
        <v>3080</v>
      </c>
      <c r="F78" s="206" t="s">
        <v>31</v>
      </c>
      <c r="G78" s="116" t="s">
        <v>3081</v>
      </c>
      <c r="H78" s="24" t="s">
        <v>55</v>
      </c>
    </row>
    <row r="79" spans="1:8" ht="26.25" customHeight="1">
      <c r="A79" s="154">
        <f t="shared" si="0"/>
        <v>76</v>
      </c>
      <c r="B79" s="19" t="s">
        <v>3105</v>
      </c>
      <c r="C79" s="19" t="s">
        <v>168</v>
      </c>
      <c r="D79" s="20" t="s">
        <v>3106</v>
      </c>
      <c r="E79" s="39" t="s">
        <v>5018</v>
      </c>
      <c r="F79" s="206" t="s">
        <v>31</v>
      </c>
      <c r="G79" s="116" t="s">
        <v>3108</v>
      </c>
      <c r="H79" s="24" t="s">
        <v>20</v>
      </c>
    </row>
    <row r="80" spans="1:8" ht="26.25" customHeight="1">
      <c r="A80" s="154">
        <f t="shared" si="0"/>
        <v>77</v>
      </c>
      <c r="B80" s="19" t="s">
        <v>3169</v>
      </c>
      <c r="C80" s="19" t="s">
        <v>3170</v>
      </c>
      <c r="D80" s="20" t="s">
        <v>3171</v>
      </c>
      <c r="E80" s="39" t="s">
        <v>52</v>
      </c>
      <c r="F80" s="206" t="s">
        <v>53</v>
      </c>
      <c r="G80" s="116" t="s">
        <v>3172</v>
      </c>
      <c r="H80" s="24" t="s">
        <v>20</v>
      </c>
    </row>
    <row r="81" spans="1:8" ht="26.25" customHeight="1">
      <c r="A81" s="154">
        <f t="shared" si="0"/>
        <v>78</v>
      </c>
      <c r="B81" s="31" t="s">
        <v>1228</v>
      </c>
      <c r="C81" s="19" t="s">
        <v>1229</v>
      </c>
      <c r="D81" s="20" t="s">
        <v>1230</v>
      </c>
      <c r="E81" s="39" t="s">
        <v>170</v>
      </c>
      <c r="F81" s="206" t="s">
        <v>53</v>
      </c>
      <c r="G81" s="116" t="s">
        <v>3200</v>
      </c>
      <c r="H81" s="24" t="s">
        <v>55</v>
      </c>
    </row>
    <row r="82" spans="1:8" ht="26.25" customHeight="1">
      <c r="A82" s="154">
        <f t="shared" si="0"/>
        <v>79</v>
      </c>
      <c r="B82" s="19" t="s">
        <v>3210</v>
      </c>
      <c r="C82" s="19" t="s">
        <v>1058</v>
      </c>
      <c r="D82" s="20" t="s">
        <v>3211</v>
      </c>
      <c r="E82" s="39" t="s">
        <v>52</v>
      </c>
      <c r="F82" s="206" t="s">
        <v>42</v>
      </c>
      <c r="G82" s="116" t="s">
        <v>3212</v>
      </c>
      <c r="H82" s="24" t="s">
        <v>20</v>
      </c>
    </row>
    <row r="83" spans="1:8" ht="26.25" customHeight="1">
      <c r="A83" s="154">
        <f t="shared" si="0"/>
        <v>80</v>
      </c>
      <c r="B83" s="19" t="s">
        <v>3240</v>
      </c>
      <c r="C83" s="19" t="s">
        <v>1776</v>
      </c>
      <c r="D83" s="20" t="s">
        <v>3241</v>
      </c>
      <c r="E83" s="39" t="s">
        <v>52</v>
      </c>
      <c r="F83" s="206" t="s">
        <v>42</v>
      </c>
      <c r="G83" s="116" t="s">
        <v>3242</v>
      </c>
      <c r="H83" s="24" t="s">
        <v>20</v>
      </c>
    </row>
    <row r="84" spans="1:8" ht="26.25" customHeight="1">
      <c r="A84" s="154">
        <f t="shared" si="0"/>
        <v>81</v>
      </c>
      <c r="B84" s="19" t="s">
        <v>3268</v>
      </c>
      <c r="C84" s="19" t="s">
        <v>2664</v>
      </c>
      <c r="D84" s="20" t="s">
        <v>3269</v>
      </c>
      <c r="E84" s="39" t="s">
        <v>52</v>
      </c>
      <c r="F84" s="206" t="s">
        <v>53</v>
      </c>
      <c r="G84" s="116" t="s">
        <v>3270</v>
      </c>
      <c r="H84" s="24" t="s">
        <v>20</v>
      </c>
    </row>
    <row r="85" spans="1:8" ht="26.25" customHeight="1">
      <c r="A85" s="154">
        <f t="shared" si="0"/>
        <v>82</v>
      </c>
      <c r="B85" s="19" t="s">
        <v>3291</v>
      </c>
      <c r="C85" s="19" t="s">
        <v>141</v>
      </c>
      <c r="D85" s="20" t="s">
        <v>3292</v>
      </c>
      <c r="E85" s="39" t="s">
        <v>4960</v>
      </c>
      <c r="F85" s="206" t="s">
        <v>42</v>
      </c>
      <c r="G85" s="116" t="s">
        <v>3293</v>
      </c>
      <c r="H85" s="24" t="s">
        <v>20</v>
      </c>
    </row>
    <row r="86" spans="1:8" ht="26.25" customHeight="1">
      <c r="A86" s="154">
        <f t="shared" si="0"/>
        <v>83</v>
      </c>
      <c r="B86" s="19" t="s">
        <v>3366</v>
      </c>
      <c r="C86" s="19" t="s">
        <v>124</v>
      </c>
      <c r="D86" s="20" t="s">
        <v>3367</v>
      </c>
      <c r="E86" s="39" t="s">
        <v>52</v>
      </c>
      <c r="F86" s="206" t="s">
        <v>42</v>
      </c>
      <c r="G86" s="116" t="s">
        <v>3368</v>
      </c>
      <c r="H86" s="24" t="s">
        <v>20</v>
      </c>
    </row>
    <row r="87" spans="1:8" ht="26.25" customHeight="1">
      <c r="A87" s="154">
        <f t="shared" si="0"/>
        <v>84</v>
      </c>
      <c r="B87" s="19" t="s">
        <v>3379</v>
      </c>
      <c r="C87" s="19" t="s">
        <v>141</v>
      </c>
      <c r="D87" s="20" t="s">
        <v>3380</v>
      </c>
      <c r="E87" s="39" t="s">
        <v>5019</v>
      </c>
      <c r="F87" s="206" t="s">
        <v>42</v>
      </c>
      <c r="G87" s="116" t="s">
        <v>3382</v>
      </c>
      <c r="H87" s="24" t="s">
        <v>20</v>
      </c>
    </row>
    <row r="88" spans="1:8" ht="26.25" customHeight="1">
      <c r="A88" s="154">
        <f t="shared" si="0"/>
        <v>85</v>
      </c>
      <c r="B88" s="19" t="s">
        <v>3411</v>
      </c>
      <c r="C88" s="19" t="s">
        <v>499</v>
      </c>
      <c r="D88" s="20" t="s">
        <v>3412</v>
      </c>
      <c r="E88" s="39" t="s">
        <v>4144</v>
      </c>
      <c r="F88" s="206" t="s">
        <v>42</v>
      </c>
      <c r="G88" s="116" t="s">
        <v>3413</v>
      </c>
      <c r="H88" s="24" t="s">
        <v>20</v>
      </c>
    </row>
    <row r="89" spans="1:8" ht="26.25" customHeight="1">
      <c r="A89" s="154">
        <f t="shared" si="0"/>
        <v>86</v>
      </c>
      <c r="B89" s="31" t="s">
        <v>3456</v>
      </c>
      <c r="C89" s="19" t="s">
        <v>1804</v>
      </c>
      <c r="D89" s="20"/>
      <c r="E89" s="39" t="s">
        <v>170</v>
      </c>
      <c r="F89" s="210" t="s">
        <v>53</v>
      </c>
      <c r="G89" s="116" t="s">
        <v>3457</v>
      </c>
      <c r="H89" s="24" t="s">
        <v>55</v>
      </c>
    </row>
    <row r="90" spans="1:8" ht="26.25" customHeight="1">
      <c r="A90" s="154">
        <f t="shared" si="0"/>
        <v>87</v>
      </c>
      <c r="B90" s="19" t="s">
        <v>3470</v>
      </c>
      <c r="C90" s="19" t="s">
        <v>173</v>
      </c>
      <c r="D90" s="20" t="s">
        <v>3471</v>
      </c>
      <c r="E90" s="39" t="s">
        <v>178</v>
      </c>
      <c r="F90" s="210" t="s">
        <v>31</v>
      </c>
      <c r="G90" s="116" t="s">
        <v>3472</v>
      </c>
      <c r="H90" s="24" t="s">
        <v>20</v>
      </c>
    </row>
    <row r="91" spans="1:8" ht="26.25" customHeight="1">
      <c r="A91" s="154">
        <f t="shared" si="0"/>
        <v>88</v>
      </c>
      <c r="B91" s="31" t="s">
        <v>3551</v>
      </c>
      <c r="C91" s="19" t="s">
        <v>3552</v>
      </c>
      <c r="D91" s="20" t="s">
        <v>3553</v>
      </c>
      <c r="E91" s="39" t="s">
        <v>3554</v>
      </c>
      <c r="F91" s="210" t="s">
        <v>53</v>
      </c>
      <c r="G91" s="116" t="s">
        <v>3555</v>
      </c>
      <c r="H91" s="24" t="s">
        <v>55</v>
      </c>
    </row>
    <row r="92" spans="1:8" ht="26.25" customHeight="1">
      <c r="A92" s="154">
        <f t="shared" si="0"/>
        <v>89</v>
      </c>
      <c r="B92" s="39" t="s">
        <v>1885</v>
      </c>
      <c r="C92" s="19" t="s">
        <v>3611</v>
      </c>
      <c r="D92" s="20"/>
      <c r="E92" s="39" t="s">
        <v>3612</v>
      </c>
      <c r="F92" s="210" t="s">
        <v>53</v>
      </c>
      <c r="G92" s="116" t="s">
        <v>3613</v>
      </c>
      <c r="H92" s="24" t="s">
        <v>20</v>
      </c>
    </row>
    <row r="93" spans="1:8" ht="26.25" customHeight="1">
      <c r="A93" s="154">
        <f t="shared" si="0"/>
        <v>90</v>
      </c>
      <c r="B93" s="19" t="s">
        <v>3644</v>
      </c>
      <c r="C93" s="19" t="s">
        <v>3645</v>
      </c>
      <c r="D93" s="20" t="s">
        <v>3646</v>
      </c>
      <c r="E93" s="39" t="s">
        <v>5020</v>
      </c>
      <c r="F93" s="210" t="s">
        <v>53</v>
      </c>
      <c r="G93" s="116" t="s">
        <v>3648</v>
      </c>
      <c r="H93" s="24" t="s">
        <v>20</v>
      </c>
    </row>
    <row r="94" spans="1:8" ht="26.25" customHeight="1">
      <c r="A94" s="154">
        <f t="shared" si="0"/>
        <v>91</v>
      </c>
      <c r="B94" s="19" t="s">
        <v>3675</v>
      </c>
      <c r="C94" s="19" t="s">
        <v>3676</v>
      </c>
      <c r="D94" s="20" t="s">
        <v>3677</v>
      </c>
      <c r="E94" s="39" t="s">
        <v>5021</v>
      </c>
      <c r="F94" s="206" t="s">
        <v>53</v>
      </c>
      <c r="G94" s="116" t="s">
        <v>3679</v>
      </c>
      <c r="H94" s="24" t="s">
        <v>20</v>
      </c>
    </row>
    <row r="95" spans="1:8" ht="26.25" customHeight="1">
      <c r="A95" s="154">
        <f t="shared" si="0"/>
        <v>92</v>
      </c>
      <c r="B95" s="19" t="s">
        <v>3708</v>
      </c>
      <c r="C95" s="19" t="s">
        <v>3709</v>
      </c>
      <c r="D95" s="20" t="s">
        <v>3710</v>
      </c>
      <c r="E95" s="39" t="s">
        <v>5022</v>
      </c>
      <c r="F95" s="206" t="s">
        <v>53</v>
      </c>
      <c r="G95" s="116" t="s">
        <v>3712</v>
      </c>
      <c r="H95" s="24" t="s">
        <v>20</v>
      </c>
    </row>
    <row r="96" spans="1:8" ht="26.25" customHeight="1">
      <c r="A96" s="154">
        <f t="shared" si="0"/>
        <v>93</v>
      </c>
      <c r="B96" s="31" t="s">
        <v>202</v>
      </c>
      <c r="C96" s="19" t="s">
        <v>3794</v>
      </c>
      <c r="D96" s="20" t="s">
        <v>204</v>
      </c>
      <c r="E96" s="39" t="s">
        <v>3795</v>
      </c>
      <c r="F96" s="206" t="s">
        <v>53</v>
      </c>
      <c r="G96" s="116" t="s">
        <v>3796</v>
      </c>
      <c r="H96" s="24" t="s">
        <v>55</v>
      </c>
    </row>
    <row r="97" spans="1:26" ht="26.25" customHeight="1">
      <c r="A97" s="154">
        <f t="shared" si="0"/>
        <v>94</v>
      </c>
      <c r="B97" s="19" t="s">
        <v>3797</v>
      </c>
      <c r="C97" s="19" t="s">
        <v>3798</v>
      </c>
      <c r="D97" s="20" t="s">
        <v>3799</v>
      </c>
      <c r="E97" s="39" t="s">
        <v>5023</v>
      </c>
      <c r="F97" s="206" t="s">
        <v>53</v>
      </c>
      <c r="G97" s="116" t="s">
        <v>3801</v>
      </c>
      <c r="H97" s="24" t="s">
        <v>20</v>
      </c>
    </row>
    <row r="98" spans="1:26" ht="26.25" customHeight="1">
      <c r="A98" s="154">
        <f t="shared" si="0"/>
        <v>95</v>
      </c>
      <c r="B98" s="19" t="s">
        <v>3802</v>
      </c>
      <c r="C98" s="19" t="s">
        <v>3803</v>
      </c>
      <c r="D98" s="20" t="s">
        <v>3804</v>
      </c>
      <c r="E98" s="39" t="s">
        <v>5024</v>
      </c>
      <c r="F98" s="206" t="s">
        <v>53</v>
      </c>
      <c r="G98" s="116" t="s">
        <v>3806</v>
      </c>
      <c r="H98" s="24" t="s">
        <v>20</v>
      </c>
    </row>
    <row r="99" spans="1:26" ht="26.25" customHeight="1">
      <c r="A99" s="154">
        <f t="shared" si="0"/>
        <v>96</v>
      </c>
      <c r="B99" s="19" t="s">
        <v>3807</v>
      </c>
      <c r="C99" s="19" t="s">
        <v>3808</v>
      </c>
      <c r="D99" s="20" t="s">
        <v>3809</v>
      </c>
      <c r="E99" s="39" t="s">
        <v>5025</v>
      </c>
      <c r="F99" s="206" t="s">
        <v>31</v>
      </c>
      <c r="G99" s="116" t="s">
        <v>3811</v>
      </c>
      <c r="H99" s="24" t="s">
        <v>20</v>
      </c>
    </row>
    <row r="100" spans="1:26" ht="26.25" customHeight="1">
      <c r="A100" s="154">
        <f t="shared" si="0"/>
        <v>97</v>
      </c>
      <c r="B100" s="39" t="s">
        <v>1811</v>
      </c>
      <c r="C100" s="39" t="s">
        <v>3873</v>
      </c>
      <c r="D100" s="20" t="s">
        <v>1813</v>
      </c>
      <c r="E100" s="83" t="s">
        <v>5026</v>
      </c>
      <c r="F100" s="206" t="s">
        <v>53</v>
      </c>
      <c r="G100" s="207" t="s">
        <v>3875</v>
      </c>
      <c r="H100" s="24" t="s">
        <v>20</v>
      </c>
    </row>
    <row r="101" spans="1:26" ht="26.25" customHeight="1">
      <c r="A101" s="154">
        <f t="shared" si="0"/>
        <v>98</v>
      </c>
      <c r="B101" s="19" t="s">
        <v>3960</v>
      </c>
      <c r="C101" s="19" t="s">
        <v>2631</v>
      </c>
      <c r="D101" s="20" t="s">
        <v>3961</v>
      </c>
      <c r="E101" s="39" t="s">
        <v>4144</v>
      </c>
      <c r="F101" s="206" t="s">
        <v>53</v>
      </c>
      <c r="G101" s="116" t="s">
        <v>3962</v>
      </c>
      <c r="H101" s="24" t="s">
        <v>20</v>
      </c>
    </row>
    <row r="102" spans="1:26" ht="26.25" customHeight="1">
      <c r="A102" s="154">
        <f t="shared" si="0"/>
        <v>99</v>
      </c>
      <c r="B102" s="19" t="s">
        <v>3977</v>
      </c>
      <c r="C102" s="19" t="s">
        <v>3978</v>
      </c>
      <c r="D102" s="20" t="s">
        <v>3979</v>
      </c>
      <c r="E102" s="39" t="s">
        <v>5027</v>
      </c>
      <c r="F102" s="206" t="s">
        <v>53</v>
      </c>
      <c r="G102" s="116" t="s">
        <v>3981</v>
      </c>
      <c r="H102" s="24" t="s">
        <v>20</v>
      </c>
    </row>
    <row r="103" spans="1:26" ht="26.25" customHeight="1">
      <c r="A103" s="154">
        <f t="shared" si="0"/>
        <v>100</v>
      </c>
      <c r="B103" s="19" t="s">
        <v>4013</v>
      </c>
      <c r="C103" s="19" t="s">
        <v>4014</v>
      </c>
      <c r="D103" s="20" t="s">
        <v>1819</v>
      </c>
      <c r="E103" s="39" t="s">
        <v>4015</v>
      </c>
      <c r="F103" s="206" t="s">
        <v>53</v>
      </c>
      <c r="G103" s="116" t="s">
        <v>4016</v>
      </c>
      <c r="H103" s="24" t="s">
        <v>20</v>
      </c>
    </row>
    <row r="104" spans="1:26" ht="26.25" customHeight="1">
      <c r="A104" s="154">
        <f t="shared" si="0"/>
        <v>101</v>
      </c>
      <c r="B104" s="31" t="s">
        <v>771</v>
      </c>
      <c r="C104" s="19" t="s">
        <v>4052</v>
      </c>
      <c r="D104" s="20" t="s">
        <v>773</v>
      </c>
      <c r="E104" s="39" t="s">
        <v>4053</v>
      </c>
      <c r="F104" s="206" t="s">
        <v>53</v>
      </c>
      <c r="G104" s="116" t="s">
        <v>4054</v>
      </c>
      <c r="H104" s="24" t="s">
        <v>55</v>
      </c>
    </row>
    <row r="105" spans="1:26" ht="26.25" customHeight="1">
      <c r="A105" s="154">
        <f t="shared" si="0"/>
        <v>102</v>
      </c>
      <c r="B105" s="31" t="s">
        <v>4055</v>
      </c>
      <c r="C105" s="19" t="s">
        <v>4056</v>
      </c>
      <c r="D105" s="20" t="s">
        <v>4057</v>
      </c>
      <c r="E105" s="39" t="s">
        <v>4058</v>
      </c>
      <c r="F105" s="206" t="s">
        <v>53</v>
      </c>
      <c r="G105" s="116" t="s">
        <v>4059</v>
      </c>
      <c r="H105" s="24" t="s">
        <v>55</v>
      </c>
    </row>
    <row r="106" spans="1:26" ht="26.25" customHeight="1">
      <c r="A106" s="154">
        <f t="shared" si="0"/>
        <v>103</v>
      </c>
      <c r="B106" s="19" t="s">
        <v>4122</v>
      </c>
      <c r="C106" s="19" t="s">
        <v>4123</v>
      </c>
      <c r="D106" s="20" t="s">
        <v>4124</v>
      </c>
      <c r="E106" s="39" t="s">
        <v>4985</v>
      </c>
      <c r="F106" s="206" t="s">
        <v>53</v>
      </c>
      <c r="G106" s="116" t="s">
        <v>4125</v>
      </c>
      <c r="H106" s="24" t="s">
        <v>20</v>
      </c>
    </row>
    <row r="107" spans="1:26" ht="26.25" customHeight="1">
      <c r="A107" s="154">
        <f t="shared" si="0"/>
        <v>104</v>
      </c>
      <c r="B107" s="31" t="s">
        <v>4153</v>
      </c>
      <c r="C107" s="19" t="s">
        <v>1128</v>
      </c>
      <c r="D107" s="20" t="s">
        <v>780</v>
      </c>
      <c r="E107" s="39" t="s">
        <v>4154</v>
      </c>
      <c r="F107" s="206" t="s">
        <v>31</v>
      </c>
      <c r="G107" s="116" t="s">
        <v>4155</v>
      </c>
      <c r="H107" s="24" t="s">
        <v>55</v>
      </c>
    </row>
    <row r="108" spans="1:26" ht="26.25" customHeight="1">
      <c r="A108" s="211">
        <f t="shared" si="0"/>
        <v>105</v>
      </c>
      <c r="B108" s="118" t="s">
        <v>4192</v>
      </c>
      <c r="C108" s="118" t="s">
        <v>4193</v>
      </c>
      <c r="D108" s="119" t="s">
        <v>4194</v>
      </c>
      <c r="E108" s="212" t="s">
        <v>5028</v>
      </c>
      <c r="F108" s="213" t="s">
        <v>53</v>
      </c>
      <c r="G108" s="214" t="s">
        <v>4196</v>
      </c>
      <c r="H108" s="165" t="s">
        <v>20</v>
      </c>
    </row>
    <row r="109" spans="1:26" ht="17.2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7.2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7.2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7.2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7.2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7.2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7.2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7.2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7.2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7.2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7.2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7.2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7.2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7.2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7.2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7.2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7.2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7.2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7.2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7.2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7.2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7.2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7.2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7.2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7.2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7.2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7.2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26" ht="16.5" customHeight="1">
      <c r="A138" s="46"/>
      <c r="F138" s="167"/>
    </row>
    <row r="139" spans="1:26" ht="16.5" customHeight="1">
      <c r="A139" s="46"/>
      <c r="F139" s="167"/>
    </row>
    <row r="140" spans="1:26" ht="16.5" customHeight="1">
      <c r="A140" s="46"/>
      <c r="F140" s="167"/>
    </row>
    <row r="141" spans="1:26" ht="16.5" customHeight="1">
      <c r="A141" s="46"/>
      <c r="F141" s="167"/>
    </row>
    <row r="142" spans="1:26" ht="16.5" customHeight="1">
      <c r="A142" s="46"/>
      <c r="F142" s="167"/>
    </row>
    <row r="143" spans="1:26" ht="16.5" customHeight="1">
      <c r="A143" s="46"/>
      <c r="F143" s="167"/>
    </row>
    <row r="144" spans="1:26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3" r:id="rId10"/>
    <hyperlink ref="G14" r:id="rId11"/>
    <hyperlink ref="G15" r:id="rId12"/>
    <hyperlink ref="G16" r:id="rId13"/>
    <hyperlink ref="G17" r:id="rId14"/>
    <hyperlink ref="G18" r:id="rId15"/>
    <hyperlink ref="G19" r:id="rId16"/>
    <hyperlink ref="G20" r:id="rId17"/>
    <hyperlink ref="G21" r:id="rId18"/>
    <hyperlink ref="G22" r:id="rId19"/>
    <hyperlink ref="G23" r:id="rId20"/>
    <hyperlink ref="G24" r:id="rId21"/>
    <hyperlink ref="G25" r:id="rId22"/>
    <hyperlink ref="G26" r:id="rId23"/>
    <hyperlink ref="G27" r:id="rId24"/>
    <hyperlink ref="G28" r:id="rId25"/>
    <hyperlink ref="G29" r:id="rId26"/>
    <hyperlink ref="G30" r:id="rId27"/>
    <hyperlink ref="G31" r:id="rId28"/>
    <hyperlink ref="G32" r:id="rId29"/>
    <hyperlink ref="G33" r:id="rId30"/>
    <hyperlink ref="G34" r:id="rId31"/>
    <hyperlink ref="G35" r:id="rId32"/>
    <hyperlink ref="G36" r:id="rId33"/>
    <hyperlink ref="G37" r:id="rId34"/>
    <hyperlink ref="G38" r:id="rId35"/>
    <hyperlink ref="G39" r:id="rId36"/>
    <hyperlink ref="G40" r:id="rId37"/>
    <hyperlink ref="G41" r:id="rId38"/>
    <hyperlink ref="G42" r:id="rId39"/>
    <hyperlink ref="G43" r:id="rId40"/>
    <hyperlink ref="G44" r:id="rId41"/>
    <hyperlink ref="G45" r:id="rId42"/>
    <hyperlink ref="G46" r:id="rId43"/>
    <hyperlink ref="G47" r:id="rId44"/>
    <hyperlink ref="G48" r:id="rId45"/>
    <hyperlink ref="G49" r:id="rId46"/>
    <hyperlink ref="G50" r:id="rId47"/>
    <hyperlink ref="G51" r:id="rId48"/>
    <hyperlink ref="G52" r:id="rId49"/>
    <hyperlink ref="G53" r:id="rId50"/>
    <hyperlink ref="G54" r:id="rId51"/>
    <hyperlink ref="G55" r:id="rId52"/>
    <hyperlink ref="G56" r:id="rId53"/>
    <hyperlink ref="G57" r:id="rId54"/>
    <hyperlink ref="G58" r:id="rId55"/>
    <hyperlink ref="G59" r:id="rId56"/>
    <hyperlink ref="G60" r:id="rId57"/>
    <hyperlink ref="G61" r:id="rId58"/>
    <hyperlink ref="G62" r:id="rId59"/>
    <hyperlink ref="G63" r:id="rId60"/>
    <hyperlink ref="G64" r:id="rId61"/>
    <hyperlink ref="G65" r:id="rId62"/>
    <hyperlink ref="G66" r:id="rId63"/>
    <hyperlink ref="G67" r:id="rId64"/>
    <hyperlink ref="G68" r:id="rId65"/>
    <hyperlink ref="G69" r:id="rId66"/>
    <hyperlink ref="G70" r:id="rId67"/>
    <hyperlink ref="G71" r:id="rId68"/>
    <hyperlink ref="G72" r:id="rId69"/>
    <hyperlink ref="G73" r:id="rId70"/>
    <hyperlink ref="G74" r:id="rId71"/>
    <hyperlink ref="G75" r:id="rId72"/>
    <hyperlink ref="G76" r:id="rId73"/>
    <hyperlink ref="G77" r:id="rId74"/>
    <hyperlink ref="G78" r:id="rId75"/>
    <hyperlink ref="G79" r:id="rId76"/>
    <hyperlink ref="G80" r:id="rId77"/>
    <hyperlink ref="G81" r:id="rId78"/>
    <hyperlink ref="G82" r:id="rId79"/>
    <hyperlink ref="G83" r:id="rId80"/>
    <hyperlink ref="G84" r:id="rId81"/>
    <hyperlink ref="G85" r:id="rId82"/>
    <hyperlink ref="G86" r:id="rId83"/>
    <hyperlink ref="G87" r:id="rId84"/>
    <hyperlink ref="G88" r:id="rId85"/>
    <hyperlink ref="G89" r:id="rId86"/>
    <hyperlink ref="G90" r:id="rId87"/>
    <hyperlink ref="G91" r:id="rId88"/>
    <hyperlink ref="G92" r:id="rId89"/>
    <hyperlink ref="G93" r:id="rId90"/>
    <hyperlink ref="G94" r:id="rId91"/>
    <hyperlink ref="G95" r:id="rId92"/>
    <hyperlink ref="G96" r:id="rId93"/>
    <hyperlink ref="G97" r:id="rId94"/>
    <hyperlink ref="G98" r:id="rId95"/>
    <hyperlink ref="G99" r:id="rId96"/>
    <hyperlink ref="G100" r:id="rId97"/>
    <hyperlink ref="G101" r:id="rId98"/>
    <hyperlink ref="G102" r:id="rId99"/>
    <hyperlink ref="G103" r:id="rId100"/>
    <hyperlink ref="G104" r:id="rId101"/>
    <hyperlink ref="G105" r:id="rId102"/>
    <hyperlink ref="G106" r:id="rId103"/>
    <hyperlink ref="G107" r:id="rId104"/>
    <hyperlink ref="G108" r:id="rId105"/>
  </hyperlink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defaultColWidth="12.625" defaultRowHeight="15" customHeight="1"/>
  <cols>
    <col min="1" max="1" width="4.375" customWidth="1"/>
    <col min="2" max="2" width="29.25" customWidth="1"/>
    <col min="3" max="3" width="23.375" customWidth="1"/>
    <col min="4" max="4" width="10.25" customWidth="1"/>
    <col min="5" max="5" width="17.375" customWidth="1"/>
    <col min="6" max="6" width="13.625" customWidth="1"/>
    <col min="7" max="7" width="26.75" customWidth="1"/>
    <col min="8" max="8" width="7.875" customWidth="1"/>
    <col min="9" max="26" width="7.625" customWidth="1"/>
  </cols>
  <sheetData>
    <row r="1" spans="1:26" ht="36" customHeight="1">
      <c r="A1" s="293" t="s">
        <v>4999</v>
      </c>
      <c r="B1" s="290"/>
      <c r="C1" s="290"/>
      <c r="D1" s="290"/>
      <c r="E1" s="290"/>
      <c r="F1" s="290"/>
      <c r="G1" s="290"/>
      <c r="H1" s="290"/>
      <c r="I1" s="197" t="s">
        <v>37</v>
      </c>
      <c r="J1" s="197" t="s">
        <v>37</v>
      </c>
      <c r="K1" s="197"/>
    </row>
    <row r="2" spans="1:26" ht="22.5" customHeight="1">
      <c r="A2" s="148"/>
      <c r="B2" s="149"/>
      <c r="C2" s="149"/>
      <c r="D2" s="149"/>
      <c r="E2" s="149"/>
      <c r="F2" s="149"/>
      <c r="G2" s="149"/>
      <c r="H2" s="149"/>
    </row>
    <row r="3" spans="1:26" ht="24" customHeight="1">
      <c r="A3" s="203" t="s">
        <v>2</v>
      </c>
      <c r="B3" s="204" t="s">
        <v>4</v>
      </c>
      <c r="C3" s="204" t="s">
        <v>5</v>
      </c>
      <c r="D3" s="204" t="s">
        <v>6</v>
      </c>
      <c r="E3" s="204" t="s">
        <v>7</v>
      </c>
      <c r="F3" s="204" t="s">
        <v>8</v>
      </c>
      <c r="G3" s="204" t="s">
        <v>9</v>
      </c>
      <c r="H3" s="205" t="s">
        <v>10</v>
      </c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6" ht="26.25" customHeight="1">
      <c r="A4" s="154">
        <f t="shared" ref="A4:A135" ca="1" si="0">IF(B4="","",ROW(B4)-3)</f>
        <v>1</v>
      </c>
      <c r="B4" s="19" t="str">
        <f ca="1">IFERROR(__xludf.DUMMYFUNCTION("filter('통합'!C4:I983,'통합'!B4:B983=I1)"),"AATCC Review")</f>
        <v>AATCC Review</v>
      </c>
      <c r="C4" s="19" t="str">
        <f ca="1">IFERROR(__xludf.DUMMYFUNCTION("""COMPUTED_VALUE"""),"American Association of Textile Chemists and Colorists")</f>
        <v>American Association of Textile Chemists and Colorists</v>
      </c>
      <c r="D4" s="20" t="str">
        <f ca="1">IFERROR(__xludf.DUMMYFUNCTION("""COMPUTED_VALUE"""),"1532-8813")</f>
        <v>1532-8813</v>
      </c>
      <c r="E4" s="39" t="str">
        <f ca="1">IFERROR(__xludf.DUMMYFUNCTION("""COMPUTED_VALUE"""),"2001-2021")</f>
        <v>2001-2021</v>
      </c>
      <c r="F4" s="206" t="str">
        <f ca="1">IFERROR(__xludf.DUMMYFUNCTION("""COMPUTED_VALUE"""),"SCIE, SCOPUS")</f>
        <v>SCIE, SCOPUS</v>
      </c>
      <c r="G4" s="116" t="str">
        <f ca="1">IFERROR(__xludf.DUMMYFUNCTION("""COMPUTED_VALUE"""),"http://www.riss.kr/link?id=S405713")</f>
        <v>http://www.riss.kr/link?id=S405713</v>
      </c>
      <c r="H4" s="24" t="str">
        <f ca="1">IFERROR(__xludf.DUMMYFUNCTION("""COMPUTED_VALUE"""),"O")</f>
        <v>O</v>
      </c>
    </row>
    <row r="5" spans="1:26" ht="26.25" customHeight="1">
      <c r="A5" s="154">
        <f t="shared" ca="1" si="0"/>
        <v>2</v>
      </c>
      <c r="B5" s="31" t="str">
        <f ca="1">IFERROR(__xludf.DUMMYFUNCTION("""COMPUTED_VALUE"""),"ACI Manual of Concrete Practice")</f>
        <v>ACI Manual of Concrete Practice</v>
      </c>
      <c r="C5" s="19" t="str">
        <f ca="1">IFERROR(__xludf.DUMMYFUNCTION("""COMPUTED_VALUE"""),"American Concrete Institute")</f>
        <v>American Concrete Institute</v>
      </c>
      <c r="D5" s="20" t="str">
        <f ca="1">IFERROR(__xludf.DUMMYFUNCTION("""COMPUTED_VALUE"""),"0065-7875")</f>
        <v>0065-7875</v>
      </c>
      <c r="E5" s="39" t="str">
        <f ca="1">IFERROR(__xludf.DUMMYFUNCTION("""COMPUTED_VALUE"""),"2010-2016")</f>
        <v>2010-2016</v>
      </c>
      <c r="F5" s="206" t="str">
        <f ca="1">IFERROR(__xludf.DUMMYFUNCTION("""COMPUTED_VALUE"""),"SCOPUS")</f>
        <v>SCOPUS</v>
      </c>
      <c r="G5" s="116" t="str">
        <f ca="1">IFERROR(__xludf.DUMMYFUNCTION("""COMPUTED_VALUE"""),"http://www.riss.kr/link?id=S38813")</f>
        <v>http://www.riss.kr/link?id=S38813</v>
      </c>
      <c r="H5" s="24" t="str">
        <f ca="1">IFERROR(__xludf.DUMMYFUNCTION("""COMPUTED_VALUE"""),"X")</f>
        <v>X</v>
      </c>
    </row>
    <row r="6" spans="1:26" ht="26.25" customHeight="1">
      <c r="A6" s="154">
        <f t="shared" ca="1" si="0"/>
        <v>3</v>
      </c>
      <c r="B6" s="31" t="str">
        <f ca="1">IFERROR(__xludf.DUMMYFUNCTION("""COMPUTED_VALUE"""),"ACI Materials Journal")</f>
        <v>ACI Materials Journal</v>
      </c>
      <c r="C6" s="19" t="str">
        <f ca="1">IFERROR(__xludf.DUMMYFUNCTION("""COMPUTED_VALUE"""),"American Concrete Institute")</f>
        <v>American Concrete Institute</v>
      </c>
      <c r="D6" s="20" t="str">
        <f ca="1">IFERROR(__xludf.DUMMYFUNCTION("""COMPUTED_VALUE"""),"0889-325X")</f>
        <v>0889-325X</v>
      </c>
      <c r="E6" s="39" t="str">
        <f ca="1">IFERROR(__xludf.DUMMYFUNCTION("""COMPUTED_VALUE"""),"1987, 1996-2004")</f>
        <v>1987, 1996-2004</v>
      </c>
      <c r="F6" s="206" t="str">
        <f ca="1">IFERROR(__xludf.DUMMYFUNCTION("""COMPUTED_VALUE"""),"SCIE, SCOPUS")</f>
        <v>SCIE, SCOPUS</v>
      </c>
      <c r="G6" s="116" t="str">
        <f ca="1">IFERROR(__xludf.DUMMYFUNCTION("""COMPUTED_VALUE"""),"http://www.riss.kr/link?id=S11597824")</f>
        <v>http://www.riss.kr/link?id=S11597824</v>
      </c>
      <c r="H6" s="24" t="str">
        <f ca="1">IFERROR(__xludf.DUMMYFUNCTION("""COMPUTED_VALUE"""),"X")</f>
        <v>X</v>
      </c>
    </row>
    <row r="7" spans="1:26" ht="26.25" customHeight="1">
      <c r="A7" s="154">
        <f t="shared" ca="1" si="0"/>
        <v>4</v>
      </c>
      <c r="B7" s="19" t="str">
        <f ca="1">IFERROR(__xludf.DUMMYFUNCTION("""COMPUTED_VALUE"""),"Advances in Applied Ceramics")</f>
        <v>Advances in Applied Ceramics</v>
      </c>
      <c r="C7" s="19" t="str">
        <f ca="1">IFERROR(__xludf.DUMMYFUNCTION("""COMPUTED_VALUE"""),"Taylor &amp; Francis")</f>
        <v>Taylor &amp; Francis</v>
      </c>
      <c r="D7" s="20" t="str">
        <f ca="1">IFERROR(__xludf.DUMMYFUNCTION("""COMPUTED_VALUE"""),"1743-6753")</f>
        <v>1743-6753</v>
      </c>
      <c r="E7" s="39" t="str">
        <f ca="1">IFERROR(__xludf.DUMMYFUNCTION("""COMPUTED_VALUE"""),"2005-2021")</f>
        <v>2005-2021</v>
      </c>
      <c r="F7" s="206" t="str">
        <f ca="1">IFERROR(__xludf.DUMMYFUNCTION("""COMPUTED_VALUE"""),"SCIE, SCOPUS")</f>
        <v>SCIE, SCOPUS</v>
      </c>
      <c r="G7" s="116" t="str">
        <f ca="1">IFERROR(__xludf.DUMMYFUNCTION("""COMPUTED_VALUE"""),"http://www.riss.kr/link?id=S30006959")</f>
        <v>http://www.riss.kr/link?id=S30006959</v>
      </c>
      <c r="H7" s="24" t="str">
        <f ca="1">IFERROR(__xludf.DUMMYFUNCTION("""COMPUTED_VALUE"""),"O")</f>
        <v>O</v>
      </c>
    </row>
    <row r="8" spans="1:26" ht="26.25" customHeight="1">
      <c r="A8" s="154">
        <f t="shared" ca="1" si="0"/>
        <v>5</v>
      </c>
      <c r="B8" s="19" t="str">
        <f ca="1">IFERROR(__xludf.DUMMYFUNCTION("""COMPUTED_VALUE"""),"Advanced Materials Research")</f>
        <v>Advanced Materials Research</v>
      </c>
      <c r="C8" s="39" t="str">
        <f ca="1">IFERROR(__xludf.DUMMYFUNCTION("""COMPUTED_VALUE"""),"Trans Tech Publications Ltd")</f>
        <v>Trans Tech Publications Ltd</v>
      </c>
      <c r="D8" s="20" t="str">
        <f ca="1">IFERROR(__xludf.DUMMYFUNCTION("""COMPUTED_VALUE"""),"1022-6680")</f>
        <v>1022-6680</v>
      </c>
      <c r="E8" s="83" t="str">
        <f ca="1">IFERROR(__xludf.DUMMYFUNCTION("""COMPUTED_VALUE"""),"2019-2021")</f>
        <v>2019-2021</v>
      </c>
      <c r="F8" s="206" t="str">
        <f ca="1">IFERROR(__xludf.DUMMYFUNCTION("""COMPUTED_VALUE"""),"-")</f>
        <v>-</v>
      </c>
      <c r="G8" s="207" t="str">
        <f ca="1">IFERROR(__xludf.DUMMYFUNCTION("""COMPUTED_VALUE"""),"http://www.riss.kr/link?id=S20035778")</f>
        <v>http://www.riss.kr/link?id=S20035778</v>
      </c>
      <c r="H8" s="24" t="str">
        <f ca="1">IFERROR(__xludf.DUMMYFUNCTION("""COMPUTED_VALUE"""),"O")</f>
        <v>O</v>
      </c>
    </row>
    <row r="9" spans="1:26" ht="26.25" customHeight="1">
      <c r="A9" s="154">
        <f t="shared" ca="1" si="0"/>
        <v>6</v>
      </c>
      <c r="B9" s="31" t="str">
        <f ca="1">IFERROR(__xludf.DUMMYFUNCTION("""COMPUTED_VALUE"""),"Advances in Materials science and Engineering")</f>
        <v>Advances in Materials science and Engineering</v>
      </c>
      <c r="C9" s="19" t="str">
        <f ca="1">IFERROR(__xludf.DUMMYFUNCTION("""COMPUTED_VALUE"""),"Hindawi Publishing Corporation")</f>
        <v>Hindawi Publishing Corporation</v>
      </c>
      <c r="D9" s="20" t="str">
        <f ca="1">IFERROR(__xludf.DUMMYFUNCTION("""COMPUTED_VALUE"""),"1687-8434")</f>
        <v>1687-8434</v>
      </c>
      <c r="E9" s="39" t="str">
        <f ca="1">IFERROR(__xludf.DUMMYFUNCTION("""COMPUTED_VALUE"""),"2012, 2013")</f>
        <v>2012, 2013</v>
      </c>
      <c r="F9" s="206" t="str">
        <f ca="1">IFERROR(__xludf.DUMMYFUNCTION("""COMPUTED_VALUE"""),"SCIE, SCOPUS")</f>
        <v>SCIE, SCOPUS</v>
      </c>
      <c r="G9" s="116" t="str">
        <f ca="1">IFERROR(__xludf.DUMMYFUNCTION("""COMPUTED_VALUE"""),"http://www.riss.kr/link?id=S143756")</f>
        <v>http://www.riss.kr/link?id=S143756</v>
      </c>
      <c r="H9" s="24" t="str">
        <f ca="1">IFERROR(__xludf.DUMMYFUNCTION("""COMPUTED_VALUE"""),"X")</f>
        <v>X</v>
      </c>
    </row>
    <row r="10" spans="1:26" ht="26.25" customHeight="1">
      <c r="A10" s="154">
        <f t="shared" ca="1" si="0"/>
        <v>7</v>
      </c>
      <c r="B10" s="19" t="str">
        <f ca="1">IFERROR(__xludf.DUMMYFUNCTION("""COMPUTED_VALUE"""),"American Ceramic Society Bulletin")</f>
        <v>American Ceramic Society Bulletin</v>
      </c>
      <c r="C10" s="19" t="str">
        <f ca="1">IFERROR(__xludf.DUMMYFUNCTION("""COMPUTED_VALUE"""),"American Ceramic Society Inc.")</f>
        <v>American Ceramic Society Inc.</v>
      </c>
      <c r="D10" s="20" t="str">
        <f ca="1">IFERROR(__xludf.DUMMYFUNCTION("""COMPUTED_VALUE"""),"0002-7812")</f>
        <v>0002-7812</v>
      </c>
      <c r="E10" s="39" t="str">
        <f ca="1">IFERROR(__xludf.DUMMYFUNCTION("""COMPUTED_VALUE"""),"1971-1994, 1996-2021")</f>
        <v>1971-1994, 1996-2021</v>
      </c>
      <c r="F10" s="206" t="str">
        <f ca="1">IFERROR(__xludf.DUMMYFUNCTION("""COMPUTED_VALUE"""),"SCIE")</f>
        <v>SCIE</v>
      </c>
      <c r="G10" s="116" t="str">
        <f ca="1">IFERROR(__xludf.DUMMYFUNCTION("""COMPUTED_VALUE"""),"http://www.riss.kr/link?id=S15668")</f>
        <v>http://www.riss.kr/link?id=S15668</v>
      </c>
      <c r="H10" s="24" t="str">
        <f ca="1">IFERROR(__xludf.DUMMYFUNCTION("""COMPUTED_VALUE"""),"O")</f>
        <v>O</v>
      </c>
    </row>
    <row r="11" spans="1:26" ht="26.25" customHeight="1">
      <c r="A11" s="154">
        <f t="shared" ca="1" si="0"/>
        <v>8</v>
      </c>
      <c r="B11" s="31" t="str">
        <f ca="1">IFERROR(__xludf.DUMMYFUNCTION("""COMPUTED_VALUE"""),"Annual Review of Materials Research")</f>
        <v>Annual Review of Materials Research</v>
      </c>
      <c r="C11" s="19" t="str">
        <f ca="1">IFERROR(__xludf.DUMMYFUNCTION("""COMPUTED_VALUE"""),"Annual Reviews")</f>
        <v>Annual Reviews</v>
      </c>
      <c r="D11" s="20" t="str">
        <f ca="1">IFERROR(__xludf.DUMMYFUNCTION("""COMPUTED_VALUE"""),"1531-7331")</f>
        <v>1531-7331</v>
      </c>
      <c r="E11" s="39" t="str">
        <f ca="1">IFERROR(__xludf.DUMMYFUNCTION("""COMPUTED_VALUE"""),"2010, 2011")</f>
        <v>2010, 2011</v>
      </c>
      <c r="F11" s="206" t="str">
        <f ca="1">IFERROR(__xludf.DUMMYFUNCTION("""COMPUTED_VALUE"""),"SCIE")</f>
        <v>SCIE</v>
      </c>
      <c r="G11" s="116" t="str">
        <f ca="1">IFERROR(__xludf.DUMMYFUNCTION("""COMPUTED_VALUE"""),"http://www.riss.kr/link?id=S11640488")</f>
        <v>http://www.riss.kr/link?id=S11640488</v>
      </c>
      <c r="H11" s="24" t="str">
        <f ca="1">IFERROR(__xludf.DUMMYFUNCTION("""COMPUTED_VALUE"""),"X")</f>
        <v>X</v>
      </c>
    </row>
    <row r="12" spans="1:26" ht="26.25" customHeight="1">
      <c r="A12" s="154">
        <f t="shared" ca="1" si="0"/>
        <v>9</v>
      </c>
      <c r="B12" s="19" t="str">
        <f ca="1">IFERROR(__xludf.DUMMYFUNCTION("""COMPUTED_VALUE"""),"Canadian Metallurgical Quarterly")</f>
        <v>Canadian Metallurgical Quarterly</v>
      </c>
      <c r="C12" s="19" t="str">
        <f ca="1">IFERROR(__xludf.DUMMYFUNCTION("""COMPUTED_VALUE"""),"Taylor &amp; Francis")</f>
        <v>Taylor &amp; Francis</v>
      </c>
      <c r="D12" s="20" t="str">
        <f ca="1">IFERROR(__xludf.DUMMYFUNCTION("""COMPUTED_VALUE"""),"0008-4433")</f>
        <v>0008-4433</v>
      </c>
      <c r="E12" s="39" t="str">
        <f ca="1">IFERROR(__xludf.DUMMYFUNCTION("""COMPUTED_VALUE"""),"1981-2021")</f>
        <v>1981-2021</v>
      </c>
      <c r="F12" s="206" t="str">
        <f ca="1">IFERROR(__xludf.DUMMYFUNCTION("""COMPUTED_VALUE"""),"SCIE, SCOPUS")</f>
        <v>SCIE, SCOPUS</v>
      </c>
      <c r="G12" s="116" t="str">
        <f ca="1">IFERROR(__xludf.DUMMYFUNCTION("""COMPUTED_VALUE"""),"http://www.riss.kr/link?id=S15663")</f>
        <v>http://www.riss.kr/link?id=S15663</v>
      </c>
      <c r="H12" s="24" t="str">
        <f ca="1">IFERROR(__xludf.DUMMYFUNCTION("""COMPUTED_VALUE"""),"O")</f>
        <v>O</v>
      </c>
    </row>
    <row r="13" spans="1:26" ht="26.25" customHeight="1">
      <c r="A13" s="154">
        <f t="shared" ca="1" si="0"/>
        <v>10</v>
      </c>
      <c r="B13" s="31" t="str">
        <f ca="1">IFERROR(__xludf.DUMMYFUNCTION("""COMPUTED_VALUE"""),"Ceramic Forum International")</f>
        <v>Ceramic Forum International</v>
      </c>
      <c r="C13" s="19" t="str">
        <f ca="1">IFERROR(__xludf.DUMMYFUNCTION("""COMPUTED_VALUE"""),"Goeller Verlag GmbH")</f>
        <v>Goeller Verlag GmbH</v>
      </c>
      <c r="D13" s="20" t="str">
        <f ca="1">IFERROR(__xludf.DUMMYFUNCTION("""COMPUTED_VALUE"""),"0173-9913")</f>
        <v>0173-9913</v>
      </c>
      <c r="E13" s="39" t="str">
        <f ca="1">IFERROR(__xludf.DUMMYFUNCTION("""COMPUTED_VALUE"""),"2010-2019")</f>
        <v>2010-2019</v>
      </c>
      <c r="F13" s="206" t="str">
        <f ca="1">IFERROR(__xludf.DUMMYFUNCTION("""COMPUTED_VALUE"""),"-")</f>
        <v>-</v>
      </c>
      <c r="G13" s="116" t="str">
        <f ca="1">IFERROR(__xludf.DUMMYFUNCTION("""COMPUTED_VALUE"""),"http://www.riss.kr/link?id=S410933")</f>
        <v>http://www.riss.kr/link?id=S410933</v>
      </c>
      <c r="H13" s="24" t="str">
        <f ca="1">IFERROR(__xludf.DUMMYFUNCTION("""COMPUTED_VALUE"""),"X")</f>
        <v>X</v>
      </c>
    </row>
    <row r="14" spans="1:26" ht="26.25" customHeight="1">
      <c r="A14" s="154">
        <f t="shared" ca="1" si="0"/>
        <v>11</v>
      </c>
      <c r="B14" s="19" t="str">
        <f ca="1">IFERROR(__xludf.DUMMYFUNCTION("""COMPUTED_VALUE"""),"Ceramics Japan")</f>
        <v>Ceramics Japan</v>
      </c>
      <c r="C14" s="19" t="str">
        <f ca="1">IFERROR(__xludf.DUMMYFUNCTION("""COMPUTED_VALUE"""),"Nippon Seramikkusu Kyokai")</f>
        <v>Nippon Seramikkusu Kyokai</v>
      </c>
      <c r="D14" s="20" t="str">
        <f ca="1">IFERROR(__xludf.DUMMYFUNCTION("""COMPUTED_VALUE"""),"0009-031X")</f>
        <v>0009-031X</v>
      </c>
      <c r="E14" s="39" t="str">
        <f ca="1">IFERROR(__xludf.DUMMYFUNCTION("""COMPUTED_VALUE"""),"1974-2021")</f>
        <v>1974-2021</v>
      </c>
      <c r="F14" s="206" t="str">
        <f ca="1">IFERROR(__xludf.DUMMYFUNCTION("""COMPUTED_VALUE"""),"-")</f>
        <v>-</v>
      </c>
      <c r="G14" s="116" t="str">
        <f ca="1">IFERROR(__xludf.DUMMYFUNCTION("""COMPUTED_VALUE"""),"http://www.riss.kr/link?id=S416801")</f>
        <v>http://www.riss.kr/link?id=S416801</v>
      </c>
      <c r="H14" s="24" t="str">
        <f ca="1">IFERROR(__xludf.DUMMYFUNCTION("""COMPUTED_VALUE"""),"O")</f>
        <v>O</v>
      </c>
    </row>
    <row r="15" spans="1:26" ht="26.25" customHeight="1">
      <c r="A15" s="154">
        <f t="shared" ca="1" si="0"/>
        <v>12</v>
      </c>
      <c r="B15" s="19" t="str">
        <f ca="1">IFERROR(__xludf.DUMMYFUNCTION("""COMPUTED_VALUE"""),"Clothing and Textiles Research Journal")</f>
        <v>Clothing and Textiles Research Journal</v>
      </c>
      <c r="C15" s="19" t="str">
        <f ca="1">IFERROR(__xludf.DUMMYFUNCTION("""COMPUTED_VALUE"""),"Association of College Professors of Textiles and Clothing")</f>
        <v>Association of College Professors of Textiles and Clothing</v>
      </c>
      <c r="D15" s="20" t="str">
        <f ca="1">IFERROR(__xludf.DUMMYFUNCTION("""COMPUTED_VALUE"""),"0887-302X")</f>
        <v>0887-302X</v>
      </c>
      <c r="E15" s="39" t="str">
        <f ca="1">IFERROR(__xludf.DUMMYFUNCTION("""COMPUTED_VALUE"""),"1984-2003, 2005-2021")</f>
        <v>1984-2003, 2005-2021</v>
      </c>
      <c r="F15" s="206" t="str">
        <f ca="1">IFERROR(__xludf.DUMMYFUNCTION("""COMPUTED_VALUE"""),"SSCI, SCOPUS")</f>
        <v>SSCI, SCOPUS</v>
      </c>
      <c r="G15" s="116" t="str">
        <f ca="1">IFERROR(__xludf.DUMMYFUNCTION("""COMPUTED_VALUE"""),"http://www.riss.kr/link?id=S13442")</f>
        <v>http://www.riss.kr/link?id=S13442</v>
      </c>
      <c r="H15" s="24" t="str">
        <f ca="1">IFERROR(__xludf.DUMMYFUNCTION("""COMPUTED_VALUE"""),"O")</f>
        <v>O</v>
      </c>
    </row>
    <row r="16" spans="1:26" ht="26.25" customHeight="1">
      <c r="A16" s="154">
        <f t="shared" ca="1" si="0"/>
        <v>13</v>
      </c>
      <c r="B16" s="19" t="str">
        <f ca="1">IFERROR(__xludf.DUMMYFUNCTION("""COMPUTED_VALUE"""),"European Journal of Glass science and Technology. Part A. Glass Technology")</f>
        <v>European Journal of Glass science and Technology. Part A. Glass Technology</v>
      </c>
      <c r="C16" s="19" t="str">
        <f ca="1">IFERROR(__xludf.DUMMYFUNCTION("""COMPUTED_VALUE"""),"Society of Glass Technology")</f>
        <v>Society of Glass Technology</v>
      </c>
      <c r="D16" s="20" t="str">
        <f ca="1">IFERROR(__xludf.DUMMYFUNCTION("""COMPUTED_VALUE"""),"1753-3546")</f>
        <v>1753-3546</v>
      </c>
      <c r="E16" s="39" t="str">
        <f ca="1">IFERROR(__xludf.DUMMYFUNCTION("""COMPUTED_VALUE"""),"2010-2021")</f>
        <v>2010-2021</v>
      </c>
      <c r="F16" s="206" t="str">
        <f ca="1">IFERROR(__xludf.DUMMYFUNCTION("""COMPUTED_VALUE"""),"SCIE, SCOPUS")</f>
        <v>SCIE, SCOPUS</v>
      </c>
      <c r="G16" s="116" t="str">
        <f ca="1">IFERROR(__xludf.DUMMYFUNCTION("""COMPUTED_VALUE"""),"http://www.riss.kr/link?id=S31011779")</f>
        <v>http://www.riss.kr/link?id=S31011779</v>
      </c>
      <c r="H16" s="24" t="str">
        <f ca="1">IFERROR(__xludf.DUMMYFUNCTION("""COMPUTED_VALUE"""),"O")</f>
        <v>O</v>
      </c>
    </row>
    <row r="17" spans="1:8" ht="26.25" customHeight="1">
      <c r="A17" s="154">
        <f t="shared" ca="1" si="0"/>
        <v>14</v>
      </c>
      <c r="B17" s="19" t="str">
        <f ca="1">IFERROR(__xludf.DUMMYFUNCTION("""COMPUTED_VALUE"""),"European Journal of Glass science and Techology. Part B. Physics and Chemistry of Glasses")</f>
        <v>European Journal of Glass science and Techology. Part B. Physics and Chemistry of Glasses</v>
      </c>
      <c r="C17" s="19" t="str">
        <f ca="1">IFERROR(__xludf.DUMMYFUNCTION("""COMPUTED_VALUE"""),"Society of Glass Technology")</f>
        <v>Society of Glass Technology</v>
      </c>
      <c r="D17" s="20" t="str">
        <f ca="1">IFERROR(__xludf.DUMMYFUNCTION("""COMPUTED_VALUE"""),"1753-3562")</f>
        <v>1753-3562</v>
      </c>
      <c r="E17" s="39" t="str">
        <f ca="1">IFERROR(__xludf.DUMMYFUNCTION("""COMPUTED_VALUE"""),"2006-2007, 2011-2021")</f>
        <v>2006-2007, 2011-2021</v>
      </c>
      <c r="F17" s="206" t="str">
        <f ca="1">IFERROR(__xludf.DUMMYFUNCTION("""COMPUTED_VALUE"""),"SCIE")</f>
        <v>SCIE</v>
      </c>
      <c r="G17" s="116" t="str">
        <f ca="1">IFERROR(__xludf.DUMMYFUNCTION("""COMPUTED_VALUE"""),"http://www.riss.kr/link?id=S31014183")</f>
        <v>http://www.riss.kr/link?id=S31014183</v>
      </c>
      <c r="H17" s="24" t="str">
        <f ca="1">IFERROR(__xludf.DUMMYFUNCTION("""COMPUTED_VALUE"""),"O")</f>
        <v>O</v>
      </c>
    </row>
    <row r="18" spans="1:8" ht="26.25" customHeight="1">
      <c r="A18" s="154">
        <f t="shared" ca="1" si="0"/>
        <v>15</v>
      </c>
      <c r="B18" s="19" t="str">
        <f ca="1">IFERROR(__xludf.DUMMYFUNCTION("""COMPUTED_VALUE"""),"Geosynthetics")</f>
        <v>Geosynthetics</v>
      </c>
      <c r="C18" s="19" t="str">
        <f ca="1">IFERROR(__xludf.DUMMYFUNCTION("""COMPUTED_VALUE"""),"Industrial Fabrics Association International")</f>
        <v>Industrial Fabrics Association International</v>
      </c>
      <c r="D18" s="20" t="str">
        <f ca="1">IFERROR(__xludf.DUMMYFUNCTION("""COMPUTED_VALUE"""),"1931-8189")</f>
        <v>1931-8189</v>
      </c>
      <c r="E18" s="39" t="str">
        <f ca="1">IFERROR(__xludf.DUMMYFUNCTION("""COMPUTED_VALUE"""),"2017-2021")</f>
        <v>2017-2021</v>
      </c>
      <c r="F18" s="206" t="str">
        <f ca="1">IFERROR(__xludf.DUMMYFUNCTION("""COMPUTED_VALUE"""),"-")</f>
        <v>-</v>
      </c>
      <c r="G18" s="116" t="str">
        <f ca="1">IFERROR(__xludf.DUMMYFUNCTION("""COMPUTED_VALUE"""),"http://www.riss.kr/link?id=S85559")</f>
        <v>http://www.riss.kr/link?id=S85559</v>
      </c>
      <c r="H18" s="24" t="str">
        <f ca="1">IFERROR(__xludf.DUMMYFUNCTION("""COMPUTED_VALUE"""),"O")</f>
        <v>O</v>
      </c>
    </row>
    <row r="19" spans="1:8" ht="26.25" customHeight="1">
      <c r="A19" s="154">
        <f t="shared" ca="1" si="0"/>
        <v>16</v>
      </c>
      <c r="B19" s="31" t="str">
        <f ca="1">IFERROR(__xludf.DUMMYFUNCTION("""COMPUTED_VALUE"""),"Glass Technology")</f>
        <v>Glass Technology</v>
      </c>
      <c r="C19" s="19" t="str">
        <f ca="1">IFERROR(__xludf.DUMMYFUNCTION("""COMPUTED_VALUE"""),"Society of Glass Technology")</f>
        <v>Society of Glass Technology</v>
      </c>
      <c r="D19" s="20" t="str">
        <f ca="1">IFERROR(__xludf.DUMMYFUNCTION("""COMPUTED_VALUE"""),"0017-1050")</f>
        <v>0017-1050</v>
      </c>
      <c r="E19" s="39" t="str">
        <f ca="1">IFERROR(__xludf.DUMMYFUNCTION("""COMPUTED_VALUE"""),"1982-2009, 2012, 2013")</f>
        <v>1982-2009, 2012, 2013</v>
      </c>
      <c r="F19" s="206" t="str">
        <f ca="1">IFERROR(__xludf.DUMMYFUNCTION("""COMPUTED_VALUE"""),"-")</f>
        <v>-</v>
      </c>
      <c r="G19" s="116" t="str">
        <f ca="1">IFERROR(__xludf.DUMMYFUNCTION("""COMPUTED_VALUE"""),"http://www.riss.kr/link?id=S15628")</f>
        <v>http://www.riss.kr/link?id=S15628</v>
      </c>
      <c r="H19" s="24" t="str">
        <f ca="1">IFERROR(__xludf.DUMMYFUNCTION("""COMPUTED_VALUE"""),"X")</f>
        <v>X</v>
      </c>
    </row>
    <row r="20" spans="1:8" ht="26.25" customHeight="1">
      <c r="A20" s="154">
        <f t="shared" ca="1" si="0"/>
        <v>17</v>
      </c>
      <c r="B20" s="31" t="str">
        <f ca="1">IFERROR(__xludf.DUMMYFUNCTION("""COMPUTED_VALUE"""),"Indian Journal of Fibre &amp; Textile Research")</f>
        <v>Indian Journal of Fibre &amp; Textile Research</v>
      </c>
      <c r="C20" s="19" t="str">
        <f ca="1">IFERROR(__xludf.DUMMYFUNCTION("""COMPUTED_VALUE"""),"National Institute of Science Communication and Information Resources")</f>
        <v>National Institute of Science Communication and Information Resources</v>
      </c>
      <c r="D20" s="20" t="str">
        <f ca="1">IFERROR(__xludf.DUMMYFUNCTION("""COMPUTED_VALUE"""),"0971-0426")</f>
        <v>0971-0426</v>
      </c>
      <c r="E20" s="39" t="str">
        <f ca="1">IFERROR(__xludf.DUMMYFUNCTION("""COMPUTED_VALUE"""),"2012-2014")</f>
        <v>2012-2014</v>
      </c>
      <c r="F20" s="206" t="str">
        <f ca="1">IFERROR(__xludf.DUMMYFUNCTION("""COMPUTED_VALUE"""),"SCIE, SCOPUS")</f>
        <v>SCIE, SCOPUS</v>
      </c>
      <c r="G20" s="116" t="str">
        <f ca="1">IFERROR(__xludf.DUMMYFUNCTION("""COMPUTED_VALUE"""),"http://www.riss.kr/link?id=S11574570")</f>
        <v>http://www.riss.kr/link?id=S11574570</v>
      </c>
      <c r="H20" s="24" t="str">
        <f ca="1">IFERROR(__xludf.DUMMYFUNCTION("""COMPUTED_VALUE"""),"X")</f>
        <v>X</v>
      </c>
    </row>
    <row r="21" spans="1:8" ht="26.25" customHeight="1">
      <c r="A21" s="154">
        <f t="shared" ca="1" si="0"/>
        <v>18</v>
      </c>
      <c r="B21" s="31" t="str">
        <f ca="1">IFERROR(__xludf.DUMMYFUNCTION("""COMPUTED_VALUE"""),"Industrial Ceramics")</f>
        <v>Industrial Ceramics</v>
      </c>
      <c r="C21" s="19" t="str">
        <f ca="1">IFERROR(__xludf.DUMMYFUNCTION("""COMPUTED_VALUE"""),"Techna Group")</f>
        <v>Techna Group</v>
      </c>
      <c r="D21" s="20" t="str">
        <f ca="1">IFERROR(__xludf.DUMMYFUNCTION("""COMPUTED_VALUE"""),"1121-7588")</f>
        <v>1121-7588</v>
      </c>
      <c r="E21" s="39" t="str">
        <f ca="1">IFERROR(__xludf.DUMMYFUNCTION("""COMPUTED_VALUE"""),"2010, 2011")</f>
        <v>2010, 2011</v>
      </c>
      <c r="F21" s="206" t="str">
        <f ca="1">IFERROR(__xludf.DUMMYFUNCTION("""COMPUTED_VALUE"""),"-")</f>
        <v>-</v>
      </c>
      <c r="G21" s="116" t="str">
        <f ca="1">IFERROR(__xludf.DUMMYFUNCTION("""COMPUTED_VALUE"""),"http://www.riss.kr/link?id=S30004950")</f>
        <v>http://www.riss.kr/link?id=S30004950</v>
      </c>
      <c r="H21" s="24" t="str">
        <f ca="1">IFERROR(__xludf.DUMMYFUNCTION("""COMPUTED_VALUE"""),"X")</f>
        <v>X</v>
      </c>
    </row>
    <row r="22" spans="1:8" ht="26.25" customHeight="1">
      <c r="A22" s="154">
        <f t="shared" ca="1" si="0"/>
        <v>19</v>
      </c>
      <c r="B22" s="31" t="str">
        <f ca="1">IFERROR(__xludf.DUMMYFUNCTION("""COMPUTED_VALUE"""),"International Journal of Clothing science and Technology")</f>
        <v>International Journal of Clothing science and Technology</v>
      </c>
      <c r="C22" s="19" t="str">
        <f ca="1">IFERROR(__xludf.DUMMYFUNCTION("""COMPUTED_VALUE"""),"Emerald Publishing Limited")</f>
        <v>Emerald Publishing Limited</v>
      </c>
      <c r="D22" s="20" t="str">
        <f ca="1">IFERROR(__xludf.DUMMYFUNCTION("""COMPUTED_VALUE"""),"0955-6222")</f>
        <v>0955-6222</v>
      </c>
      <c r="E22" s="39">
        <f ca="1">IFERROR(__xludf.DUMMYFUNCTION("""COMPUTED_VALUE"""),2010)</f>
        <v>2010</v>
      </c>
      <c r="F22" s="206" t="str">
        <f ca="1">IFERROR(__xludf.DUMMYFUNCTION("""COMPUTED_VALUE"""),"SCIE, SCOPUS")</f>
        <v>SCIE, SCOPUS</v>
      </c>
      <c r="G22" s="116" t="str">
        <f ca="1">IFERROR(__xludf.DUMMYFUNCTION("""COMPUTED_VALUE"""),"http://www.riss.kr/link?id=S30006757")</f>
        <v>http://www.riss.kr/link?id=S30006757</v>
      </c>
      <c r="H22" s="24" t="str">
        <f ca="1">IFERROR(__xludf.DUMMYFUNCTION("""COMPUTED_VALUE"""),"X")</f>
        <v>X</v>
      </c>
    </row>
    <row r="23" spans="1:8" ht="26.25" customHeight="1">
      <c r="A23" s="154">
        <f t="shared" ca="1" si="0"/>
        <v>20</v>
      </c>
      <c r="B23" s="33" t="str">
        <f ca="1">IFERROR(__xludf.DUMMYFUNCTION("""COMPUTED_VALUE"""),"International Journal of Materials Research")</f>
        <v>International Journal of Materials Research</v>
      </c>
      <c r="C23" s="83" t="str">
        <f ca="1">IFERROR(__xludf.DUMMYFUNCTION("""COMPUTED_VALUE"""),"Hanser Publishers")</f>
        <v>Hanser Publishers</v>
      </c>
      <c r="D23" s="84" t="str">
        <f ca="1">IFERROR(__xludf.DUMMYFUNCTION("""COMPUTED_VALUE"""),"1862-5282")</f>
        <v>1862-5282</v>
      </c>
      <c r="E23" s="83">
        <f ca="1">IFERROR(__xludf.DUMMYFUNCTION("""COMPUTED_VALUE"""),2019)</f>
        <v>2019</v>
      </c>
      <c r="F23" s="206" t="str">
        <f ca="1">IFERROR(__xludf.DUMMYFUNCTION("""COMPUTED_VALUE"""),"SCIE, SCOPUS")</f>
        <v>SCIE, SCOPUS</v>
      </c>
      <c r="G23" s="208" t="str">
        <f ca="1">IFERROR(__xludf.DUMMYFUNCTION("""COMPUTED_VALUE"""),"http://www.riss.kr/link?id=S31010133")</f>
        <v>http://www.riss.kr/link?id=S31010133</v>
      </c>
      <c r="H23" s="24" t="str">
        <f ca="1">IFERROR(__xludf.DUMMYFUNCTION("""COMPUTED_VALUE"""),"X")</f>
        <v>X</v>
      </c>
    </row>
    <row r="24" spans="1:8" ht="26.25" customHeight="1">
      <c r="A24" s="154">
        <f t="shared" ca="1" si="0"/>
        <v>21</v>
      </c>
      <c r="B24" s="19" t="str">
        <f ca="1">IFERROR(__xludf.DUMMYFUNCTION("""COMPUTED_VALUE"""),"International Journal of Metalcasting")</f>
        <v>International Journal of Metalcasting</v>
      </c>
      <c r="C24" s="19" t="str">
        <f ca="1">IFERROR(__xludf.DUMMYFUNCTION("""COMPUTED_VALUE"""),"American Foundry Society")</f>
        <v>American Foundry Society</v>
      </c>
      <c r="D24" s="20" t="str">
        <f ca="1">IFERROR(__xludf.DUMMYFUNCTION("""COMPUTED_VALUE"""),"1939-5981")</f>
        <v>1939-5981</v>
      </c>
      <c r="E24" s="39" t="str">
        <f ca="1">IFERROR(__xludf.DUMMYFUNCTION("""COMPUTED_VALUE"""),"2011-2021")</f>
        <v>2011-2021</v>
      </c>
      <c r="F24" s="206" t="str">
        <f ca="1">IFERROR(__xludf.DUMMYFUNCTION("""COMPUTED_VALUE"""),"SCIE, SCOPUS")</f>
        <v>SCIE, SCOPUS</v>
      </c>
      <c r="G24" s="116" t="str">
        <f ca="1">IFERROR(__xludf.DUMMYFUNCTION("""COMPUTED_VALUE"""),"http://www.riss.kr/link?id=S31031955")</f>
        <v>http://www.riss.kr/link?id=S31031955</v>
      </c>
      <c r="H24" s="24" t="str">
        <f ca="1">IFERROR(__xludf.DUMMYFUNCTION("""COMPUTED_VALUE"""),"O")</f>
        <v>O</v>
      </c>
    </row>
    <row r="25" spans="1:8" ht="26.25" customHeight="1">
      <c r="A25" s="154">
        <f t="shared" ca="1" si="0"/>
        <v>22</v>
      </c>
      <c r="B25" s="19" t="str">
        <f ca="1">IFERROR(__xludf.DUMMYFUNCTION("""COMPUTED_VALUE"""),"International Journal of Nanotechnology")</f>
        <v>International Journal of Nanotechnology</v>
      </c>
      <c r="C25" s="19" t="str">
        <f ca="1">IFERROR(__xludf.DUMMYFUNCTION("""COMPUTED_VALUE"""),"Inderscience Publishers ")</f>
        <v xml:space="preserve">Inderscience Publishers </v>
      </c>
      <c r="D25" s="20" t="str">
        <f ca="1">IFERROR(__xludf.DUMMYFUNCTION("""COMPUTED_VALUE"""),"1475-7435")</f>
        <v>1475-7435</v>
      </c>
      <c r="E25" s="39" t="str">
        <f ca="1">IFERROR(__xludf.DUMMYFUNCTION("""COMPUTED_VALUE"""),"2011-2021")</f>
        <v>2011-2021</v>
      </c>
      <c r="F25" s="206" t="str">
        <f ca="1">IFERROR(__xludf.DUMMYFUNCTION("""COMPUTED_VALUE"""),"SCIE")</f>
        <v>SCIE</v>
      </c>
      <c r="G25" s="116" t="str">
        <f ca="1">IFERROR(__xludf.DUMMYFUNCTION("""COMPUTED_VALUE"""),"http://www.riss.kr/link?id=S30000638")</f>
        <v>http://www.riss.kr/link?id=S30000638</v>
      </c>
      <c r="H25" s="24" t="str">
        <f ca="1">IFERROR(__xludf.DUMMYFUNCTION("""COMPUTED_VALUE"""),"O")</f>
        <v>O</v>
      </c>
    </row>
    <row r="26" spans="1:8" ht="26.25" customHeight="1">
      <c r="A26" s="154">
        <f t="shared" ca="1" si="0"/>
        <v>23</v>
      </c>
      <c r="B26" s="19" t="str">
        <f ca="1">IFERROR(__xludf.DUMMYFUNCTION("""COMPUTED_VALUE"""),"International Journal of Powder Metallurgy")</f>
        <v>International Journal of Powder Metallurgy</v>
      </c>
      <c r="C26" s="19" t="str">
        <f ca="1">IFERROR(__xludf.DUMMYFUNCTION("""COMPUTED_VALUE"""),"A P M I International")</f>
        <v>A P M I International</v>
      </c>
      <c r="D26" s="20" t="str">
        <f ca="1">IFERROR(__xludf.DUMMYFUNCTION("""COMPUTED_VALUE"""),"0888-7462")</f>
        <v>0888-7462</v>
      </c>
      <c r="E26" s="39" t="str">
        <f ca="1">IFERROR(__xludf.DUMMYFUNCTION("""COMPUTED_VALUE"""),"2011-2021")</f>
        <v>2011-2021</v>
      </c>
      <c r="F26" s="206" t="str">
        <f ca="1">IFERROR(__xludf.DUMMYFUNCTION("""COMPUTED_VALUE"""),"SCIE")</f>
        <v>SCIE</v>
      </c>
      <c r="G26" s="116" t="str">
        <f ca="1">IFERROR(__xludf.DUMMYFUNCTION("""COMPUTED_VALUE"""),"http://www.riss.kr/link?id=S61420")</f>
        <v>http://www.riss.kr/link?id=S61420</v>
      </c>
      <c r="H26" s="24" t="str">
        <f ca="1">IFERROR(__xludf.DUMMYFUNCTION("""COMPUTED_VALUE"""),"O")</f>
        <v>O</v>
      </c>
    </row>
    <row r="27" spans="1:8" ht="26.25" customHeight="1">
      <c r="A27" s="154">
        <f t="shared" ca="1" si="0"/>
        <v>24</v>
      </c>
      <c r="B27" s="160" t="str">
        <f ca="1">IFERROR(__xludf.DUMMYFUNCTION("""COMPUTED_VALUE"""),"International Materials Reviews")</f>
        <v>International Materials Reviews</v>
      </c>
      <c r="C27" s="19" t="str">
        <f ca="1">IFERROR(__xludf.DUMMYFUNCTION("""COMPUTED_VALUE"""),"Taylor &amp; Francis")</f>
        <v>Taylor &amp; Francis</v>
      </c>
      <c r="D27" s="20" t="str">
        <f ca="1">IFERROR(__xludf.DUMMYFUNCTION("""COMPUTED_VALUE"""),"0950-6608")</f>
        <v>0950-6608</v>
      </c>
      <c r="E27" s="39" t="str">
        <f ca="1">IFERROR(__xludf.DUMMYFUNCTION("""COMPUTED_VALUE"""),"1984-1993, 1995-2004, 2011-2021")</f>
        <v>1984-1993, 1995-2004, 2011-2021</v>
      </c>
      <c r="F27" s="206" t="str">
        <f ca="1">IFERROR(__xludf.DUMMYFUNCTION("""COMPUTED_VALUE"""),"SCIE, SCOPUS")</f>
        <v>SCIE, SCOPUS</v>
      </c>
      <c r="G27" s="116" t="str">
        <f ca="1">IFERROR(__xludf.DUMMYFUNCTION("""COMPUTED_VALUE"""),"http://www.riss.kr/link?id=S28236")</f>
        <v>http://www.riss.kr/link?id=S28236</v>
      </c>
      <c r="H27" s="24" t="str">
        <f ca="1">IFERROR(__xludf.DUMMYFUNCTION("""COMPUTED_VALUE"""),"O")</f>
        <v>O</v>
      </c>
    </row>
    <row r="28" spans="1:8" ht="26.25" customHeight="1">
      <c r="A28" s="154">
        <f t="shared" ca="1" si="0"/>
        <v>25</v>
      </c>
      <c r="B28" s="31" t="str">
        <f ca="1">IFERROR(__xludf.DUMMYFUNCTION("""COMPUTED_VALUE"""),"JCT CoatingsTech")</f>
        <v>JCT CoatingsTech</v>
      </c>
      <c r="C28" s="66" t="str">
        <f ca="1">IFERROR(__xludf.DUMMYFUNCTION("""COMPUTED_VALUE"""),"American Coatings Association")</f>
        <v>American Coatings Association</v>
      </c>
      <c r="D28" s="20" t="str">
        <f ca="1">IFERROR(__xludf.DUMMYFUNCTION("""COMPUTED_VALUE"""),"1547-0083")</f>
        <v>1547-0083</v>
      </c>
      <c r="E28" s="39" t="str">
        <f ca="1">IFERROR(__xludf.DUMMYFUNCTION("""COMPUTED_VALUE"""),"2011-2019")</f>
        <v>2011-2019</v>
      </c>
      <c r="F28" s="206" t="str">
        <f ca="1">IFERROR(__xludf.DUMMYFUNCTION("""COMPUTED_VALUE"""),"SCIE")</f>
        <v>SCIE</v>
      </c>
      <c r="G28" s="116" t="str">
        <f ca="1">IFERROR(__xludf.DUMMYFUNCTION("""COMPUTED_VALUE"""),"http://www.riss.kr/link?id=S103439")</f>
        <v>http://www.riss.kr/link?id=S103439</v>
      </c>
      <c r="H28" s="24" t="str">
        <f ca="1">IFERROR(__xludf.DUMMYFUNCTION("""COMPUTED_VALUE"""),"X")</f>
        <v>X</v>
      </c>
    </row>
    <row r="29" spans="1:8" ht="26.25" customHeight="1">
      <c r="A29" s="154">
        <f t="shared" ca="1" si="0"/>
        <v>26</v>
      </c>
      <c r="B29" s="19" t="str">
        <f ca="1">IFERROR(__xludf.DUMMYFUNCTION("""COMPUTED_VALUE"""),"JOM")</f>
        <v>JOM</v>
      </c>
      <c r="C29" s="66" t="str">
        <f ca="1">IFERROR(__xludf.DUMMYFUNCTION("""COMPUTED_VALUE"""),"Springer New York LLC")</f>
        <v>Springer New York LLC</v>
      </c>
      <c r="D29" s="20" t="str">
        <f ca="1">IFERROR(__xludf.DUMMYFUNCTION("""COMPUTED_VALUE"""),"1047-4838")</f>
        <v>1047-4838</v>
      </c>
      <c r="E29" s="39" t="str">
        <f ca="1">IFERROR(__xludf.DUMMYFUNCTION("""COMPUTED_VALUE"""),"1977-2005, 2008-2021")</f>
        <v>1977-2005, 2008-2021</v>
      </c>
      <c r="F29" s="206" t="str">
        <f ca="1">IFERROR(__xludf.DUMMYFUNCTION("""COMPUTED_VALUE"""),"SCIE, SCOPUS")</f>
        <v>SCIE, SCOPUS</v>
      </c>
      <c r="G29" s="116" t="str">
        <f ca="1">IFERROR(__xludf.DUMMYFUNCTION("""COMPUTED_VALUE"""),"http://www.riss.kr/link?id=S15605")</f>
        <v>http://www.riss.kr/link?id=S15605</v>
      </c>
      <c r="H29" s="24" t="str">
        <f ca="1">IFERROR(__xludf.DUMMYFUNCTION("""COMPUTED_VALUE"""),"O")</f>
        <v>O</v>
      </c>
    </row>
    <row r="30" spans="1:8" ht="26.25" customHeight="1">
      <c r="A30" s="154">
        <f t="shared" ca="1" si="0"/>
        <v>27</v>
      </c>
      <c r="B30" s="209" t="str">
        <f ca="1">IFERROR(__xludf.DUMMYFUNCTION("""COMPUTED_VALUE"""),"Journal- Ceramic Society of Japan")</f>
        <v>Journal- Ceramic Society of Japan</v>
      </c>
      <c r="C30" s="19" t="str">
        <f ca="1">IFERROR(__xludf.DUMMYFUNCTION("""COMPUTED_VALUE"""),"Ceramic Society of Japan")</f>
        <v>Ceramic Society of Japan</v>
      </c>
      <c r="D30" s="20" t="str">
        <f ca="1">IFERROR(__xludf.DUMMYFUNCTION("""COMPUTED_VALUE"""),"1882-0743")</f>
        <v>1882-0743</v>
      </c>
      <c r="E30" s="39" t="str">
        <f ca="1">IFERROR(__xludf.DUMMYFUNCTION("""COMPUTED_VALUE"""),"1988-2012")</f>
        <v>1988-2012</v>
      </c>
      <c r="F30" s="206" t="str">
        <f ca="1">IFERROR(__xludf.DUMMYFUNCTION("""COMPUTED_VALUE"""),"SCIE, SCOPUS")</f>
        <v>SCIE, SCOPUS</v>
      </c>
      <c r="G30" s="116" t="str">
        <f ca="1">IFERROR(__xludf.DUMMYFUNCTION("""COMPUTED_VALUE"""),"http://www.riss.kr/link?id=S31025232")</f>
        <v>http://www.riss.kr/link?id=S31025232</v>
      </c>
      <c r="H30" s="24" t="str">
        <f ca="1">IFERROR(__xludf.DUMMYFUNCTION("""COMPUTED_VALUE"""),"X")</f>
        <v>X</v>
      </c>
    </row>
    <row r="31" spans="1:8" ht="26.25" customHeight="1">
      <c r="A31" s="154">
        <f t="shared" ca="1" si="0"/>
        <v>28</v>
      </c>
      <c r="B31" s="19" t="str">
        <f ca="1">IFERROR(__xludf.DUMMYFUNCTION("""COMPUTED_VALUE"""),"Journal of Adhesion science and Technology")</f>
        <v>Journal of Adhesion science and Technology</v>
      </c>
      <c r="C31" s="19" t="str">
        <f ca="1">IFERROR(__xludf.DUMMYFUNCTION("""COMPUTED_VALUE"""),"Taylor &amp; Francis")</f>
        <v>Taylor &amp; Francis</v>
      </c>
      <c r="D31" s="20" t="str">
        <f ca="1">IFERROR(__xludf.DUMMYFUNCTION("""COMPUTED_VALUE"""),"0169-4243")</f>
        <v>0169-4243</v>
      </c>
      <c r="E31" s="39" t="str">
        <f ca="1">IFERROR(__xludf.DUMMYFUNCTION("""COMPUTED_VALUE"""),"2010-2021")</f>
        <v>2010-2021</v>
      </c>
      <c r="F31" s="206" t="str">
        <f ca="1">IFERROR(__xludf.DUMMYFUNCTION("""COMPUTED_VALUE"""),"SCIE, SCOPUS")</f>
        <v>SCIE, SCOPUS</v>
      </c>
      <c r="G31" s="116" t="str">
        <f ca="1">IFERROR(__xludf.DUMMYFUNCTION("""COMPUTED_VALUE"""),"http://www.riss.kr/link?id=S13700")</f>
        <v>http://www.riss.kr/link?id=S13700</v>
      </c>
      <c r="H31" s="24" t="str">
        <f ca="1">IFERROR(__xludf.DUMMYFUNCTION("""COMPUTED_VALUE"""),"O")</f>
        <v>O</v>
      </c>
    </row>
    <row r="32" spans="1:8" ht="26.25" customHeight="1">
      <c r="A32" s="154">
        <f t="shared" ca="1" si="0"/>
        <v>29</v>
      </c>
      <c r="B32" s="88" t="str">
        <f ca="1">IFERROR(__xludf.DUMMYFUNCTION("""COMPUTED_VALUE"""),"Journal of Advanced Materials")</f>
        <v>Journal of Advanced Materials</v>
      </c>
      <c r="C32" s="19" t="str">
        <f ca="1">IFERROR(__xludf.DUMMYFUNCTION("""COMPUTED_VALUE"""),"Society for the Advancement of Material and Process Engineering")</f>
        <v>Society for the Advancement of Material and Process Engineering</v>
      </c>
      <c r="D32" s="20" t="str">
        <f ca="1">IFERROR(__xludf.DUMMYFUNCTION("""COMPUTED_VALUE"""),"1070-9789")</f>
        <v>1070-9789</v>
      </c>
      <c r="E32" s="39" t="str">
        <f ca="1">IFERROR(__xludf.DUMMYFUNCTION("""COMPUTED_VALUE"""),"2010, 2011")</f>
        <v>2010, 2011</v>
      </c>
      <c r="F32" s="206" t="str">
        <f ca="1">IFERROR(__xludf.DUMMYFUNCTION("""COMPUTED_VALUE"""),"-")</f>
        <v>-</v>
      </c>
      <c r="G32" s="116" t="str">
        <f ca="1">IFERROR(__xludf.DUMMYFUNCTION("""COMPUTED_VALUE"""),"http://www.riss.kr/link?id=S402589")</f>
        <v>http://www.riss.kr/link?id=S402589</v>
      </c>
      <c r="H32" s="24" t="str">
        <f ca="1">IFERROR(__xludf.DUMMYFUNCTION("""COMPUTED_VALUE"""),"X")</f>
        <v>X</v>
      </c>
    </row>
    <row r="33" spans="1:8" ht="26.25" customHeight="1">
      <c r="A33" s="154">
        <f t="shared" ca="1" si="0"/>
        <v>30</v>
      </c>
      <c r="B33" s="19" t="str">
        <f ca="1">IFERROR(__xludf.DUMMYFUNCTION("""COMPUTED_VALUE"""),"Journal of Cellular Plastics")</f>
        <v>Journal of Cellular Plastics</v>
      </c>
      <c r="C33" s="19" t="str">
        <f ca="1">IFERROR(__xludf.DUMMYFUNCTION("""COMPUTED_VALUE"""),"Sage Publications Ltd.")</f>
        <v>Sage Publications Ltd.</v>
      </c>
      <c r="D33" s="20" t="str">
        <f ca="1">IFERROR(__xludf.DUMMYFUNCTION("""COMPUTED_VALUE"""),"0021-955X")</f>
        <v>0021-955X</v>
      </c>
      <c r="E33" s="39" t="str">
        <f ca="1">IFERROR(__xludf.DUMMYFUNCTION("""COMPUTED_VALUE"""),"1965-1989, 2011-2021")</f>
        <v>1965-1989, 2011-2021</v>
      </c>
      <c r="F33" s="206" t="str">
        <f ca="1">IFERROR(__xludf.DUMMYFUNCTION("""COMPUTED_VALUE"""),"SCIE, SCOPUS")</f>
        <v>SCIE, SCOPUS</v>
      </c>
      <c r="G33" s="116" t="str">
        <f ca="1">IFERROR(__xludf.DUMMYFUNCTION("""COMPUTED_VALUE"""),"http://www.riss.kr/link?id=S38215")</f>
        <v>http://www.riss.kr/link?id=S38215</v>
      </c>
      <c r="H33" s="24" t="str">
        <f ca="1">IFERROR(__xludf.DUMMYFUNCTION("""COMPUTED_VALUE"""),"O")</f>
        <v>O</v>
      </c>
    </row>
    <row r="34" spans="1:8" ht="26.25" customHeight="1">
      <c r="A34" s="154">
        <f t="shared" ca="1" si="0"/>
        <v>31</v>
      </c>
      <c r="B34" s="19" t="str">
        <f ca="1">IFERROR(__xludf.DUMMYFUNCTION("""COMPUTED_VALUE"""),"Journal of Composite Materials")</f>
        <v>Journal of Composite Materials</v>
      </c>
      <c r="C34" s="19" t="str">
        <f ca="1">IFERROR(__xludf.DUMMYFUNCTION("""COMPUTED_VALUE"""),"Sage Publications Ltd.")</f>
        <v>Sage Publications Ltd.</v>
      </c>
      <c r="D34" s="20" t="str">
        <f ca="1">IFERROR(__xludf.DUMMYFUNCTION("""COMPUTED_VALUE"""),"0021-9983")</f>
        <v>0021-9983</v>
      </c>
      <c r="E34" s="39" t="str">
        <f ca="1">IFERROR(__xludf.DUMMYFUNCTION("""COMPUTED_VALUE"""),"1989-2021")</f>
        <v>1989-2021</v>
      </c>
      <c r="F34" s="206" t="str">
        <f ca="1">IFERROR(__xludf.DUMMYFUNCTION("""COMPUTED_VALUE"""),"SCIE, SCOPUS")</f>
        <v>SCIE, SCOPUS</v>
      </c>
      <c r="G34" s="116" t="str">
        <f ca="1">IFERROR(__xludf.DUMMYFUNCTION("""COMPUTED_VALUE"""),"http://www.riss.kr/link?id=S16081")</f>
        <v>http://www.riss.kr/link?id=S16081</v>
      </c>
      <c r="H34" s="24" t="str">
        <f ca="1">IFERROR(__xludf.DUMMYFUNCTION("""COMPUTED_VALUE"""),"O")</f>
        <v>O</v>
      </c>
    </row>
    <row r="35" spans="1:8" ht="26.25" customHeight="1">
      <c r="A35" s="154">
        <f t="shared" ca="1" si="0"/>
        <v>32</v>
      </c>
      <c r="B35" s="31" t="str">
        <f ca="1">IFERROR(__xludf.DUMMYFUNCTION("""COMPUTED_VALUE"""),"Journal of Electroceramics")</f>
        <v>Journal of Electroceramics</v>
      </c>
      <c r="C35" s="19" t="str">
        <f ca="1">IFERROR(__xludf.DUMMYFUNCTION("""COMPUTED_VALUE"""),"Springer New York LLC")</f>
        <v>Springer New York LLC</v>
      </c>
      <c r="D35" s="20" t="str">
        <f ca="1">IFERROR(__xludf.DUMMYFUNCTION("""COMPUTED_VALUE"""),"1385-3449")</f>
        <v>1385-3449</v>
      </c>
      <c r="E35" s="39" t="str">
        <f ca="1">IFERROR(__xludf.DUMMYFUNCTION("""COMPUTED_VALUE"""),"2015-2019")</f>
        <v>2015-2019</v>
      </c>
      <c r="F35" s="206" t="str">
        <f ca="1">IFERROR(__xludf.DUMMYFUNCTION("""COMPUTED_VALUE"""),"SCIE, SCOPUS")</f>
        <v>SCIE, SCOPUS</v>
      </c>
      <c r="G35" s="116" t="str">
        <f ca="1">IFERROR(__xludf.DUMMYFUNCTION("""COMPUTED_VALUE"""),"http://www.riss.kr/link?id=S404893")</f>
        <v>http://www.riss.kr/link?id=S404893</v>
      </c>
      <c r="H35" s="24" t="str">
        <f ca="1">IFERROR(__xludf.DUMMYFUNCTION("""COMPUTED_VALUE"""),"X")</f>
        <v>X</v>
      </c>
    </row>
    <row r="36" spans="1:8" ht="26.25" customHeight="1">
      <c r="A36" s="154">
        <f t="shared" ca="1" si="0"/>
        <v>33</v>
      </c>
      <c r="B36" s="19" t="str">
        <f ca="1">IFERROR(__xludf.DUMMYFUNCTION("""COMPUTED_VALUE"""),"Journal of Engineering Materials and Technology")</f>
        <v>Journal of Engineering Materials and Technology</v>
      </c>
      <c r="C36" s="19" t="str">
        <f ca="1">IFERROR(__xludf.DUMMYFUNCTION("""COMPUTED_VALUE"""),"The American Society of Mechanical Engineers")</f>
        <v>The American Society of Mechanical Engineers</v>
      </c>
      <c r="D36" s="20" t="str">
        <f ca="1">IFERROR(__xludf.DUMMYFUNCTION("""COMPUTED_VALUE"""),"0094-4289")</f>
        <v>0094-4289</v>
      </c>
      <c r="E36" s="39" t="str">
        <f ca="1">IFERROR(__xludf.DUMMYFUNCTION("""COMPUTED_VALUE"""),"1975-2004, 2010-2021")</f>
        <v>1975-2004, 2010-2021</v>
      </c>
      <c r="F36" s="206" t="str">
        <f ca="1">IFERROR(__xludf.DUMMYFUNCTION("""COMPUTED_VALUE"""),"SCIE, SCOPUS")</f>
        <v>SCIE, SCOPUS</v>
      </c>
      <c r="G36" s="116" t="str">
        <f ca="1">IFERROR(__xludf.DUMMYFUNCTION("""COMPUTED_VALUE"""),"http://www.riss.kr/link?id=S16074")</f>
        <v>http://www.riss.kr/link?id=S16074</v>
      </c>
      <c r="H36" s="24" t="str">
        <f ca="1">IFERROR(__xludf.DUMMYFUNCTION("""COMPUTED_VALUE"""),"O")</f>
        <v>O</v>
      </c>
    </row>
    <row r="37" spans="1:8" ht="26.25" customHeight="1">
      <c r="A37" s="154">
        <f t="shared" ca="1" si="0"/>
        <v>34</v>
      </c>
      <c r="B37" s="31" t="str">
        <f ca="1">IFERROR(__xludf.DUMMYFUNCTION("""COMPUTED_VALUE"""),"Journal of Fire Protection Engineering")</f>
        <v>Journal of Fire Protection Engineering</v>
      </c>
      <c r="C37" s="19" t="str">
        <f ca="1">IFERROR(__xludf.DUMMYFUNCTION("""COMPUTED_VALUE"""),"Sage Publications Ltd.")</f>
        <v>Sage Publications Ltd.</v>
      </c>
      <c r="D37" s="20" t="str">
        <f ca="1">IFERROR(__xludf.DUMMYFUNCTION("""COMPUTED_VALUE"""),"1042-3915")</f>
        <v>1042-3915</v>
      </c>
      <c r="E37" s="39" t="str">
        <f ca="1">IFERROR(__xludf.DUMMYFUNCTION("""COMPUTED_VALUE"""),"2011-2013")</f>
        <v>2011-2013</v>
      </c>
      <c r="F37" s="206" t="str">
        <f ca="1">IFERROR(__xludf.DUMMYFUNCTION("""COMPUTED_VALUE"""),"-")</f>
        <v>-</v>
      </c>
      <c r="G37" s="116" t="str">
        <f ca="1">IFERROR(__xludf.DUMMYFUNCTION("""COMPUTED_VALUE"""),"http://www.riss.kr/link?id=S416697")</f>
        <v>http://www.riss.kr/link?id=S416697</v>
      </c>
      <c r="H37" s="24" t="str">
        <f ca="1">IFERROR(__xludf.DUMMYFUNCTION("""COMPUTED_VALUE"""),"X")</f>
        <v>X</v>
      </c>
    </row>
    <row r="38" spans="1:8" ht="26.25" customHeight="1">
      <c r="A38" s="154">
        <f t="shared" ca="1" si="0"/>
        <v>35</v>
      </c>
      <c r="B38" s="19" t="str">
        <f ca="1">IFERROR(__xludf.DUMMYFUNCTION("""COMPUTED_VALUE"""),"Journal of Intelligent Material Systems and Structures")</f>
        <v>Journal of Intelligent Material Systems and Structures</v>
      </c>
      <c r="C38" s="19" t="str">
        <f ca="1">IFERROR(__xludf.DUMMYFUNCTION("""COMPUTED_VALUE"""),"Sage Publications Ltd.")</f>
        <v>Sage Publications Ltd.</v>
      </c>
      <c r="D38" s="20" t="str">
        <f ca="1">IFERROR(__xludf.DUMMYFUNCTION("""COMPUTED_VALUE"""),"1045-389X")</f>
        <v>1045-389X</v>
      </c>
      <c r="E38" s="39" t="str">
        <f ca="1">IFERROR(__xludf.DUMMYFUNCTION("""COMPUTED_VALUE"""),"1992-2021")</f>
        <v>1992-2021</v>
      </c>
      <c r="F38" s="206" t="str">
        <f ca="1">IFERROR(__xludf.DUMMYFUNCTION("""COMPUTED_VALUE"""),"SCIE, SCOPUS")</f>
        <v>SCIE, SCOPUS</v>
      </c>
      <c r="G38" s="116" t="str">
        <f ca="1">IFERROR(__xludf.DUMMYFUNCTION("""COMPUTED_VALUE"""),"http://www.riss.kr/link?id=S61275")</f>
        <v>http://www.riss.kr/link?id=S61275</v>
      </c>
      <c r="H38" s="24" t="str">
        <f ca="1">IFERROR(__xludf.DUMMYFUNCTION("""COMPUTED_VALUE"""),"O")</f>
        <v>O</v>
      </c>
    </row>
    <row r="39" spans="1:8" ht="26.25" customHeight="1">
      <c r="A39" s="154">
        <f t="shared" ca="1" si="0"/>
        <v>36</v>
      </c>
      <c r="B39" s="19" t="str">
        <f ca="1">IFERROR(__xludf.DUMMYFUNCTION("""COMPUTED_VALUE"""),"Journal of Materials Research")</f>
        <v>Journal of Materials Research</v>
      </c>
      <c r="C39" s="19" t="str">
        <f ca="1">IFERROR(__xludf.DUMMYFUNCTION("""COMPUTED_VALUE"""),"Cambridge University Press")</f>
        <v>Cambridge University Press</v>
      </c>
      <c r="D39" s="20" t="str">
        <f ca="1">IFERROR(__xludf.DUMMYFUNCTION("""COMPUTED_VALUE"""),"0884-2914")</f>
        <v>0884-2914</v>
      </c>
      <c r="E39" s="39" t="str">
        <f ca="1">IFERROR(__xludf.DUMMYFUNCTION("""COMPUTED_VALUE"""),"1991-2021")</f>
        <v>1991-2021</v>
      </c>
      <c r="F39" s="206" t="str">
        <f ca="1">IFERROR(__xludf.DUMMYFUNCTION("""COMPUTED_VALUE"""),"SCIE, SCOPUS")</f>
        <v>SCIE, SCOPUS</v>
      </c>
      <c r="G39" s="116" t="str">
        <f ca="1">IFERROR(__xludf.DUMMYFUNCTION("""COMPUTED_VALUE"""),"http://www.riss.kr/link?id=S28117")</f>
        <v>http://www.riss.kr/link?id=S28117</v>
      </c>
      <c r="H39" s="24" t="str">
        <f ca="1">IFERROR(__xludf.DUMMYFUNCTION("""COMPUTED_VALUE"""),"O")</f>
        <v>O</v>
      </c>
    </row>
    <row r="40" spans="1:8" ht="26.25" customHeight="1">
      <c r="A40" s="154">
        <f t="shared" ca="1" si="0"/>
        <v>37</v>
      </c>
      <c r="B40" s="19" t="str">
        <f ca="1">IFERROR(__xludf.DUMMYFUNCTION("""COMPUTED_VALUE"""),"Journal of Materials science")</f>
        <v>Journal of Materials science</v>
      </c>
      <c r="C40" s="19" t="str">
        <f ca="1">IFERROR(__xludf.DUMMYFUNCTION("""COMPUTED_VALUE"""),"Springer New York LLC")</f>
        <v>Springer New York LLC</v>
      </c>
      <c r="D40" s="20" t="str">
        <f ca="1">IFERROR(__xludf.DUMMYFUNCTION("""COMPUTED_VALUE"""),"0022-2461")</f>
        <v>0022-2461</v>
      </c>
      <c r="E40" s="39" t="str">
        <f ca="1">IFERROR(__xludf.DUMMYFUNCTION("""COMPUTED_VALUE"""),"1988-2021")</f>
        <v>1988-2021</v>
      </c>
      <c r="F40" s="206" t="str">
        <f ca="1">IFERROR(__xludf.DUMMYFUNCTION("""COMPUTED_VALUE"""),"SCIE, SCOPUS")</f>
        <v>SCIE, SCOPUS</v>
      </c>
      <c r="G40" s="116" t="str">
        <f ca="1">IFERROR(__xludf.DUMMYFUNCTION("""COMPUTED_VALUE"""),"http://www.riss.kr/link?id=S36261")</f>
        <v>http://www.riss.kr/link?id=S36261</v>
      </c>
      <c r="H40" s="24" t="str">
        <f ca="1">IFERROR(__xludf.DUMMYFUNCTION("""COMPUTED_VALUE"""),"O")</f>
        <v>O</v>
      </c>
    </row>
    <row r="41" spans="1:8" ht="26.25" customHeight="1">
      <c r="A41" s="154">
        <f t="shared" ca="1" si="0"/>
        <v>38</v>
      </c>
      <c r="B41" s="31" t="str">
        <f ca="1">IFERROR(__xludf.DUMMYFUNCTION("""COMPUTED_VALUE"""),"Journal of Materials science Letters")</f>
        <v>Journal of Materials science Letters</v>
      </c>
      <c r="C41" s="19" t="str">
        <f ca="1">IFERROR(__xludf.DUMMYFUNCTION("""COMPUTED_VALUE"""),"Chapman and Hall")</f>
        <v>Chapman and Hall</v>
      </c>
      <c r="D41" s="20" t="str">
        <f ca="1">IFERROR(__xludf.DUMMYFUNCTION("""COMPUTED_VALUE"""),"0261-8028")</f>
        <v>0261-8028</v>
      </c>
      <c r="E41" s="39" t="str">
        <f ca="1">IFERROR(__xludf.DUMMYFUNCTION("""COMPUTED_VALUE"""),"1988-1993, 1995-2003")</f>
        <v>1988-1993, 1995-2003</v>
      </c>
      <c r="F41" s="206" t="str">
        <f ca="1">IFERROR(__xludf.DUMMYFUNCTION("""COMPUTED_VALUE"""),"-")</f>
        <v>-</v>
      </c>
      <c r="G41" s="116" t="str">
        <f ca="1">IFERROR(__xludf.DUMMYFUNCTION("""COMPUTED_VALUE"""),"http://www.riss.kr/link?id=S16064")</f>
        <v>http://www.riss.kr/link?id=S16064</v>
      </c>
      <c r="H41" s="24" t="str">
        <f ca="1">IFERROR(__xludf.DUMMYFUNCTION("""COMPUTED_VALUE"""),"X")</f>
        <v>X</v>
      </c>
    </row>
    <row r="42" spans="1:8" ht="26.25" customHeight="1">
      <c r="A42" s="154">
        <f t="shared" ca="1" si="0"/>
        <v>39</v>
      </c>
      <c r="B42" s="31" t="str">
        <f ca="1">IFERROR(__xludf.DUMMYFUNCTION("""COMPUTED_VALUE"""),"Journal of Materials science: Materials in Electronics")</f>
        <v>Journal of Materials science: Materials in Electronics</v>
      </c>
      <c r="C42" s="19" t="str">
        <f ca="1">IFERROR(__xludf.DUMMYFUNCTION("""COMPUTED_VALUE"""),"Springer New York LLC ")</f>
        <v xml:space="preserve">Springer New York LLC </v>
      </c>
      <c r="D42" s="20" t="str">
        <f ca="1">IFERROR(__xludf.DUMMYFUNCTION("""COMPUTED_VALUE"""),"0957-4522")</f>
        <v>0957-4522</v>
      </c>
      <c r="E42" s="39" t="str">
        <f ca="1">IFERROR(__xludf.DUMMYFUNCTION("""COMPUTED_VALUE"""),"1990-2013, 2015-2017")</f>
        <v>1990-2013, 2015-2017</v>
      </c>
      <c r="F42" s="206" t="str">
        <f ca="1">IFERROR(__xludf.DUMMYFUNCTION("""COMPUTED_VALUE"""),"SCIE, SCOPUS")</f>
        <v>SCIE, SCOPUS</v>
      </c>
      <c r="G42" s="116" t="str">
        <f ca="1">IFERROR(__xludf.DUMMYFUNCTION("""COMPUTED_VALUE"""),"http://www.riss.kr/link?id=S13555")</f>
        <v>http://www.riss.kr/link?id=S13555</v>
      </c>
      <c r="H42" s="24" t="str">
        <f ca="1">IFERROR(__xludf.DUMMYFUNCTION("""COMPUTED_VALUE"""),"X")</f>
        <v>X</v>
      </c>
    </row>
    <row r="43" spans="1:8" ht="26.25" customHeight="1">
      <c r="A43" s="154">
        <f t="shared" ca="1" si="0"/>
        <v>40</v>
      </c>
      <c r="B43" s="31" t="str">
        <f ca="1">IFERROR(__xludf.DUMMYFUNCTION("""COMPUTED_VALUE"""),"Journal of Materials science: Materials in Medicine")</f>
        <v>Journal of Materials science: Materials in Medicine</v>
      </c>
      <c r="C43" s="19" t="str">
        <f ca="1">IFERROR(__xludf.DUMMYFUNCTION("""COMPUTED_VALUE"""),"Springer New York LLC")</f>
        <v>Springer New York LLC</v>
      </c>
      <c r="D43" s="20" t="str">
        <f ca="1">IFERROR(__xludf.DUMMYFUNCTION("""COMPUTED_VALUE"""),"0957-4530")</f>
        <v>0957-4530</v>
      </c>
      <c r="E43" s="39" t="str">
        <f ca="1">IFERROR(__xludf.DUMMYFUNCTION("""COMPUTED_VALUE"""),"1990-2007, 2009-2010, 2012-2013, 2015-2017")</f>
        <v>1990-2007, 2009-2010, 2012-2013, 2015-2017</v>
      </c>
      <c r="F43" s="206" t="str">
        <f ca="1">IFERROR(__xludf.DUMMYFUNCTION("""COMPUTED_VALUE"""),"SCIE, SCOPUS")</f>
        <v>SCIE, SCOPUS</v>
      </c>
      <c r="G43" s="116" t="str">
        <f ca="1">IFERROR(__xludf.DUMMYFUNCTION("""COMPUTED_VALUE"""),"http://www.riss.kr/link?id=S20013675")</f>
        <v>http://www.riss.kr/link?id=S20013675</v>
      </c>
      <c r="H43" s="24" t="str">
        <f ca="1">IFERROR(__xludf.DUMMYFUNCTION("""COMPUTED_VALUE"""),"X")</f>
        <v>X</v>
      </c>
    </row>
    <row r="44" spans="1:8" ht="26.25" customHeight="1">
      <c r="A44" s="154">
        <f t="shared" ca="1" si="0"/>
        <v>41</v>
      </c>
      <c r="B44" s="19" t="str">
        <f ca="1">IFERROR(__xludf.DUMMYFUNCTION("""COMPUTED_VALUE"""),"Journal of Plastic Film and Sheeting")</f>
        <v>Journal of Plastic Film and Sheeting</v>
      </c>
      <c r="C44" s="19" t="str">
        <f ca="1">IFERROR(__xludf.DUMMYFUNCTION("""COMPUTED_VALUE"""),"Sage Publications Ltd.")</f>
        <v>Sage Publications Ltd.</v>
      </c>
      <c r="D44" s="20" t="str">
        <f ca="1">IFERROR(__xludf.DUMMYFUNCTION("""COMPUTED_VALUE"""),"8756-0879")</f>
        <v>8756-0879</v>
      </c>
      <c r="E44" s="39" t="str">
        <f ca="1">IFERROR(__xludf.DUMMYFUNCTION("""COMPUTED_VALUE"""),"2011-2021")</f>
        <v>2011-2021</v>
      </c>
      <c r="F44" s="206" t="str">
        <f ca="1">IFERROR(__xludf.DUMMYFUNCTION("""COMPUTED_VALUE"""),"SCIE, SCOPUS")</f>
        <v>SCIE, SCOPUS</v>
      </c>
      <c r="G44" s="116" t="str">
        <f ca="1">IFERROR(__xludf.DUMMYFUNCTION("""COMPUTED_VALUE"""),"http://www.riss.kr/link?id=S405844")</f>
        <v>http://www.riss.kr/link?id=S405844</v>
      </c>
      <c r="H44" s="24" t="str">
        <f ca="1">IFERROR(__xludf.DUMMYFUNCTION("""COMPUTED_VALUE"""),"O")</f>
        <v>O</v>
      </c>
    </row>
    <row r="45" spans="1:8" ht="26.25" customHeight="1">
      <c r="A45" s="154">
        <f t="shared" ca="1" si="0"/>
        <v>42</v>
      </c>
      <c r="B45" s="31" t="str">
        <f ca="1">IFERROR(__xludf.DUMMYFUNCTION("""COMPUTED_VALUE"""),"Journal of Porous Media")</f>
        <v>Journal of Porous Media</v>
      </c>
      <c r="C45" s="19" t="str">
        <f ca="1">IFERROR(__xludf.DUMMYFUNCTION("""COMPUTED_VALUE"""),"Begell House, Inc.")</f>
        <v>Begell House, Inc.</v>
      </c>
      <c r="D45" s="20" t="str">
        <f ca="1">IFERROR(__xludf.DUMMYFUNCTION("""COMPUTED_VALUE"""),"1091-028X")</f>
        <v>1091-028X</v>
      </c>
      <c r="E45" s="39" t="str">
        <f ca="1">IFERROR(__xludf.DUMMYFUNCTION("""COMPUTED_VALUE"""),"2010-2019")</f>
        <v>2010-2019</v>
      </c>
      <c r="F45" s="206" t="str">
        <f ca="1">IFERROR(__xludf.DUMMYFUNCTION("""COMPUTED_VALUE"""),"SCIE, SCOPUS")</f>
        <v>SCIE, SCOPUS</v>
      </c>
      <c r="G45" s="116" t="str">
        <f ca="1">IFERROR(__xludf.DUMMYFUNCTION("""COMPUTED_VALUE"""),"http://www.riss.kr/link?id=S403109")</f>
        <v>http://www.riss.kr/link?id=S403109</v>
      </c>
      <c r="H45" s="24" t="str">
        <f ca="1">IFERROR(__xludf.DUMMYFUNCTION("""COMPUTED_VALUE"""),"X")</f>
        <v>X</v>
      </c>
    </row>
    <row r="46" spans="1:8" ht="26.25" customHeight="1">
      <c r="A46" s="154">
        <f t="shared" ca="1" si="0"/>
        <v>43</v>
      </c>
      <c r="B46" s="31" t="str">
        <f ca="1">IFERROR(__xludf.DUMMYFUNCTION("""COMPUTED_VALUE"""),"Journal of Rheology")</f>
        <v>Journal of Rheology</v>
      </c>
      <c r="C46" s="19" t="str">
        <f ca="1">IFERROR(__xludf.DUMMYFUNCTION("""COMPUTED_VALUE"""),"Society of Rheology")</f>
        <v>Society of Rheology</v>
      </c>
      <c r="D46" s="20" t="str">
        <f ca="1">IFERROR(__xludf.DUMMYFUNCTION("""COMPUTED_VALUE"""),"0148-6055")</f>
        <v>0148-6055</v>
      </c>
      <c r="E46" s="39" t="str">
        <f ca="1">IFERROR(__xludf.DUMMYFUNCTION("""COMPUTED_VALUE"""),"1984-1993, 1995-2021")</f>
        <v>1984-1993, 1995-2021</v>
      </c>
      <c r="F46" s="206" t="str">
        <f ca="1">IFERROR(__xludf.DUMMYFUNCTION("""COMPUTED_VALUE"""),"SCIE, SCOPUS")</f>
        <v>SCIE, SCOPUS</v>
      </c>
      <c r="G46" s="116" t="str">
        <f ca="1">IFERROR(__xludf.DUMMYFUNCTION("""COMPUTED_VALUE"""),"http://www.riss.kr/link?id=S17267")</f>
        <v>http://www.riss.kr/link?id=S17267</v>
      </c>
      <c r="H46" s="24" t="str">
        <f ca="1">IFERROR(__xludf.DUMMYFUNCTION("""COMPUTED_VALUE"""),"O")</f>
        <v>O</v>
      </c>
    </row>
    <row r="47" spans="1:8" ht="26.25" customHeight="1">
      <c r="A47" s="154">
        <f t="shared" ca="1" si="0"/>
        <v>44</v>
      </c>
      <c r="B47" s="19" t="str">
        <f ca="1">IFERROR(__xludf.DUMMYFUNCTION("""COMPUTED_VALUE"""),"Journal of Sandwich Structures &amp; Materials")</f>
        <v>Journal of Sandwich Structures &amp; Materials</v>
      </c>
      <c r="C47" s="19" t="str">
        <f ca="1">IFERROR(__xludf.DUMMYFUNCTION("""COMPUTED_VALUE"""),"Sage Publications Ltd.")</f>
        <v>Sage Publications Ltd.</v>
      </c>
      <c r="D47" s="20" t="str">
        <f ca="1">IFERROR(__xludf.DUMMYFUNCTION("""COMPUTED_VALUE"""),"1099-6362")</f>
        <v>1099-6362</v>
      </c>
      <c r="E47" s="39" t="str">
        <f ca="1">IFERROR(__xludf.DUMMYFUNCTION("""COMPUTED_VALUE"""),"2011-2020")</f>
        <v>2011-2020</v>
      </c>
      <c r="F47" s="206" t="str">
        <f ca="1">IFERROR(__xludf.DUMMYFUNCTION("""COMPUTED_VALUE"""),"SCIE, SCOPUS")</f>
        <v>SCIE, SCOPUS</v>
      </c>
      <c r="G47" s="116" t="str">
        <f ca="1">IFERROR(__xludf.DUMMYFUNCTION("""COMPUTED_VALUE"""),"http://www.riss.kr/link?id=S403288")</f>
        <v>http://www.riss.kr/link?id=S403288</v>
      </c>
      <c r="H47" s="24" t="str">
        <f ca="1">IFERROR(__xludf.DUMMYFUNCTION("""COMPUTED_VALUE"""),"X")</f>
        <v>X</v>
      </c>
    </row>
    <row r="48" spans="1:8" ht="26.25" customHeight="1">
      <c r="A48" s="154">
        <f t="shared" ca="1" si="0"/>
        <v>45</v>
      </c>
      <c r="B48" s="19" t="str">
        <f ca="1">IFERROR(__xludf.DUMMYFUNCTION("""COMPUTED_VALUE"""),"Journal of Textile Engineering")</f>
        <v>Journal of Textile Engineering</v>
      </c>
      <c r="C48" s="19" t="str">
        <f ca="1">IFERROR(__xludf.DUMMYFUNCTION("""COMPUTED_VALUE"""),"The Textile Machinery Society of Japan")</f>
        <v>The Textile Machinery Society of Japan</v>
      </c>
      <c r="D48" s="20" t="str">
        <f ca="1">IFERROR(__xludf.DUMMYFUNCTION("""COMPUTED_VALUE"""),"1346-8235")</f>
        <v>1346-8235</v>
      </c>
      <c r="E48" s="39" t="str">
        <f ca="1">IFERROR(__xludf.DUMMYFUNCTION("""COMPUTED_VALUE"""),"2006-2021")</f>
        <v>2006-2021</v>
      </c>
      <c r="F48" s="206" t="str">
        <f ca="1">IFERROR(__xludf.DUMMYFUNCTION("""COMPUTED_VALUE"""),"SCOPUS")</f>
        <v>SCOPUS</v>
      </c>
      <c r="G48" s="116" t="str">
        <f ca="1">IFERROR(__xludf.DUMMYFUNCTION("""COMPUTED_VALUE"""),"http://www.riss.kr/link?id=S48296")</f>
        <v>http://www.riss.kr/link?id=S48296</v>
      </c>
      <c r="H48" s="24" t="str">
        <f ca="1">IFERROR(__xludf.DUMMYFUNCTION("""COMPUTED_VALUE"""),"O")</f>
        <v>O</v>
      </c>
    </row>
    <row r="49" spans="1:8" ht="26.25" customHeight="1">
      <c r="A49" s="154">
        <f t="shared" ca="1" si="0"/>
        <v>46</v>
      </c>
      <c r="B49" s="31" t="str">
        <f ca="1">IFERROR(__xludf.DUMMYFUNCTION("""COMPUTED_VALUE"""),"Journal of Thermal Stresses")</f>
        <v>Journal of Thermal Stresses</v>
      </c>
      <c r="C49" s="19" t="str">
        <f ca="1">IFERROR(__xludf.DUMMYFUNCTION("""COMPUTED_VALUE"""),"Taylor &amp; Francis")</f>
        <v>Taylor &amp; Francis</v>
      </c>
      <c r="D49" s="20" t="str">
        <f ca="1">IFERROR(__xludf.DUMMYFUNCTION("""COMPUTED_VALUE"""),"0149-5739")</f>
        <v>0149-5739</v>
      </c>
      <c r="E49" s="39" t="str">
        <f ca="1">IFERROR(__xludf.DUMMYFUNCTION("""COMPUTED_VALUE"""),"2010-2017")</f>
        <v>2010-2017</v>
      </c>
      <c r="F49" s="206" t="str">
        <f ca="1">IFERROR(__xludf.DUMMYFUNCTION("""COMPUTED_VALUE"""),"SCIE, SCOPUS")</f>
        <v>SCIE, SCOPUS</v>
      </c>
      <c r="G49" s="116" t="str">
        <f ca="1">IFERROR(__xludf.DUMMYFUNCTION("""COMPUTED_VALUE"""),"http://www.riss.kr/link?id=S11927")</f>
        <v>http://www.riss.kr/link?id=S11927</v>
      </c>
      <c r="H49" s="24" t="str">
        <f ca="1">IFERROR(__xludf.DUMMYFUNCTION("""COMPUTED_VALUE"""),"X")</f>
        <v>X</v>
      </c>
    </row>
    <row r="50" spans="1:8" ht="26.25" customHeight="1">
      <c r="A50" s="154">
        <f t="shared" ca="1" si="0"/>
        <v>47</v>
      </c>
      <c r="B50" s="31" t="str">
        <f ca="1">IFERROR(__xludf.DUMMYFUNCTION("""COMPUTED_VALUE"""),"Journal of Thermoplastic Composite Materials")</f>
        <v>Journal of Thermoplastic Composite Materials</v>
      </c>
      <c r="C50" s="19" t="str">
        <f ca="1">IFERROR(__xludf.DUMMYFUNCTION("""COMPUTED_VALUE"""),"Sage Publications Ltd.")</f>
        <v>Sage Publications Ltd.</v>
      </c>
      <c r="D50" s="20" t="str">
        <f ca="1">IFERROR(__xludf.DUMMYFUNCTION("""COMPUTED_VALUE"""),"0892-7057")</f>
        <v>0892-7057</v>
      </c>
      <c r="E50" s="39" t="str">
        <f ca="1">IFERROR(__xludf.DUMMYFUNCTION("""COMPUTED_VALUE"""),"2011-2018")</f>
        <v>2011-2018</v>
      </c>
      <c r="F50" s="206" t="str">
        <f ca="1">IFERROR(__xludf.DUMMYFUNCTION("""COMPUTED_VALUE"""),"SCIE, SCOPUS")</f>
        <v>SCIE, SCOPUS</v>
      </c>
      <c r="G50" s="116" t="str">
        <f ca="1">IFERROR(__xludf.DUMMYFUNCTION("""COMPUTED_VALUE"""),"http://www.riss.kr/link?id=S90006683")</f>
        <v>http://www.riss.kr/link?id=S90006683</v>
      </c>
      <c r="H50" s="24" t="str">
        <f ca="1">IFERROR(__xludf.DUMMYFUNCTION("""COMPUTED_VALUE"""),"X")</f>
        <v>X</v>
      </c>
    </row>
    <row r="51" spans="1:8" ht="26.25" customHeight="1">
      <c r="A51" s="154">
        <f t="shared" ca="1" si="0"/>
        <v>48</v>
      </c>
      <c r="B51" s="19" t="str">
        <f ca="1">IFERROR(__xludf.DUMMYFUNCTION("""COMPUTED_VALUE"""),"Journal of Vacuum science &amp; Technology. A")</f>
        <v>Journal of Vacuum science &amp; Technology. A</v>
      </c>
      <c r="C51" s="19" t="str">
        <f ca="1">IFERROR(__xludf.DUMMYFUNCTION("""COMPUTED_VALUE"""),"American Institute of Physics")</f>
        <v>American Institute of Physics</v>
      </c>
      <c r="D51" s="20" t="str">
        <f ca="1">IFERROR(__xludf.DUMMYFUNCTION("""COMPUTED_VALUE"""),"0734-2101")</f>
        <v>0734-2101</v>
      </c>
      <c r="E51" s="39" t="str">
        <f ca="1">IFERROR(__xludf.DUMMYFUNCTION("""COMPUTED_VALUE"""),"2010-2020")</f>
        <v>2010-2020</v>
      </c>
      <c r="F51" s="206" t="str">
        <f ca="1">IFERROR(__xludf.DUMMYFUNCTION("""COMPUTED_VALUE"""),"SCIE, SCOPUS")</f>
        <v>SCIE, SCOPUS</v>
      </c>
      <c r="G51" s="116" t="str">
        <f ca="1">IFERROR(__xludf.DUMMYFUNCTION("""COMPUTED_VALUE"""),"http://www.riss.kr/link?id=S17257")</f>
        <v>http://www.riss.kr/link?id=S17257</v>
      </c>
      <c r="H51" s="24" t="str">
        <f ca="1">IFERROR(__xludf.DUMMYFUNCTION("""COMPUTED_VALUE"""),"X")</f>
        <v>X</v>
      </c>
    </row>
    <row r="52" spans="1:8" ht="26.25" customHeight="1">
      <c r="A52" s="154">
        <f t="shared" ca="1" si="0"/>
        <v>49</v>
      </c>
      <c r="B52" s="19" t="str">
        <f ca="1">IFERROR(__xludf.DUMMYFUNCTION("""COMPUTED_VALUE"""),"Journal of Vacuum science &amp; Technology. B")</f>
        <v>Journal of Vacuum science &amp; Technology. B</v>
      </c>
      <c r="C52" s="19" t="str">
        <f ca="1">IFERROR(__xludf.DUMMYFUNCTION("""COMPUTED_VALUE"""),"American Institute of Physics")</f>
        <v>American Institute of Physics</v>
      </c>
      <c r="D52" s="20" t="str">
        <f ca="1">IFERROR(__xludf.DUMMYFUNCTION("""COMPUTED_VALUE"""),"2166-2746")</f>
        <v>2166-2746</v>
      </c>
      <c r="E52" s="39" t="str">
        <f ca="1">IFERROR(__xludf.DUMMYFUNCTION("""COMPUTED_VALUE"""),"2005-2020")</f>
        <v>2005-2020</v>
      </c>
      <c r="F52" s="206" t="str">
        <f ca="1">IFERROR(__xludf.DUMMYFUNCTION("""COMPUTED_VALUE"""),"SCIE, SCOPUS")</f>
        <v>SCIE, SCOPUS</v>
      </c>
      <c r="G52" s="116" t="str">
        <f ca="1">IFERROR(__xludf.DUMMYFUNCTION("""COMPUTED_VALUE"""),"http://www.riss.kr/link?id=S20402")</f>
        <v>http://www.riss.kr/link?id=S20402</v>
      </c>
      <c r="H52" s="24" t="str">
        <f ca="1">IFERROR(__xludf.DUMMYFUNCTION("""COMPUTED_VALUE"""),"X")</f>
        <v>X</v>
      </c>
    </row>
    <row r="53" spans="1:8" ht="26.25" customHeight="1">
      <c r="A53" s="154">
        <f t="shared" ca="1" si="0"/>
        <v>50</v>
      </c>
      <c r="B53" s="31" t="str">
        <f ca="1">IFERROR(__xludf.DUMMYFUNCTION("""COMPUTED_VALUE"""),"Materiale Plastice")</f>
        <v>Materiale Plastice</v>
      </c>
      <c r="C53" s="19" t="str">
        <f ca="1">IFERROR(__xludf.DUMMYFUNCTION("""COMPUTED_VALUE"""),"Syscom 18 s.r.l.")</f>
        <v>Syscom 18 s.r.l.</v>
      </c>
      <c r="D53" s="20" t="str">
        <f ca="1">IFERROR(__xludf.DUMMYFUNCTION("""COMPUTED_VALUE"""),"0025-5289")</f>
        <v>0025-5289</v>
      </c>
      <c r="E53" s="39" t="str">
        <f ca="1">IFERROR(__xludf.DUMMYFUNCTION("""COMPUTED_VALUE"""),"2010-2017")</f>
        <v>2010-2017</v>
      </c>
      <c r="F53" s="206" t="str">
        <f ca="1">IFERROR(__xludf.DUMMYFUNCTION("""COMPUTED_VALUE"""),"SCIE, SCOPUS")</f>
        <v>SCIE, SCOPUS</v>
      </c>
      <c r="G53" s="116" t="str">
        <f ca="1">IFERROR(__xludf.DUMMYFUNCTION("""COMPUTED_VALUE"""),"http://www.riss.kr/link?id=S407614")</f>
        <v>http://www.riss.kr/link?id=S407614</v>
      </c>
      <c r="H53" s="24" t="str">
        <f ca="1">IFERROR(__xludf.DUMMYFUNCTION("""COMPUTED_VALUE"""),"X")</f>
        <v>X</v>
      </c>
    </row>
    <row r="54" spans="1:8" ht="26.25" customHeight="1">
      <c r="A54" s="154">
        <f t="shared" ca="1" si="0"/>
        <v>51</v>
      </c>
      <c r="B54" s="19" t="str">
        <f ca="1">IFERROR(__xludf.DUMMYFUNCTION("""COMPUTED_VALUE"""),"Materialpruefung")</f>
        <v>Materialpruefung</v>
      </c>
      <c r="C54" s="19" t="str">
        <f ca="1">IFERROR(__xludf.DUMMYFUNCTION("""COMPUTED_VALUE"""),"Carl Hanser Verlag GmbH &amp; Co. KG")</f>
        <v>Carl Hanser Verlag GmbH &amp; Co. KG</v>
      </c>
      <c r="D54" s="20" t="str">
        <f ca="1">IFERROR(__xludf.DUMMYFUNCTION("""COMPUTED_VALUE"""),"0025-5300")</f>
        <v>0025-5300</v>
      </c>
      <c r="E54" s="39" t="str">
        <f ca="1">IFERROR(__xludf.DUMMYFUNCTION("""COMPUTED_VALUE"""),"2012-2021")</f>
        <v>2012-2021</v>
      </c>
      <c r="F54" s="206" t="str">
        <f ca="1">IFERROR(__xludf.DUMMYFUNCTION("""COMPUTED_VALUE"""),"SCIE, SCOPUS")</f>
        <v>SCIE, SCOPUS</v>
      </c>
      <c r="G54" s="116" t="str">
        <f ca="1">IFERROR(__xludf.DUMMYFUNCTION("""COMPUTED_VALUE"""),"http://www.riss.kr/link?id=S407616")</f>
        <v>http://www.riss.kr/link?id=S407616</v>
      </c>
      <c r="H54" s="24" t="str">
        <f ca="1">IFERROR(__xludf.DUMMYFUNCTION("""COMPUTED_VALUE"""),"O")</f>
        <v>O</v>
      </c>
    </row>
    <row r="55" spans="1:8" ht="26.25" customHeight="1">
      <c r="A55" s="154">
        <f t="shared" ca="1" si="0"/>
        <v>52</v>
      </c>
      <c r="B55" s="19" t="str">
        <f ca="1">IFERROR(__xludf.DUMMYFUNCTION("""COMPUTED_VALUE"""),"Materials and Manufacturing Processes")</f>
        <v>Materials and Manufacturing Processes</v>
      </c>
      <c r="C55" s="19" t="str">
        <f ca="1">IFERROR(__xludf.DUMMYFUNCTION("""COMPUTED_VALUE"""),"Taylor &amp; Francis")</f>
        <v>Taylor &amp; Francis</v>
      </c>
      <c r="D55" s="20" t="str">
        <f ca="1">IFERROR(__xludf.DUMMYFUNCTION("""COMPUTED_VALUE"""),"1042-6914")</f>
        <v>1042-6914</v>
      </c>
      <c r="E55" s="39" t="str">
        <f ca="1">IFERROR(__xludf.DUMMYFUNCTION("""COMPUTED_VALUE"""),"2010-2021")</f>
        <v>2010-2021</v>
      </c>
      <c r="F55" s="206" t="str">
        <f ca="1">IFERROR(__xludf.DUMMYFUNCTION("""COMPUTED_VALUE"""),"SCIE, SCOPUS")</f>
        <v>SCIE, SCOPUS</v>
      </c>
      <c r="G55" s="116" t="str">
        <f ca="1">IFERROR(__xludf.DUMMYFUNCTION("""COMPUTED_VALUE"""),"http://www.riss.kr/link?id=S416735")</f>
        <v>http://www.riss.kr/link?id=S416735</v>
      </c>
      <c r="H55" s="24" t="str">
        <f ca="1">IFERROR(__xludf.DUMMYFUNCTION("""COMPUTED_VALUE"""),"O")</f>
        <v>O</v>
      </c>
    </row>
    <row r="56" spans="1:8" ht="26.25" customHeight="1">
      <c r="A56" s="154">
        <f t="shared" ca="1" si="0"/>
        <v>53</v>
      </c>
      <c r="B56" s="19" t="str">
        <f ca="1">IFERROR(__xludf.DUMMYFUNCTION("""COMPUTED_VALUE"""),"Materials at High Temperatures")</f>
        <v>Materials at High Temperatures</v>
      </c>
      <c r="C56" s="19" t="str">
        <f ca="1">IFERROR(__xludf.DUMMYFUNCTION("""COMPUTED_VALUE"""),"Taylor &amp; Francis")</f>
        <v>Taylor &amp; Francis</v>
      </c>
      <c r="D56" s="20" t="str">
        <f ca="1">IFERROR(__xludf.DUMMYFUNCTION("""COMPUTED_VALUE"""),"0960-3409")</f>
        <v>0960-3409</v>
      </c>
      <c r="E56" s="39" t="str">
        <f ca="1">IFERROR(__xludf.DUMMYFUNCTION("""COMPUTED_VALUE"""),"2010-2021")</f>
        <v>2010-2021</v>
      </c>
      <c r="F56" s="206" t="str">
        <f ca="1">IFERROR(__xludf.DUMMYFUNCTION("""COMPUTED_VALUE"""),"SCIE, SCOPUS")</f>
        <v>SCIE, SCOPUS</v>
      </c>
      <c r="G56" s="116" t="str">
        <f ca="1">IFERROR(__xludf.DUMMYFUNCTION("""COMPUTED_VALUE"""),"http://www.riss.kr/link?id=S416408")</f>
        <v>http://www.riss.kr/link?id=S416408</v>
      </c>
      <c r="H56" s="24" t="str">
        <f ca="1">IFERROR(__xludf.DUMMYFUNCTION("""COMPUTED_VALUE"""),"O")</f>
        <v>O</v>
      </c>
    </row>
    <row r="57" spans="1:8" ht="26.25" customHeight="1">
      <c r="A57" s="154">
        <f t="shared" ca="1" si="0"/>
        <v>54</v>
      </c>
      <c r="B57" s="19" t="str">
        <f ca="1">IFERROR(__xludf.DUMMYFUNCTION("""COMPUTED_VALUE"""),"Materials Evaluation")</f>
        <v>Materials Evaluation</v>
      </c>
      <c r="C57" s="19" t="str">
        <f ca="1">IFERROR(__xludf.DUMMYFUNCTION("""COMPUTED_VALUE"""),"American Society for Nondestructive Testing")</f>
        <v>American Society for Nondestructive Testing</v>
      </c>
      <c r="D57" s="20" t="str">
        <f ca="1">IFERROR(__xludf.DUMMYFUNCTION("""COMPUTED_VALUE"""),"0025-5327")</f>
        <v>0025-5327</v>
      </c>
      <c r="E57" s="39" t="str">
        <f ca="1">IFERROR(__xludf.DUMMYFUNCTION("""COMPUTED_VALUE"""),"1992-2021")</f>
        <v>1992-2021</v>
      </c>
      <c r="F57" s="206" t="str">
        <f ca="1">IFERROR(__xludf.DUMMYFUNCTION("""COMPUTED_VALUE"""),"SCIE")</f>
        <v>SCIE</v>
      </c>
      <c r="G57" s="116" t="str">
        <f ca="1">IFERROR(__xludf.DUMMYFUNCTION("""COMPUTED_VALUE"""),"http://www.riss.kr/link?id=S50051")</f>
        <v>http://www.riss.kr/link?id=S50051</v>
      </c>
      <c r="H57" s="24" t="str">
        <f ca="1">IFERROR(__xludf.DUMMYFUNCTION("""COMPUTED_VALUE"""),"O")</f>
        <v>O</v>
      </c>
    </row>
    <row r="58" spans="1:8" ht="26.25" customHeight="1">
      <c r="A58" s="154">
        <f t="shared" ca="1" si="0"/>
        <v>55</v>
      </c>
      <c r="B58" s="31" t="str">
        <f ca="1">IFERROR(__xludf.DUMMYFUNCTION("""COMPUTED_VALUE"""),"Materials Performance")</f>
        <v>Materials Performance</v>
      </c>
      <c r="C58" s="19" t="str">
        <f ca="1">IFERROR(__xludf.DUMMYFUNCTION("""COMPUTED_VALUE"""),"National Association of Corrosion Engineers International")</f>
        <v>National Association of Corrosion Engineers International</v>
      </c>
      <c r="D58" s="20" t="str">
        <f ca="1">IFERROR(__xludf.DUMMYFUNCTION("""COMPUTED_VALUE"""),"0094-1492")</f>
        <v>0094-1492</v>
      </c>
      <c r="E58" s="39" t="str">
        <f ca="1">IFERROR(__xludf.DUMMYFUNCTION("""COMPUTED_VALUE"""),"1999, 2010-2019")</f>
        <v>1999, 2010-2019</v>
      </c>
      <c r="F58" s="206" t="str">
        <f ca="1">IFERROR(__xludf.DUMMYFUNCTION("""COMPUTED_VALUE"""),"SCIE")</f>
        <v>SCIE</v>
      </c>
      <c r="G58" s="116" t="str">
        <f ca="1">IFERROR(__xludf.DUMMYFUNCTION("""COMPUTED_VALUE"""),"http://www.riss.kr/link?id=S409124")</f>
        <v>http://www.riss.kr/link?id=S409124</v>
      </c>
      <c r="H58" s="24" t="str">
        <f ca="1">IFERROR(__xludf.DUMMYFUNCTION("""COMPUTED_VALUE"""),"X")</f>
        <v>X</v>
      </c>
    </row>
    <row r="59" spans="1:8" ht="26.25" customHeight="1">
      <c r="A59" s="154">
        <f t="shared" ca="1" si="0"/>
        <v>56</v>
      </c>
      <c r="B59" s="19" t="str">
        <f ca="1">IFERROR(__xludf.DUMMYFUNCTION("""COMPUTED_VALUE"""),"Materials science and Technology")</f>
        <v>Materials science and Technology</v>
      </c>
      <c r="C59" s="19" t="str">
        <f ca="1">IFERROR(__xludf.DUMMYFUNCTION("""COMPUTED_VALUE"""),"Maney Publishing")</f>
        <v>Maney Publishing</v>
      </c>
      <c r="D59" s="20" t="str">
        <f ca="1">IFERROR(__xludf.DUMMYFUNCTION("""COMPUTED_VALUE"""),"0267-0836")</f>
        <v>0267-0836</v>
      </c>
      <c r="E59" s="39" t="str">
        <f ca="1">IFERROR(__xludf.DUMMYFUNCTION("""COMPUTED_VALUE"""),"2011-2021")</f>
        <v>2011-2021</v>
      </c>
      <c r="F59" s="206" t="str">
        <f ca="1">IFERROR(__xludf.DUMMYFUNCTION("""COMPUTED_VALUE"""),"SCIE, SCOPUS")</f>
        <v>SCIE, SCOPUS</v>
      </c>
      <c r="G59" s="116" t="str">
        <f ca="1">IFERROR(__xludf.DUMMYFUNCTION("""COMPUTED_VALUE"""),"http://www.riss.kr/link?id=S15590")</f>
        <v>http://www.riss.kr/link?id=S15590</v>
      </c>
      <c r="H59" s="24" t="str">
        <f ca="1">IFERROR(__xludf.DUMMYFUNCTION("""COMPUTED_VALUE"""),"O")</f>
        <v>O</v>
      </c>
    </row>
    <row r="60" spans="1:8" ht="26.25" customHeight="1">
      <c r="A60" s="154">
        <f t="shared" ca="1" si="0"/>
        <v>57</v>
      </c>
      <c r="B60" s="19" t="str">
        <f ca="1">IFERROR(__xludf.DUMMYFUNCTION("""COMPUTED_VALUE"""),"Materials Technology")</f>
        <v>Materials Technology</v>
      </c>
      <c r="C60" s="19" t="str">
        <f ca="1">IFERROR(__xludf.DUMMYFUNCTION("""COMPUTED_VALUE"""),"Taylor &amp; Francis")</f>
        <v>Taylor &amp; Francis</v>
      </c>
      <c r="D60" s="20" t="str">
        <f ca="1">IFERROR(__xludf.DUMMYFUNCTION("""COMPUTED_VALUE"""),"1066-7857")</f>
        <v>1066-7857</v>
      </c>
      <c r="E60" s="39" t="str">
        <f ca="1">IFERROR(__xludf.DUMMYFUNCTION("""COMPUTED_VALUE"""),"2010-2021")</f>
        <v>2010-2021</v>
      </c>
      <c r="F60" s="206" t="str">
        <f ca="1">IFERROR(__xludf.DUMMYFUNCTION("""COMPUTED_VALUE"""),"SCIE, SCOPUS")</f>
        <v>SCIE, SCOPUS</v>
      </c>
      <c r="G60" s="116" t="str">
        <f ca="1">IFERROR(__xludf.DUMMYFUNCTION("""COMPUTED_VALUE"""),"http://www.riss.kr/link?id=S402424")</f>
        <v>http://www.riss.kr/link?id=S402424</v>
      </c>
      <c r="H60" s="24" t="str">
        <f ca="1">IFERROR(__xludf.DUMMYFUNCTION("""COMPUTED_VALUE"""),"O")</f>
        <v>O</v>
      </c>
    </row>
    <row r="61" spans="1:8" ht="26.25" customHeight="1">
      <c r="A61" s="154">
        <f t="shared" ca="1" si="0"/>
        <v>58</v>
      </c>
      <c r="B61" s="19" t="str">
        <f ca="1">IFERROR(__xludf.DUMMYFUNCTION("""COMPUTED_VALUE"""),"Materials Transactions")</f>
        <v>Materials Transactions</v>
      </c>
      <c r="C61" s="19" t="str">
        <f ca="1">IFERROR(__xludf.DUMMYFUNCTION("""COMPUTED_VALUE"""),"Japan Institute of Metals")</f>
        <v>Japan Institute of Metals</v>
      </c>
      <c r="D61" s="20" t="str">
        <f ca="1">IFERROR(__xludf.DUMMYFUNCTION("""COMPUTED_VALUE"""),"1345-9678")</f>
        <v>1345-9678</v>
      </c>
      <c r="E61" s="39" t="str">
        <f ca="1">IFERROR(__xludf.DUMMYFUNCTION("""COMPUTED_VALUE"""),"2010-2021")</f>
        <v>2010-2021</v>
      </c>
      <c r="F61" s="206" t="str">
        <f ca="1">IFERROR(__xludf.DUMMYFUNCTION("""COMPUTED_VALUE"""),"SCIE, SCOPUS")</f>
        <v>SCIE, SCOPUS</v>
      </c>
      <c r="G61" s="116" t="str">
        <f ca="1">IFERROR(__xludf.DUMMYFUNCTION("""COMPUTED_VALUE"""),"http://www.riss.kr/link?id=S20012366")</f>
        <v>http://www.riss.kr/link?id=S20012366</v>
      </c>
      <c r="H61" s="24" t="str">
        <f ca="1">IFERROR(__xludf.DUMMYFUNCTION("""COMPUTED_VALUE"""),"O")</f>
        <v>O</v>
      </c>
    </row>
    <row r="62" spans="1:8" ht="26.25" customHeight="1">
      <c r="A62" s="154">
        <f t="shared" ca="1" si="0"/>
        <v>59</v>
      </c>
      <c r="B62" s="70" t="str">
        <f ca="1">IFERROR(__xludf.DUMMYFUNCTION("""COMPUTED_VALUE"""),"Medical Textiles")</f>
        <v>Medical Textiles</v>
      </c>
      <c r="C62" s="39" t="str">
        <f ca="1">IFERROR(__xludf.DUMMYFUNCTION("""COMPUTED_VALUE"""),"International Newsletters Ltd.")</f>
        <v>International Newsletters Ltd.</v>
      </c>
      <c r="D62" s="20" t="str">
        <f ca="1">IFERROR(__xludf.DUMMYFUNCTION("""COMPUTED_VALUE"""),"0266-2078")</f>
        <v>0266-2078</v>
      </c>
      <c r="E62" s="83">
        <f ca="1">IFERROR(__xludf.DUMMYFUNCTION("""COMPUTED_VALUE"""),2019)</f>
        <v>2019</v>
      </c>
      <c r="F62" s="206" t="str">
        <f ca="1">IFERROR(__xludf.DUMMYFUNCTION("""COMPUTED_VALUE"""),"-")</f>
        <v>-</v>
      </c>
      <c r="G62" s="207" t="str">
        <f ca="1">IFERROR(__xludf.DUMMYFUNCTION("""COMPUTED_VALUE"""),"http://www.riss.kr/link?id=S409757")</f>
        <v>http://www.riss.kr/link?id=S409757</v>
      </c>
      <c r="H62" s="24" t="str">
        <f ca="1">IFERROR(__xludf.DUMMYFUNCTION("""COMPUTED_VALUE"""),"X")</f>
        <v>X</v>
      </c>
    </row>
    <row r="63" spans="1:8" ht="26.25" customHeight="1">
      <c r="A63" s="154">
        <f t="shared" ca="1" si="0"/>
        <v>60</v>
      </c>
      <c r="B63" s="19" t="str">
        <f ca="1">IFERROR(__xludf.DUMMYFUNCTION("""COMPUTED_VALUE"""),"Melliand International")</f>
        <v>Melliand International</v>
      </c>
      <c r="C63" s="19" t="str">
        <f ca="1">IFERROR(__xludf.DUMMYFUNCTION("""COMPUTED_VALUE"""),"Deutscher Fachverlag GmbH")</f>
        <v>Deutscher Fachverlag GmbH</v>
      </c>
      <c r="D63" s="20" t="str">
        <f ca="1">IFERROR(__xludf.DUMMYFUNCTION("""COMPUTED_VALUE"""),"0947-9163")</f>
        <v>0947-9163</v>
      </c>
      <c r="E63" s="39" t="str">
        <f ca="1">IFERROR(__xludf.DUMMYFUNCTION("""COMPUTED_VALUE"""),"1995, 1997-2021")</f>
        <v>1995, 1997-2021</v>
      </c>
      <c r="F63" s="206" t="str">
        <f ca="1">IFERROR(__xludf.DUMMYFUNCTION("""COMPUTED_VALUE"""),"-")</f>
        <v>-</v>
      </c>
      <c r="G63" s="116" t="str">
        <f ca="1">IFERROR(__xludf.DUMMYFUNCTION("""COMPUTED_VALUE"""),"http://www.riss.kr/link?id=S418445")</f>
        <v>http://www.riss.kr/link?id=S418445</v>
      </c>
      <c r="H63" s="24" t="str">
        <f ca="1">IFERROR(__xludf.DUMMYFUNCTION("""COMPUTED_VALUE"""),"O")</f>
        <v>O</v>
      </c>
    </row>
    <row r="64" spans="1:8" ht="26.25" customHeight="1">
      <c r="A64" s="154">
        <f t="shared" ca="1" si="0"/>
        <v>61</v>
      </c>
      <c r="B64" s="19" t="str">
        <f ca="1">IFERROR(__xludf.DUMMYFUNCTION("""COMPUTED_VALUE"""),"Melliand Textilberichte")</f>
        <v>Melliand Textilberichte</v>
      </c>
      <c r="C64" s="19" t="str">
        <f ca="1">IFERROR(__xludf.DUMMYFUNCTION("""COMPUTED_VALUE"""),"Deutscher Fachverlag GmbH")</f>
        <v>Deutscher Fachverlag GmbH</v>
      </c>
      <c r="D64" s="20" t="str">
        <f ca="1">IFERROR(__xludf.DUMMYFUNCTION("""COMPUTED_VALUE"""),"0341-0781")</f>
        <v>0341-0781</v>
      </c>
      <c r="E64" s="39" t="str">
        <f ca="1">IFERROR(__xludf.DUMMYFUNCTION("""COMPUTED_VALUE"""),"1991, 1993-2021")</f>
        <v>1991, 1993-2021</v>
      </c>
      <c r="F64" s="206" t="str">
        <f ca="1">IFERROR(__xludf.DUMMYFUNCTION("""COMPUTED_VALUE"""),"-")</f>
        <v>-</v>
      </c>
      <c r="G64" s="116" t="str">
        <f ca="1">IFERROR(__xludf.DUMMYFUNCTION("""COMPUTED_VALUE"""),"http://www.riss.kr/link?id=S15532")</f>
        <v>http://www.riss.kr/link?id=S15532</v>
      </c>
      <c r="H64" s="24" t="str">
        <f ca="1">IFERROR(__xludf.DUMMYFUNCTION("""COMPUTED_VALUE"""),"O")</f>
        <v>O</v>
      </c>
    </row>
    <row r="65" spans="1:8" ht="26.25" customHeight="1">
      <c r="A65" s="154">
        <f t="shared" ca="1" si="0"/>
        <v>62</v>
      </c>
      <c r="B65" s="31" t="str">
        <f ca="1">IFERROR(__xludf.DUMMYFUNCTION("""COMPUTED_VALUE"""),"Metallofizika i Noveishie Tekhnologii")</f>
        <v>Metallofizika i Noveishie Tekhnologii</v>
      </c>
      <c r="C65" s="19" t="str">
        <f ca="1">IFERROR(__xludf.DUMMYFUNCTION("""COMPUTED_VALUE"""),"National Academy of Sciences of the Ukraine, Institute of Metal Physics")</f>
        <v>National Academy of Sciences of the Ukraine, Institute of Metal Physics</v>
      </c>
      <c r="D65" s="20" t="str">
        <f ca="1">IFERROR(__xludf.DUMMYFUNCTION("""COMPUTED_VALUE"""),"1024-1809")</f>
        <v>1024-1809</v>
      </c>
      <c r="E65" s="39" t="str">
        <f ca="1">IFERROR(__xludf.DUMMYFUNCTION("""COMPUTED_VALUE"""),"2010-2019")</f>
        <v>2010-2019</v>
      </c>
      <c r="F65" s="206" t="str">
        <f ca="1">IFERROR(__xludf.DUMMYFUNCTION("""COMPUTED_VALUE"""),"SCOPUS")</f>
        <v>SCOPUS</v>
      </c>
      <c r="G65" s="116" t="str">
        <f ca="1">IFERROR(__xludf.DUMMYFUNCTION("""COMPUTED_VALUE"""),"http://www.riss.kr/link?id=S115382")</f>
        <v>http://www.riss.kr/link?id=S115382</v>
      </c>
      <c r="H65" s="24" t="str">
        <f ca="1">IFERROR(__xludf.DUMMYFUNCTION("""COMPUTED_VALUE"""),"X")</f>
        <v>X</v>
      </c>
    </row>
    <row r="66" spans="1:8" ht="26.25" customHeight="1">
      <c r="A66" s="154">
        <f t="shared" ca="1" si="0"/>
        <v>63</v>
      </c>
      <c r="B66" s="31" t="str">
        <f ca="1">IFERROR(__xludf.DUMMYFUNCTION("""COMPUTED_VALUE"""),"Metallurgical and Materials Transactions A - Physical Metallurgy and Materials science")</f>
        <v>Metallurgical and Materials Transactions A - Physical Metallurgy and Materials science</v>
      </c>
      <c r="C66" s="19" t="str">
        <f ca="1">IFERROR(__xludf.DUMMYFUNCTION("""COMPUTED_VALUE"""),"Springer New York LLC")</f>
        <v>Springer New York LLC</v>
      </c>
      <c r="D66" s="20" t="str">
        <f ca="1">IFERROR(__xludf.DUMMYFUNCTION("""COMPUTED_VALUE"""),"1073-5623")</f>
        <v>1073-5623</v>
      </c>
      <c r="E66" s="39" t="str">
        <f ca="1">IFERROR(__xludf.DUMMYFUNCTION("""COMPUTED_VALUE"""),"1994-2013")</f>
        <v>1994-2013</v>
      </c>
      <c r="F66" s="206" t="str">
        <f ca="1">IFERROR(__xludf.DUMMYFUNCTION("""COMPUTED_VALUE"""),"SCIE, SCOPUS")</f>
        <v>SCIE, SCOPUS</v>
      </c>
      <c r="G66" s="116" t="str">
        <f ca="1">IFERROR(__xludf.DUMMYFUNCTION("""COMPUTED_VALUE"""),"http://www.riss.kr/link?id=S15584")</f>
        <v>http://www.riss.kr/link?id=S15584</v>
      </c>
      <c r="H66" s="24" t="str">
        <f ca="1">IFERROR(__xludf.DUMMYFUNCTION("""COMPUTED_VALUE"""),"X")</f>
        <v>X</v>
      </c>
    </row>
    <row r="67" spans="1:8" ht="26.25" customHeight="1">
      <c r="A67" s="154">
        <f t="shared" ca="1" si="0"/>
        <v>64</v>
      </c>
      <c r="B67" s="19" t="str">
        <f ca="1">IFERROR(__xludf.DUMMYFUNCTION("""COMPUTED_VALUE"""),"Metallurgical and Materials Transactions. B, Process Metallurgy and Materials Processing science")</f>
        <v>Metallurgical and Materials Transactions. B, Process Metallurgy and Materials Processing science</v>
      </c>
      <c r="C67" s="19" t="str">
        <f ca="1">IFERROR(__xludf.DUMMYFUNCTION("""COMPUTED_VALUE"""),"Springer New York LLC")</f>
        <v>Springer New York LLC</v>
      </c>
      <c r="D67" s="20" t="str">
        <f ca="1">IFERROR(__xludf.DUMMYFUNCTION("""COMPUTED_VALUE"""),"1073-5615")</f>
        <v>1073-5615</v>
      </c>
      <c r="E67" s="39" t="str">
        <f ca="1">IFERROR(__xludf.DUMMYFUNCTION("""COMPUTED_VALUE"""),"1981-2013, 2015-2021")</f>
        <v>1981-2013, 2015-2021</v>
      </c>
      <c r="F67" s="206" t="str">
        <f ca="1">IFERROR(__xludf.DUMMYFUNCTION("""COMPUTED_VALUE"""),"SCIE, SCOPUS")</f>
        <v>SCIE, SCOPUS</v>
      </c>
      <c r="G67" s="116" t="str">
        <f ca="1">IFERROR(__xludf.DUMMYFUNCTION("""COMPUTED_VALUE"""),"http://www.riss.kr/link?id=S28869")</f>
        <v>http://www.riss.kr/link?id=S28869</v>
      </c>
      <c r="H67" s="24" t="str">
        <f ca="1">IFERROR(__xludf.DUMMYFUNCTION("""COMPUTED_VALUE"""),"O")</f>
        <v>O</v>
      </c>
    </row>
    <row r="68" spans="1:8" ht="26.25" customHeight="1">
      <c r="A68" s="154">
        <f t="shared" ca="1" si="0"/>
        <v>65</v>
      </c>
      <c r="B68" s="19" t="str">
        <f ca="1">IFERROR(__xludf.DUMMYFUNCTION("""COMPUTED_VALUE"""),"Modern Casting")</f>
        <v>Modern Casting</v>
      </c>
      <c r="C68" s="19" t="str">
        <f ca="1">IFERROR(__xludf.DUMMYFUNCTION("""COMPUTED_VALUE"""),"American Foundry Society")</f>
        <v>American Foundry Society</v>
      </c>
      <c r="D68" s="20" t="str">
        <f ca="1">IFERROR(__xludf.DUMMYFUNCTION("""COMPUTED_VALUE"""),"0026-7562")</f>
        <v>0026-7562</v>
      </c>
      <c r="E68" s="39" t="str">
        <f ca="1">IFERROR(__xludf.DUMMYFUNCTION("""COMPUTED_VALUE"""),"1973, 1975-2021")</f>
        <v>1973, 1975-2021</v>
      </c>
      <c r="F68" s="206" t="str">
        <f ca="1">IFERROR(__xludf.DUMMYFUNCTION("""COMPUTED_VALUE"""),"-")</f>
        <v>-</v>
      </c>
      <c r="G68" s="116" t="str">
        <f ca="1">IFERROR(__xludf.DUMMYFUNCTION("""COMPUTED_VALUE"""),"http://www.riss.kr/link?id=S15527")</f>
        <v>http://www.riss.kr/link?id=S15527</v>
      </c>
      <c r="H68" s="24" t="str">
        <f ca="1">IFERROR(__xludf.DUMMYFUNCTION("""COMPUTED_VALUE"""),"O")</f>
        <v>O</v>
      </c>
    </row>
    <row r="69" spans="1:8" ht="26.25" customHeight="1">
      <c r="A69" s="154">
        <f t="shared" ca="1" si="0"/>
        <v>66</v>
      </c>
      <c r="B69" s="19" t="str">
        <f ca="1">IFERROR(__xludf.DUMMYFUNCTION("""COMPUTED_VALUE"""),"MRS Bulletin- Materials Research Society")</f>
        <v>MRS Bulletin- Materials Research Society</v>
      </c>
      <c r="C69" s="19" t="str">
        <f ca="1">IFERROR(__xludf.DUMMYFUNCTION("""COMPUTED_VALUE"""),"Cambridge University Press")</f>
        <v>Cambridge University Press</v>
      </c>
      <c r="D69" s="20" t="str">
        <f ca="1">IFERROR(__xludf.DUMMYFUNCTION("""COMPUTED_VALUE"""),"0883-7694")</f>
        <v>0883-7694</v>
      </c>
      <c r="E69" s="39" t="str">
        <f ca="1">IFERROR(__xludf.DUMMYFUNCTION("""COMPUTED_VALUE"""),"1992-2021")</f>
        <v>1992-2021</v>
      </c>
      <c r="F69" s="206" t="str">
        <f ca="1">IFERROR(__xludf.DUMMYFUNCTION("""COMPUTED_VALUE"""),"SCIE, SCOPUS")</f>
        <v>SCIE, SCOPUS</v>
      </c>
      <c r="G69" s="116" t="str">
        <f ca="1">IFERROR(__xludf.DUMMYFUNCTION("""COMPUTED_VALUE"""),"http://www.riss.kr/link?id=S31001281")</f>
        <v>http://www.riss.kr/link?id=S31001281</v>
      </c>
      <c r="H69" s="24" t="str">
        <f ca="1">IFERROR(__xludf.DUMMYFUNCTION("""COMPUTED_VALUE"""),"O")</f>
        <v>O</v>
      </c>
    </row>
    <row r="70" spans="1:8" ht="26.25" customHeight="1">
      <c r="A70" s="154">
        <f t="shared" ca="1" si="0"/>
        <v>67</v>
      </c>
      <c r="B70" s="31" t="str">
        <f ca="1">IFERROR(__xludf.DUMMYFUNCTION("""COMPUTED_VALUE"""),"Nano Research")</f>
        <v>Nano Research</v>
      </c>
      <c r="C70" s="19" t="str">
        <f ca="1">IFERROR(__xludf.DUMMYFUNCTION("""COMPUTED_VALUE"""),"Tsinghua University Press")</f>
        <v>Tsinghua University Press</v>
      </c>
      <c r="D70" s="20" t="str">
        <f ca="1">IFERROR(__xludf.DUMMYFUNCTION("""COMPUTED_VALUE"""),"1998-0124")</f>
        <v>1998-0124</v>
      </c>
      <c r="E70" s="39" t="str">
        <f ca="1">IFERROR(__xludf.DUMMYFUNCTION("""COMPUTED_VALUE"""),"2012, 2013")</f>
        <v>2012, 2013</v>
      </c>
      <c r="F70" s="206" t="str">
        <f ca="1">IFERROR(__xludf.DUMMYFUNCTION("""COMPUTED_VALUE"""),"SCIE, SCOPUS")</f>
        <v>SCIE, SCOPUS</v>
      </c>
      <c r="G70" s="116" t="str">
        <f ca="1">IFERROR(__xludf.DUMMYFUNCTION("""COMPUTED_VALUE"""),"http://www.riss.kr/link?id=S31027366")</f>
        <v>http://www.riss.kr/link?id=S31027366</v>
      </c>
      <c r="H70" s="24" t="str">
        <f ca="1">IFERROR(__xludf.DUMMYFUNCTION("""COMPUTED_VALUE"""),"X")</f>
        <v>X</v>
      </c>
    </row>
    <row r="71" spans="1:8" ht="26.25" customHeight="1">
      <c r="A71" s="154">
        <f t="shared" ca="1" si="0"/>
        <v>68</v>
      </c>
      <c r="B71" s="31" t="str">
        <f ca="1">IFERROR(__xludf.DUMMYFUNCTION("""COMPUTED_VALUE"""),"Nanoscale")</f>
        <v>Nanoscale</v>
      </c>
      <c r="C71" s="19" t="str">
        <f ca="1">IFERROR(__xludf.DUMMYFUNCTION("""COMPUTED_VALUE"""),"Royal Society of Chemistry")</f>
        <v>Royal Society of Chemistry</v>
      </c>
      <c r="D71" s="20" t="str">
        <f ca="1">IFERROR(__xludf.DUMMYFUNCTION("""COMPUTED_VALUE"""),"2040-3364")</f>
        <v>2040-3364</v>
      </c>
      <c r="E71" s="39" t="str">
        <f ca="1">IFERROR(__xludf.DUMMYFUNCTION("""COMPUTED_VALUE"""),"2012, 2013")</f>
        <v>2012, 2013</v>
      </c>
      <c r="F71" s="206" t="str">
        <f ca="1">IFERROR(__xludf.DUMMYFUNCTION("""COMPUTED_VALUE"""),"SCIE, SCOPUS")</f>
        <v>SCIE, SCOPUS</v>
      </c>
      <c r="G71" s="116" t="str">
        <f ca="1">IFERROR(__xludf.DUMMYFUNCTION("""COMPUTED_VALUE"""),"http://www.riss.kr/link?id=S90009813")</f>
        <v>http://www.riss.kr/link?id=S90009813</v>
      </c>
      <c r="H71" s="24" t="str">
        <f ca="1">IFERROR(__xludf.DUMMYFUNCTION("""COMPUTED_VALUE"""),"X")</f>
        <v>X</v>
      </c>
    </row>
    <row r="72" spans="1:8" ht="26.25" customHeight="1">
      <c r="A72" s="154">
        <f t="shared" ca="1" si="0"/>
        <v>69</v>
      </c>
      <c r="B72" s="31" t="str">
        <f ca="1">IFERROR(__xludf.DUMMYFUNCTION("""COMPUTED_VALUE"""),"Nanotechnologies in Russia")</f>
        <v>Nanotechnologies in Russia</v>
      </c>
      <c r="C72" s="19" t="str">
        <f ca="1">IFERROR(__xludf.DUMMYFUNCTION("""COMPUTED_VALUE"""),"M A I K Nauka - Interperiodica")</f>
        <v>M A I K Nauka - Interperiodica</v>
      </c>
      <c r="D72" s="20" t="str">
        <f ca="1">IFERROR(__xludf.DUMMYFUNCTION("""COMPUTED_VALUE"""),"1995-0780")</f>
        <v>1995-0780</v>
      </c>
      <c r="E72" s="39" t="str">
        <f ca="1">IFERROR(__xludf.DUMMYFUNCTION("""COMPUTED_VALUE"""),"2015-2019")</f>
        <v>2015-2019</v>
      </c>
      <c r="F72" s="206" t="str">
        <f ca="1">IFERROR(__xludf.DUMMYFUNCTION("""COMPUTED_VALUE"""),"ESCI")</f>
        <v>ESCI</v>
      </c>
      <c r="G72" s="116" t="str">
        <f ca="1">IFERROR(__xludf.DUMMYFUNCTION("""COMPUTED_VALUE"""),"http://www.riss.kr/link?id=S31025348")</f>
        <v>http://www.riss.kr/link?id=S31025348</v>
      </c>
      <c r="H72" s="24" t="str">
        <f ca="1">IFERROR(__xludf.DUMMYFUNCTION("""COMPUTED_VALUE"""),"X")</f>
        <v>X</v>
      </c>
    </row>
    <row r="73" spans="1:8" ht="26.25" customHeight="1">
      <c r="A73" s="154">
        <f t="shared" ca="1" si="0"/>
        <v>70</v>
      </c>
      <c r="B73" s="19" t="str">
        <f ca="1">IFERROR(__xludf.DUMMYFUNCTION("""COMPUTED_VALUE"""),"Nippon Kinzoku Gakkaishi")</f>
        <v>Nippon Kinzoku Gakkaishi</v>
      </c>
      <c r="C73" s="19" t="str">
        <f ca="1">IFERROR(__xludf.DUMMYFUNCTION("""COMPUTED_VALUE"""),"日本金屬學會")</f>
        <v>日本金屬學會</v>
      </c>
      <c r="D73" s="20" t="str">
        <f ca="1">IFERROR(__xludf.DUMMYFUNCTION("""COMPUTED_VALUE"""),"0021-4876")</f>
        <v>0021-4876</v>
      </c>
      <c r="E73" s="39" t="str">
        <f ca="1">IFERROR(__xludf.DUMMYFUNCTION("""COMPUTED_VALUE"""),"1950-1961, 1963, 1971, 1974-2021")</f>
        <v>1950-1961, 1963, 1971, 1974-2021</v>
      </c>
      <c r="F73" s="206" t="str">
        <f ca="1">IFERROR(__xludf.DUMMYFUNCTION("""COMPUTED_VALUE"""),"SCIE, SCOPUS")</f>
        <v>SCIE, SCOPUS</v>
      </c>
      <c r="G73" s="116" t="str">
        <f ca="1">IFERROR(__xludf.DUMMYFUNCTION("""COMPUTED_VALUE"""),"http://www.riss.kr/link?id=S108179")</f>
        <v>http://www.riss.kr/link?id=S108179</v>
      </c>
      <c r="H73" s="24" t="str">
        <f ca="1">IFERROR(__xludf.DUMMYFUNCTION("""COMPUTED_VALUE"""),"O")</f>
        <v>O</v>
      </c>
    </row>
    <row r="74" spans="1:8" ht="26.25" customHeight="1">
      <c r="A74" s="154">
        <f t="shared" ca="1" si="0"/>
        <v>71</v>
      </c>
      <c r="B74" s="19" t="str">
        <f ca="1">IFERROR(__xludf.DUMMYFUNCTION("""COMPUTED_VALUE"""),"Plastics, Rubber and Composites")</f>
        <v>Plastics, Rubber and Composites</v>
      </c>
      <c r="C74" s="19" t="str">
        <f ca="1">IFERROR(__xludf.DUMMYFUNCTION("""COMPUTED_VALUE"""),"Maney Publishing")</f>
        <v>Maney Publishing</v>
      </c>
      <c r="D74" s="20" t="str">
        <f ca="1">IFERROR(__xludf.DUMMYFUNCTION("""COMPUTED_VALUE"""),"1465-8011")</f>
        <v>1465-8011</v>
      </c>
      <c r="E74" s="39" t="str">
        <f ca="1">IFERROR(__xludf.DUMMYFUNCTION("""COMPUTED_VALUE"""),"2010-2021")</f>
        <v>2010-2021</v>
      </c>
      <c r="F74" s="206" t="str">
        <f ca="1">IFERROR(__xludf.DUMMYFUNCTION("""COMPUTED_VALUE"""),"SCIE, SCOPUS")</f>
        <v>SCIE, SCOPUS</v>
      </c>
      <c r="G74" s="116" t="str">
        <f ca="1">IFERROR(__xludf.DUMMYFUNCTION("""COMPUTED_VALUE"""),"http://www.riss.kr/link?id=S23595")</f>
        <v>http://www.riss.kr/link?id=S23595</v>
      </c>
      <c r="H74" s="24" t="str">
        <f ca="1">IFERROR(__xludf.DUMMYFUNCTION("""COMPUTED_VALUE"""),"O")</f>
        <v>O</v>
      </c>
    </row>
    <row r="75" spans="1:8" ht="26.25" customHeight="1">
      <c r="A75" s="154">
        <f t="shared" ca="1" si="0"/>
        <v>72</v>
      </c>
      <c r="B75" s="31" t="str">
        <f ca="1">IFERROR(__xludf.DUMMYFUNCTION("""COMPUTED_VALUE"""),"Powder Injection Moulding International")</f>
        <v>Powder Injection Moulding International</v>
      </c>
      <c r="C75" s="19" t="str">
        <f ca="1">IFERROR(__xludf.DUMMYFUNCTION("""COMPUTED_VALUE"""),"Inovar Communications")</f>
        <v>Inovar Communications</v>
      </c>
      <c r="D75" s="20" t="str">
        <f ca="1">IFERROR(__xludf.DUMMYFUNCTION("""COMPUTED_VALUE"""),"1753-1497")</f>
        <v>1753-1497</v>
      </c>
      <c r="E75" s="39" t="str">
        <f ca="1">IFERROR(__xludf.DUMMYFUNCTION("""COMPUTED_VALUE"""),"2013-2020")</f>
        <v>2013-2020</v>
      </c>
      <c r="F75" s="206" t="str">
        <f ca="1">IFERROR(__xludf.DUMMYFUNCTION("""COMPUTED_VALUE"""),"-")</f>
        <v>-</v>
      </c>
      <c r="G75" s="116" t="str">
        <f ca="1">IFERROR(__xludf.DUMMYFUNCTION("""COMPUTED_VALUE"""),"http://www.riss.kr/link?id=S31023689")</f>
        <v>http://www.riss.kr/link?id=S31023689</v>
      </c>
      <c r="H75" s="95" t="str">
        <f ca="1">IFERROR(__xludf.DUMMYFUNCTION("""COMPUTED_VALUE"""),"X")</f>
        <v>X</v>
      </c>
    </row>
    <row r="76" spans="1:8" ht="26.25" customHeight="1">
      <c r="A76" s="154">
        <f t="shared" ca="1" si="0"/>
        <v>73</v>
      </c>
      <c r="B76" s="19" t="str">
        <f ca="1">IFERROR(__xludf.DUMMYFUNCTION("""COMPUTED_VALUE"""),"Progress in Rubber, Plastics and Recycling Technology")</f>
        <v>Progress in Rubber, Plastics and Recycling Technology</v>
      </c>
      <c r="C76" s="19" t="str">
        <f ca="1">IFERROR(__xludf.DUMMYFUNCTION("""COMPUTED_VALUE"""),"Sage Publications Ltd.")</f>
        <v>Sage Publications Ltd.</v>
      </c>
      <c r="D76" s="20" t="str">
        <f ca="1">IFERROR(__xludf.DUMMYFUNCTION("""COMPUTED_VALUE"""),"1477-7606")</f>
        <v>1477-7606</v>
      </c>
      <c r="E76" s="39" t="str">
        <f ca="1">IFERROR(__xludf.DUMMYFUNCTION("""COMPUTED_VALUE"""),"2012-2020")</f>
        <v>2012-2020</v>
      </c>
      <c r="F76" s="206" t="str">
        <f ca="1">IFERROR(__xludf.DUMMYFUNCTION("""COMPUTED_VALUE"""),"SCIE, SCOPUS")</f>
        <v>SCIE, SCOPUS</v>
      </c>
      <c r="G76" s="116" t="str">
        <f ca="1">IFERROR(__xludf.DUMMYFUNCTION("""COMPUTED_VALUE"""),"http://www.riss.kr/link?id=S20010759")</f>
        <v>http://www.riss.kr/link?id=S20010759</v>
      </c>
      <c r="H76" s="24" t="str">
        <f ca="1">IFERROR(__xludf.DUMMYFUNCTION("""COMPUTED_VALUE"""),"X")</f>
        <v>X</v>
      </c>
    </row>
    <row r="77" spans="1:8" ht="26.25" customHeight="1">
      <c r="A77" s="154">
        <f t="shared" ca="1" si="0"/>
        <v>74</v>
      </c>
      <c r="B77" s="31" t="str">
        <f ca="1">IFERROR(__xludf.DUMMYFUNCTION("""COMPUTED_VALUE"""),"Rubber Chemistry and Technology")</f>
        <v>Rubber Chemistry and Technology</v>
      </c>
      <c r="C77" s="19" t="str">
        <f ca="1">IFERROR(__xludf.DUMMYFUNCTION("""COMPUTED_VALUE"""),"American Chemical Society * Rubber Division")</f>
        <v>American Chemical Society * Rubber Division</v>
      </c>
      <c r="D77" s="20" t="str">
        <f ca="1">IFERROR(__xludf.DUMMYFUNCTION("""COMPUTED_VALUE"""),"0035-9475")</f>
        <v>0035-9475</v>
      </c>
      <c r="E77" s="39" t="str">
        <f ca="1">IFERROR(__xludf.DUMMYFUNCTION("""COMPUTED_VALUE"""),"1991-2010")</f>
        <v>1991-2010</v>
      </c>
      <c r="F77" s="206" t="str">
        <f ca="1">IFERROR(__xludf.DUMMYFUNCTION("""COMPUTED_VALUE"""),"SCIE, SCOPUS")</f>
        <v>SCIE, SCOPUS</v>
      </c>
      <c r="G77" s="116" t="str">
        <f ca="1">IFERROR(__xludf.DUMMYFUNCTION("""COMPUTED_VALUE"""),"http://www.riss.kr/link?id=S15519")</f>
        <v>http://www.riss.kr/link?id=S15519</v>
      </c>
      <c r="H77" s="24" t="str">
        <f ca="1">IFERROR(__xludf.DUMMYFUNCTION("""COMPUTED_VALUE"""),"X")</f>
        <v>X</v>
      </c>
    </row>
    <row r="78" spans="1:8" ht="26.25" customHeight="1">
      <c r="A78" s="154">
        <f t="shared" ca="1" si="0"/>
        <v>75</v>
      </c>
      <c r="B78" s="31" t="str">
        <f ca="1">IFERROR(__xludf.DUMMYFUNCTION("""COMPUTED_VALUE"""),"SAMPE Journal")</f>
        <v>SAMPE Journal</v>
      </c>
      <c r="C78" s="19" t="str">
        <f ca="1">IFERROR(__xludf.DUMMYFUNCTION("""COMPUTED_VALUE"""),"Society for the Advancement of Material and Process Engineering")</f>
        <v>Society for the Advancement of Material and Process Engineering</v>
      </c>
      <c r="D78" s="20" t="str">
        <f ca="1">IFERROR(__xludf.DUMMYFUNCTION("""COMPUTED_VALUE"""),"0091-1062")</f>
        <v>0091-1062</v>
      </c>
      <c r="E78" s="39" t="str">
        <f ca="1">IFERROR(__xludf.DUMMYFUNCTION("""COMPUTED_VALUE"""),"2010-2011")</f>
        <v>2010-2011</v>
      </c>
      <c r="F78" s="206" t="str">
        <f ca="1">IFERROR(__xludf.DUMMYFUNCTION("""COMPUTED_VALUE"""),"SCIE")</f>
        <v>SCIE</v>
      </c>
      <c r="G78" s="116" t="str">
        <f ca="1">IFERROR(__xludf.DUMMYFUNCTION("""COMPUTED_VALUE"""),"http://www.riss.kr/link?id=S408997")</f>
        <v>http://www.riss.kr/link?id=S408997</v>
      </c>
      <c r="H78" s="24" t="str">
        <f ca="1">IFERROR(__xludf.DUMMYFUNCTION("""COMPUTED_VALUE"""),"X")</f>
        <v>X</v>
      </c>
    </row>
    <row r="79" spans="1:8" ht="26.25" customHeight="1">
      <c r="A79" s="154">
        <f t="shared" ca="1" si="0"/>
        <v>76</v>
      </c>
      <c r="B79" s="19" t="str">
        <f ca="1">IFERROR(__xludf.DUMMYFUNCTION("""COMPUTED_VALUE"""),"science Of Advanced Materials")</f>
        <v>science Of Advanced Materials</v>
      </c>
      <c r="C79" s="19" t="str">
        <f ca="1">IFERROR(__xludf.DUMMYFUNCTION("""COMPUTED_VALUE"""),"American scientific Publishers")</f>
        <v>American scientific Publishers</v>
      </c>
      <c r="D79" s="20" t="str">
        <f ca="1">IFERROR(__xludf.DUMMYFUNCTION("""COMPUTED_VALUE"""),"1947-2935")</f>
        <v>1947-2935</v>
      </c>
      <c r="E79" s="39" t="str">
        <f ca="1">IFERROR(__xludf.DUMMYFUNCTION("""COMPUTED_VALUE"""),"2012-2014, 2016-2021")</f>
        <v>2012-2014, 2016-2021</v>
      </c>
      <c r="F79" s="206" t="str">
        <f ca="1">IFERROR(__xludf.DUMMYFUNCTION("""COMPUTED_VALUE"""),"SCIE")</f>
        <v>SCIE</v>
      </c>
      <c r="G79" s="116" t="str">
        <f ca="1">IFERROR(__xludf.DUMMYFUNCTION("""COMPUTED_VALUE"""),"http://www.riss.kr/link?id=S143758")</f>
        <v>http://www.riss.kr/link?id=S143758</v>
      </c>
      <c r="H79" s="24" t="str">
        <f ca="1">IFERROR(__xludf.DUMMYFUNCTION("""COMPUTED_VALUE"""),"O")</f>
        <v>O</v>
      </c>
    </row>
    <row r="80" spans="1:8" ht="26.25" customHeight="1">
      <c r="A80" s="154">
        <f t="shared" ca="1" si="0"/>
        <v>77</v>
      </c>
      <c r="B80" s="19" t="str">
        <f ca="1">IFERROR(__xludf.DUMMYFUNCTION("""COMPUTED_VALUE"""),"SOKEIZAI")</f>
        <v>SOKEIZAI</v>
      </c>
      <c r="C80" s="19" t="str">
        <f ca="1">IFERROR(__xludf.DUMMYFUNCTION("""COMPUTED_VALUE"""),"Materials Process Technology Center")</f>
        <v>Materials Process Technology Center</v>
      </c>
      <c r="D80" s="20" t="str">
        <f ca="1">IFERROR(__xludf.DUMMYFUNCTION("""COMPUTED_VALUE"""),"0910-1985")</f>
        <v>0910-1985</v>
      </c>
      <c r="E80" s="39" t="str">
        <f ca="1">IFERROR(__xludf.DUMMYFUNCTION("""COMPUTED_VALUE"""),"2010-2021")</f>
        <v>2010-2021</v>
      </c>
      <c r="F80" s="206" t="str">
        <f ca="1">IFERROR(__xludf.DUMMYFUNCTION("""COMPUTED_VALUE"""),"-")</f>
        <v>-</v>
      </c>
      <c r="G80" s="116" t="str">
        <f ca="1">IFERROR(__xludf.DUMMYFUNCTION("""COMPUTED_VALUE"""),"http://www.riss.kr/link?id=S417077")</f>
        <v>http://www.riss.kr/link?id=S417077</v>
      </c>
      <c r="H80" s="24" t="str">
        <f ca="1">IFERROR(__xludf.DUMMYFUNCTION("""COMPUTED_VALUE"""),"O")</f>
        <v>O</v>
      </c>
    </row>
    <row r="81" spans="1:8" ht="26.25" customHeight="1">
      <c r="A81" s="154">
        <f t="shared" ca="1" si="0"/>
        <v>78</v>
      </c>
      <c r="B81" s="31" t="str">
        <f ca="1">IFERROR(__xludf.DUMMYFUNCTION("""COMPUTED_VALUE"""),"Stainless Steel World")</f>
        <v>Stainless Steel World</v>
      </c>
      <c r="C81" s="19" t="str">
        <f ca="1">IFERROR(__xludf.DUMMYFUNCTION("""COMPUTED_VALUE"""),"K C I Publishing B.V.")</f>
        <v>K C I Publishing B.V.</v>
      </c>
      <c r="D81" s="20" t="str">
        <f ca="1">IFERROR(__xludf.DUMMYFUNCTION("""COMPUTED_VALUE"""),"1383-7184")</f>
        <v>1383-7184</v>
      </c>
      <c r="E81" s="39" t="str">
        <f ca="1">IFERROR(__xludf.DUMMYFUNCTION("""COMPUTED_VALUE"""),"2010-2019")</f>
        <v>2010-2019</v>
      </c>
      <c r="F81" s="206" t="str">
        <f ca="1">IFERROR(__xludf.DUMMYFUNCTION("""COMPUTED_VALUE"""),"-")</f>
        <v>-</v>
      </c>
      <c r="G81" s="116" t="str">
        <f ca="1">IFERROR(__xludf.DUMMYFUNCTION("""COMPUTED_VALUE"""),"http://www.riss.kr/link?id=S115388")</f>
        <v>http://www.riss.kr/link?id=S115388</v>
      </c>
      <c r="H81" s="24" t="str">
        <f ca="1">IFERROR(__xludf.DUMMYFUNCTION("""COMPUTED_VALUE"""),"X")</f>
        <v>X</v>
      </c>
    </row>
    <row r="82" spans="1:8" ht="26.25" customHeight="1">
      <c r="A82" s="154">
        <f t="shared" ca="1" si="0"/>
        <v>79</v>
      </c>
      <c r="B82" s="19" t="str">
        <f ca="1">IFERROR(__xludf.DUMMYFUNCTION("""COMPUTED_VALUE"""),"Steel &amp; Composite Structures: an international journal")</f>
        <v>Steel &amp; Composite Structures: an international journal</v>
      </c>
      <c r="C82" s="19" t="str">
        <f ca="1">IFERROR(__xludf.DUMMYFUNCTION("""COMPUTED_VALUE"""),"Techno-Press")</f>
        <v>Techno-Press</v>
      </c>
      <c r="D82" s="20" t="str">
        <f ca="1">IFERROR(__xludf.DUMMYFUNCTION("""COMPUTED_VALUE"""),"1229-9367")</f>
        <v>1229-9367</v>
      </c>
      <c r="E82" s="39" t="str">
        <f ca="1">IFERROR(__xludf.DUMMYFUNCTION("""COMPUTED_VALUE"""),"2010-2021")</f>
        <v>2010-2021</v>
      </c>
      <c r="F82" s="206" t="str">
        <f ca="1">IFERROR(__xludf.DUMMYFUNCTION("""COMPUTED_VALUE"""),"SCIE, SCOPUS")</f>
        <v>SCIE, SCOPUS</v>
      </c>
      <c r="G82" s="116" t="str">
        <f ca="1">IFERROR(__xludf.DUMMYFUNCTION("""COMPUTED_VALUE"""),"http://www.riss.kr/link?id=S11640555")</f>
        <v>http://www.riss.kr/link?id=S11640555</v>
      </c>
      <c r="H82" s="24" t="str">
        <f ca="1">IFERROR(__xludf.DUMMYFUNCTION("""COMPUTED_VALUE"""),"O")</f>
        <v>O</v>
      </c>
    </row>
    <row r="83" spans="1:8" ht="26.25" customHeight="1">
      <c r="A83" s="154">
        <f t="shared" ca="1" si="0"/>
        <v>80</v>
      </c>
      <c r="B83" s="19" t="str">
        <f ca="1">IFERROR(__xludf.DUMMYFUNCTION("""COMPUTED_VALUE"""),"Surface Review and Letters")</f>
        <v>Surface Review and Letters</v>
      </c>
      <c r="C83" s="19" t="str">
        <f ca="1">IFERROR(__xludf.DUMMYFUNCTION("""COMPUTED_VALUE"""),"World Scientific Publishing Co. Pte. Ltd.")</f>
        <v>World Scientific Publishing Co. Pte. Ltd.</v>
      </c>
      <c r="D83" s="20" t="str">
        <f ca="1">IFERROR(__xludf.DUMMYFUNCTION("""COMPUTED_VALUE"""),"0218-625X")</f>
        <v>0218-625X</v>
      </c>
      <c r="E83" s="39" t="str">
        <f ca="1">IFERROR(__xludf.DUMMYFUNCTION("""COMPUTED_VALUE"""),"2010-2021")</f>
        <v>2010-2021</v>
      </c>
      <c r="F83" s="206" t="str">
        <f ca="1">IFERROR(__xludf.DUMMYFUNCTION("""COMPUTED_VALUE"""),"SCIE, SCOPUS")</f>
        <v>SCIE, SCOPUS</v>
      </c>
      <c r="G83" s="116" t="str">
        <f ca="1">IFERROR(__xludf.DUMMYFUNCTION("""COMPUTED_VALUE"""),"http://www.riss.kr/link?id=S412793")</f>
        <v>http://www.riss.kr/link?id=S412793</v>
      </c>
      <c r="H83" s="24" t="str">
        <f ca="1">IFERROR(__xludf.DUMMYFUNCTION("""COMPUTED_VALUE"""),"O")</f>
        <v>O</v>
      </c>
    </row>
    <row r="84" spans="1:8" ht="26.25" customHeight="1">
      <c r="A84" s="154">
        <f t="shared" ca="1" si="0"/>
        <v>81</v>
      </c>
      <c r="B84" s="19" t="str">
        <f ca="1">IFERROR(__xludf.DUMMYFUNCTION("""COMPUTED_VALUE"""),"Technical Textiles International")</f>
        <v>Technical Textiles International</v>
      </c>
      <c r="C84" s="19" t="str">
        <f ca="1">IFERROR(__xludf.DUMMYFUNCTION("""COMPUTED_VALUE"""),"International Newsletters Ltd.")</f>
        <v>International Newsletters Ltd.</v>
      </c>
      <c r="D84" s="20" t="str">
        <f ca="1">IFERROR(__xludf.DUMMYFUNCTION("""COMPUTED_VALUE"""),"0964-5993")</f>
        <v>0964-5993</v>
      </c>
      <c r="E84" s="39" t="str">
        <f ca="1">IFERROR(__xludf.DUMMYFUNCTION("""COMPUTED_VALUE"""),"2010-2021")</f>
        <v>2010-2021</v>
      </c>
      <c r="F84" s="206" t="str">
        <f ca="1">IFERROR(__xludf.DUMMYFUNCTION("""COMPUTED_VALUE"""),"-")</f>
        <v>-</v>
      </c>
      <c r="G84" s="116" t="str">
        <f ca="1">IFERROR(__xludf.DUMMYFUNCTION("""COMPUTED_VALUE"""),"http://www.riss.kr/link?id=S11574145")</f>
        <v>http://www.riss.kr/link?id=S11574145</v>
      </c>
      <c r="H84" s="24" t="str">
        <f ca="1">IFERROR(__xludf.DUMMYFUNCTION("""COMPUTED_VALUE"""),"O")</f>
        <v>O</v>
      </c>
    </row>
    <row r="85" spans="1:8" ht="26.25" customHeight="1">
      <c r="A85" s="154">
        <f t="shared" ca="1" si="0"/>
        <v>82</v>
      </c>
      <c r="B85" s="19" t="str">
        <f ca="1">IFERROR(__xludf.DUMMYFUNCTION("""COMPUTED_VALUE"""),"Textile Research Journal")</f>
        <v>Textile Research Journal</v>
      </c>
      <c r="C85" s="19" t="str">
        <f ca="1">IFERROR(__xludf.DUMMYFUNCTION("""COMPUTED_VALUE"""),"Sage Publications Ltd.")</f>
        <v>Sage Publications Ltd.</v>
      </c>
      <c r="D85" s="20" t="str">
        <f ca="1">IFERROR(__xludf.DUMMYFUNCTION("""COMPUTED_VALUE"""),"0040-5175")</f>
        <v>0040-5175</v>
      </c>
      <c r="E85" s="39" t="str">
        <f ca="1">IFERROR(__xludf.DUMMYFUNCTION("""COMPUTED_VALUE"""),"1971-2021")</f>
        <v>1971-2021</v>
      </c>
      <c r="F85" s="206" t="str">
        <f ca="1">IFERROR(__xludf.DUMMYFUNCTION("""COMPUTED_VALUE"""),"SCIE, SCOPUS")</f>
        <v>SCIE, SCOPUS</v>
      </c>
      <c r="G85" s="116" t="str">
        <f ca="1">IFERROR(__xludf.DUMMYFUNCTION("""COMPUTED_VALUE"""),"http://www.riss.kr/link?id=S53708")</f>
        <v>http://www.riss.kr/link?id=S53708</v>
      </c>
      <c r="H85" s="24" t="str">
        <f ca="1">IFERROR(__xludf.DUMMYFUNCTION("""COMPUTED_VALUE"""),"O")</f>
        <v>O</v>
      </c>
    </row>
    <row r="86" spans="1:8" ht="26.25" customHeight="1">
      <c r="A86" s="154">
        <f t="shared" ca="1" si="0"/>
        <v>83</v>
      </c>
      <c r="B86" s="19" t="str">
        <f ca="1">IFERROR(__xludf.DUMMYFUNCTION("""COMPUTED_VALUE"""),"The International Journal of Cast Metals Research")</f>
        <v>The International Journal of Cast Metals Research</v>
      </c>
      <c r="C86" s="19" t="str">
        <f ca="1">IFERROR(__xludf.DUMMYFUNCTION("""COMPUTED_VALUE"""),"Taylor &amp; Francis")</f>
        <v>Taylor &amp; Francis</v>
      </c>
      <c r="D86" s="20" t="str">
        <f ca="1">IFERROR(__xludf.DUMMYFUNCTION("""COMPUTED_VALUE"""),"1364-0461")</f>
        <v>1364-0461</v>
      </c>
      <c r="E86" s="39" t="str">
        <f ca="1">IFERROR(__xludf.DUMMYFUNCTION("""COMPUTED_VALUE"""),"2010-2021")</f>
        <v>2010-2021</v>
      </c>
      <c r="F86" s="206" t="str">
        <f ca="1">IFERROR(__xludf.DUMMYFUNCTION("""COMPUTED_VALUE"""),"SCIE, SCOPUS")</f>
        <v>SCIE, SCOPUS</v>
      </c>
      <c r="G86" s="116" t="str">
        <f ca="1">IFERROR(__xludf.DUMMYFUNCTION("""COMPUTED_VALUE"""),"http://www.riss.kr/link?id=S405999")</f>
        <v>http://www.riss.kr/link?id=S405999</v>
      </c>
      <c r="H86" s="24" t="str">
        <f ca="1">IFERROR(__xludf.DUMMYFUNCTION("""COMPUTED_VALUE"""),"O")</f>
        <v>O</v>
      </c>
    </row>
    <row r="87" spans="1:8" ht="26.25" customHeight="1">
      <c r="A87" s="154">
        <f t="shared" ca="1" si="0"/>
        <v>84</v>
      </c>
      <c r="B87" s="19" t="str">
        <f ca="1">IFERROR(__xludf.DUMMYFUNCTION("""COMPUTED_VALUE"""),"The Journal of Elastomers and Plastics")</f>
        <v>The Journal of Elastomers and Plastics</v>
      </c>
      <c r="C87" s="19" t="str">
        <f ca="1">IFERROR(__xludf.DUMMYFUNCTION("""COMPUTED_VALUE"""),"Sage Publications Ltd.")</f>
        <v>Sage Publications Ltd.</v>
      </c>
      <c r="D87" s="20" t="str">
        <f ca="1">IFERROR(__xludf.DUMMYFUNCTION("""COMPUTED_VALUE"""),"0095-2443")</f>
        <v>0095-2443</v>
      </c>
      <c r="E87" s="39" t="str">
        <f ca="1">IFERROR(__xludf.DUMMYFUNCTION("""COMPUTED_VALUE"""),"1992-1994, 1996-2007, 2009-2021")</f>
        <v>1992-1994, 1996-2007, 2009-2021</v>
      </c>
      <c r="F87" s="206" t="str">
        <f ca="1">IFERROR(__xludf.DUMMYFUNCTION("""COMPUTED_VALUE"""),"SCIE, SCOPUS")</f>
        <v>SCIE, SCOPUS</v>
      </c>
      <c r="G87" s="116" t="str">
        <f ca="1">IFERROR(__xludf.DUMMYFUNCTION("""COMPUTED_VALUE"""),"http://www.riss.kr/link?id=S60841")</f>
        <v>http://www.riss.kr/link?id=S60841</v>
      </c>
      <c r="H87" s="24" t="str">
        <f ca="1">IFERROR(__xludf.DUMMYFUNCTION("""COMPUTED_VALUE"""),"O")</f>
        <v>O</v>
      </c>
    </row>
    <row r="88" spans="1:8" ht="26.25" customHeight="1">
      <c r="A88" s="154">
        <f t="shared" ca="1" si="0"/>
        <v>85</v>
      </c>
      <c r="B88" s="19" t="str">
        <f ca="1">IFERROR(__xludf.DUMMYFUNCTION("""COMPUTED_VALUE"""),"The Journal of the Textile Institute")</f>
        <v>The Journal of the Textile Institute</v>
      </c>
      <c r="C88" s="19" t="str">
        <f ca="1">IFERROR(__xludf.DUMMYFUNCTION("""COMPUTED_VALUE"""),"Routledge")</f>
        <v>Routledge</v>
      </c>
      <c r="D88" s="20" t="str">
        <f ca="1">IFERROR(__xludf.DUMMYFUNCTION("""COMPUTED_VALUE"""),"0040-5000")</f>
        <v>0040-5000</v>
      </c>
      <c r="E88" s="39" t="str">
        <f ca="1">IFERROR(__xludf.DUMMYFUNCTION("""COMPUTED_VALUE"""),"1980-2021")</f>
        <v>1980-2021</v>
      </c>
      <c r="F88" s="206" t="str">
        <f ca="1">IFERROR(__xludf.DUMMYFUNCTION("""COMPUTED_VALUE"""),"SCIE, SCOPUS")</f>
        <v>SCIE, SCOPUS</v>
      </c>
      <c r="G88" s="116" t="str">
        <f ca="1">IFERROR(__xludf.DUMMYFUNCTION("""COMPUTED_VALUE"""),"http://www.riss.kr/link?id=S15537")</f>
        <v>http://www.riss.kr/link?id=S15537</v>
      </c>
      <c r="H88" s="24" t="str">
        <f ca="1">IFERROR(__xludf.DUMMYFUNCTION("""COMPUTED_VALUE"""),"O")</f>
        <v>O</v>
      </c>
    </row>
    <row r="89" spans="1:8" ht="26.25" customHeight="1">
      <c r="A89" s="154">
        <f t="shared" ca="1" si="0"/>
        <v>86</v>
      </c>
      <c r="B89" s="31" t="str">
        <f ca="1">IFERROR(__xludf.DUMMYFUNCTION("""COMPUTED_VALUE"""),"Transactions of the American Foundry Society")</f>
        <v>Transactions of the American Foundry Society</v>
      </c>
      <c r="C89" s="19" t="str">
        <f ca="1">IFERROR(__xludf.DUMMYFUNCTION("""COMPUTED_VALUE"""),"American Foundry Society")</f>
        <v>American Foundry Society</v>
      </c>
      <c r="D89" s="20"/>
      <c r="E89" s="39" t="str">
        <f ca="1">IFERROR(__xludf.DUMMYFUNCTION("""COMPUTED_VALUE"""),"2010-2019")</f>
        <v>2010-2019</v>
      </c>
      <c r="F89" s="210" t="str">
        <f ca="1">IFERROR(__xludf.DUMMYFUNCTION("""COMPUTED_VALUE"""),"-")</f>
        <v>-</v>
      </c>
      <c r="G89" s="116" t="str">
        <f ca="1">IFERROR(__xludf.DUMMYFUNCTION("""COMPUTED_VALUE"""),"http://www.riss.kr/link?id=S61686")</f>
        <v>http://www.riss.kr/link?id=S61686</v>
      </c>
      <c r="H89" s="24" t="str">
        <f ca="1">IFERROR(__xludf.DUMMYFUNCTION("""COMPUTED_VALUE"""),"X")</f>
        <v>X</v>
      </c>
    </row>
    <row r="90" spans="1:8" ht="26.25" customHeight="1">
      <c r="A90" s="154">
        <f t="shared" ca="1" si="0"/>
        <v>87</v>
      </c>
      <c r="B90" s="19" t="str">
        <f ca="1">IFERROR(__xludf.DUMMYFUNCTION("""COMPUTED_VALUE"""),"Transactions of the Institute of Metal Finishing")</f>
        <v>Transactions of the Institute of Metal Finishing</v>
      </c>
      <c r="C90" s="19" t="str">
        <f ca="1">IFERROR(__xludf.DUMMYFUNCTION("""COMPUTED_VALUE"""),"Maney Publishing")</f>
        <v>Maney Publishing</v>
      </c>
      <c r="D90" s="20" t="str">
        <f ca="1">IFERROR(__xludf.DUMMYFUNCTION("""COMPUTED_VALUE"""),"0020-2967")</f>
        <v>0020-2967</v>
      </c>
      <c r="E90" s="39" t="str">
        <f ca="1">IFERROR(__xludf.DUMMYFUNCTION("""COMPUTED_VALUE"""),"2011-2021")</f>
        <v>2011-2021</v>
      </c>
      <c r="F90" s="210" t="str">
        <f ca="1">IFERROR(__xludf.DUMMYFUNCTION("""COMPUTED_VALUE"""),"SCIE")</f>
        <v>SCIE</v>
      </c>
      <c r="G90" s="116" t="str">
        <f ca="1">IFERROR(__xludf.DUMMYFUNCTION("""COMPUTED_VALUE"""),"http://www.riss.kr/link?id=S407845")</f>
        <v>http://www.riss.kr/link?id=S407845</v>
      </c>
      <c r="H90" s="24" t="str">
        <f ca="1">IFERROR(__xludf.DUMMYFUNCTION("""COMPUTED_VALUE"""),"O")</f>
        <v>O</v>
      </c>
    </row>
    <row r="91" spans="1:8" ht="26.25" customHeight="1">
      <c r="A91" s="154">
        <f t="shared" ca="1" si="0"/>
        <v>88</v>
      </c>
      <c r="B91" s="31" t="str">
        <f ca="1">IFERROR(__xludf.DUMMYFUNCTION("""COMPUTED_VALUE"""),"Zairyo")</f>
        <v>Zairyo</v>
      </c>
      <c r="C91" s="19" t="str">
        <f ca="1">IFERROR(__xludf.DUMMYFUNCTION("""COMPUTED_VALUE"""),"Nihon Zairyo Gakkai")</f>
        <v>Nihon Zairyo Gakkai</v>
      </c>
      <c r="D91" s="20" t="str">
        <f ca="1">IFERROR(__xludf.DUMMYFUNCTION("""COMPUTED_VALUE"""),"0514-5163")</f>
        <v>0514-5163</v>
      </c>
      <c r="E91" s="39" t="str">
        <f ca="1">IFERROR(__xludf.DUMMYFUNCTION("""COMPUTED_VALUE"""),"1974-1995")</f>
        <v>1974-1995</v>
      </c>
      <c r="F91" s="210" t="str">
        <f ca="1">IFERROR(__xludf.DUMMYFUNCTION("""COMPUTED_VALUE"""),"-")</f>
        <v>-</v>
      </c>
      <c r="G91" s="116" t="str">
        <f ca="1">IFERROR(__xludf.DUMMYFUNCTION("""COMPUTED_VALUE"""),"http://www.riss.kr/link?id=S114439")</f>
        <v>http://www.riss.kr/link?id=S114439</v>
      </c>
      <c r="H91" s="24" t="str">
        <f ca="1">IFERROR(__xludf.DUMMYFUNCTION("""COMPUTED_VALUE"""),"X")</f>
        <v>X</v>
      </c>
    </row>
    <row r="92" spans="1:8" ht="26.25" customHeight="1">
      <c r="A92" s="154">
        <f t="shared" ca="1" si="0"/>
        <v>89</v>
      </c>
      <c r="B92" s="39" t="str">
        <f ca="1">IFERROR(__xludf.DUMMYFUNCTION("""COMPUTED_VALUE"""),"ラバ-インダストリ (The Rubber Industries)")</f>
        <v>ラバ-インダストリ (The Rubber Industries)</v>
      </c>
      <c r="C92" s="19" t="str">
        <f ca="1">IFERROR(__xludf.DUMMYFUNCTION("""COMPUTED_VALUE"""),"ゴム報知新聞社")</f>
        <v>ゴム報知新聞社</v>
      </c>
      <c r="D92" s="20"/>
      <c r="E92" s="39" t="str">
        <f ca="1">IFERROR(__xludf.DUMMYFUNCTION("""COMPUTED_VALUE"""),"1982-1990, 1998-2020")</f>
        <v>1982-1990, 1998-2020</v>
      </c>
      <c r="F92" s="210" t="str">
        <f ca="1">IFERROR(__xludf.DUMMYFUNCTION("""COMPUTED_VALUE"""),"-")</f>
        <v>-</v>
      </c>
      <c r="G92" s="116" t="str">
        <f ca="1">IFERROR(__xludf.DUMMYFUNCTION("""COMPUTED_VALUE"""),"http://www.riss.kr/link?id=S62294")</f>
        <v>http://www.riss.kr/link?id=S62294</v>
      </c>
      <c r="H92" s="24" t="str">
        <f ca="1">IFERROR(__xludf.DUMMYFUNCTION("""COMPUTED_VALUE"""),"X")</f>
        <v>X</v>
      </c>
    </row>
    <row r="93" spans="1:8" ht="26.25" customHeight="1">
      <c r="A93" s="154">
        <f t="shared" ca="1" si="0"/>
        <v>90</v>
      </c>
      <c r="B93" s="19" t="str">
        <f ca="1">IFERROR(__xludf.DUMMYFUNCTION("""COMPUTED_VALUE"""),"輕金屬")</f>
        <v>輕金屬</v>
      </c>
      <c r="C93" s="19" t="str">
        <f ca="1">IFERROR(__xludf.DUMMYFUNCTION("""COMPUTED_VALUE"""),"Japan Institute of Light Metals")</f>
        <v>Japan Institute of Light Metals</v>
      </c>
      <c r="D93" s="20" t="str">
        <f ca="1">IFERROR(__xludf.DUMMYFUNCTION("""COMPUTED_VALUE"""),"0451-5994")</f>
        <v>0451-5994</v>
      </c>
      <c r="E93" s="39" t="str">
        <f ca="1">IFERROR(__xludf.DUMMYFUNCTION("""COMPUTED_VALUE"""),"1982-2004, 2010-2021")</f>
        <v>1982-2004, 2010-2021</v>
      </c>
      <c r="F93" s="210" t="str">
        <f ca="1">IFERROR(__xludf.DUMMYFUNCTION("""COMPUTED_VALUE"""),"-")</f>
        <v>-</v>
      </c>
      <c r="G93" s="116" t="str">
        <f ca="1">IFERROR(__xludf.DUMMYFUNCTION("""COMPUTED_VALUE"""),"http://www.riss.kr/link?id=S417018")</f>
        <v>http://www.riss.kr/link?id=S417018</v>
      </c>
      <c r="H93" s="24" t="str">
        <f ca="1">IFERROR(__xludf.DUMMYFUNCTION("""COMPUTED_VALUE"""),"O")</f>
        <v>O</v>
      </c>
    </row>
    <row r="94" spans="1:8" ht="26.25" customHeight="1">
      <c r="A94" s="154">
        <f t="shared" ca="1" si="0"/>
        <v>91</v>
      </c>
      <c r="B94" s="19" t="str">
        <f ca="1">IFERROR(__xludf.DUMMYFUNCTION("""COMPUTED_VALUE"""),"工業材料")</f>
        <v>工業材料</v>
      </c>
      <c r="C94" s="19" t="str">
        <f ca="1">IFERROR(__xludf.DUMMYFUNCTION("""COMPUTED_VALUE"""),"Industrial Daily News Ltd.")</f>
        <v>Industrial Daily News Ltd.</v>
      </c>
      <c r="D94" s="20" t="str">
        <f ca="1">IFERROR(__xludf.DUMMYFUNCTION("""COMPUTED_VALUE"""),"0452-2834")</f>
        <v>0452-2834</v>
      </c>
      <c r="E94" s="39" t="str">
        <f ca="1">IFERROR(__xludf.DUMMYFUNCTION("""COMPUTED_VALUE"""),"1961, 1973-2021")</f>
        <v>1961, 1973-2021</v>
      </c>
      <c r="F94" s="206" t="str">
        <f ca="1">IFERROR(__xludf.DUMMYFUNCTION("""COMPUTED_VALUE"""),"-")</f>
        <v>-</v>
      </c>
      <c r="G94" s="116" t="str">
        <f ca="1">IFERROR(__xludf.DUMMYFUNCTION("""COMPUTED_VALUE"""),"http://www.riss.kr/link?id=S20091842")</f>
        <v>http://www.riss.kr/link?id=S20091842</v>
      </c>
      <c r="H94" s="24" t="str">
        <f ca="1">IFERROR(__xludf.DUMMYFUNCTION("""COMPUTED_VALUE"""),"O")</f>
        <v>O</v>
      </c>
    </row>
    <row r="95" spans="1:8" ht="26.25" customHeight="1">
      <c r="A95" s="154">
        <f t="shared" ca="1" si="0"/>
        <v>92</v>
      </c>
      <c r="B95" s="19" t="str">
        <f ca="1">IFERROR(__xludf.DUMMYFUNCTION("""COMPUTED_VALUE"""),"金屬")</f>
        <v>金屬</v>
      </c>
      <c r="C95" s="19" t="str">
        <f ca="1">IFERROR(__xludf.DUMMYFUNCTION("""COMPUTED_VALUE"""),"AGNE Gijutsu Center")</f>
        <v>AGNE Gijutsu Center</v>
      </c>
      <c r="D95" s="20" t="str">
        <f ca="1">IFERROR(__xludf.DUMMYFUNCTION("""COMPUTED_VALUE"""),"0368-6337")</f>
        <v>0368-6337</v>
      </c>
      <c r="E95" s="39" t="str">
        <f ca="1">IFERROR(__xludf.DUMMYFUNCTION("""COMPUTED_VALUE"""),"1957-1962, 1967-1968, 1981-2021")</f>
        <v>1957-1962, 1967-1968, 1981-2021</v>
      </c>
      <c r="F95" s="206" t="str">
        <f ca="1">IFERROR(__xludf.DUMMYFUNCTION("""COMPUTED_VALUE"""),"-")</f>
        <v>-</v>
      </c>
      <c r="G95" s="116" t="str">
        <f ca="1">IFERROR(__xludf.DUMMYFUNCTION("""COMPUTED_VALUE"""),"http://www.riss.kr/link?id=S20070027")</f>
        <v>http://www.riss.kr/link?id=S20070027</v>
      </c>
      <c r="H95" s="24" t="str">
        <f ca="1">IFERROR(__xludf.DUMMYFUNCTION("""COMPUTED_VALUE"""),"O")</f>
        <v>O</v>
      </c>
    </row>
    <row r="96" spans="1:8" ht="26.25" customHeight="1">
      <c r="A96" s="154">
        <f t="shared" ca="1" si="0"/>
        <v>93</v>
      </c>
      <c r="B96" s="31" t="str">
        <f ca="1">IFERROR(__xludf.DUMMYFUNCTION("""COMPUTED_VALUE"""),"纖維科學")</f>
        <v>纖維科學</v>
      </c>
      <c r="C96" s="19" t="str">
        <f ca="1">IFERROR(__xludf.DUMMYFUNCTION("""COMPUTED_VALUE"""),"日本纖維セソタ")</f>
        <v>日本纖維セソタ</v>
      </c>
      <c r="D96" s="20" t="str">
        <f ca="1">IFERROR(__xludf.DUMMYFUNCTION("""COMPUTED_VALUE"""),"0286-987X")</f>
        <v>0286-987X</v>
      </c>
      <c r="E96" s="39" t="str">
        <f ca="1">IFERROR(__xludf.DUMMYFUNCTION("""COMPUTED_VALUE"""),"1970-2013")</f>
        <v>1970-2013</v>
      </c>
      <c r="F96" s="206" t="str">
        <f ca="1">IFERROR(__xludf.DUMMYFUNCTION("""COMPUTED_VALUE"""),"-")</f>
        <v>-</v>
      </c>
      <c r="G96" s="116" t="str">
        <f ca="1">IFERROR(__xludf.DUMMYFUNCTION("""COMPUTED_VALUE"""),"http://www.riss.kr/link?id=S48729")</f>
        <v>http://www.riss.kr/link?id=S48729</v>
      </c>
      <c r="H96" s="24" t="str">
        <f ca="1">IFERROR(__xludf.DUMMYFUNCTION("""COMPUTED_VALUE"""),"X")</f>
        <v>X</v>
      </c>
    </row>
    <row r="97" spans="1:26" ht="26.25" customHeight="1">
      <c r="A97" s="154">
        <f t="shared" ca="1" si="0"/>
        <v>94</v>
      </c>
      <c r="B97" s="19" t="str">
        <f ca="1">IFERROR(__xludf.DUMMYFUNCTION("""COMPUTED_VALUE"""),"纖維機械學會誌")</f>
        <v>纖維機械學會誌</v>
      </c>
      <c r="C97" s="19" t="str">
        <f ca="1">IFERROR(__xludf.DUMMYFUNCTION("""COMPUTED_VALUE"""),"Textile Machinery Society of Japan")</f>
        <v>Textile Machinery Society of Japan</v>
      </c>
      <c r="D97" s="20" t="str">
        <f ca="1">IFERROR(__xludf.DUMMYFUNCTION("""COMPUTED_VALUE"""),"0371-0580")</f>
        <v>0371-0580</v>
      </c>
      <c r="E97" s="39" t="str">
        <f ca="1">IFERROR(__xludf.DUMMYFUNCTION("""COMPUTED_VALUE"""),"1955-1959, 1962-1963, 1975-2021")</f>
        <v>1955-1959, 1962-1963, 1975-2021</v>
      </c>
      <c r="F97" s="206" t="str">
        <f ca="1">IFERROR(__xludf.DUMMYFUNCTION("""COMPUTED_VALUE"""),"-")</f>
        <v>-</v>
      </c>
      <c r="G97" s="116" t="str">
        <f ca="1">IFERROR(__xludf.DUMMYFUNCTION("""COMPUTED_VALUE"""),"http://www.riss.kr/link?id=S19616")</f>
        <v>http://www.riss.kr/link?id=S19616</v>
      </c>
      <c r="H97" s="24" t="str">
        <f ca="1">IFERROR(__xludf.DUMMYFUNCTION("""COMPUTED_VALUE"""),"O")</f>
        <v>O</v>
      </c>
    </row>
    <row r="98" spans="1:26" ht="26.25" customHeight="1">
      <c r="A98" s="154">
        <f t="shared" ca="1" si="0"/>
        <v>95</v>
      </c>
      <c r="B98" s="19" t="str">
        <f ca="1">IFERROR(__xludf.DUMMYFUNCTION("""COMPUTED_VALUE"""),"纖維製品消費科學")</f>
        <v>纖維製品消費科學</v>
      </c>
      <c r="C98" s="19" t="str">
        <f ca="1">IFERROR(__xludf.DUMMYFUNCTION("""COMPUTED_VALUE"""),"Japan Research Association for Textile End-Uses")</f>
        <v>Japan Research Association for Textile End-Uses</v>
      </c>
      <c r="D98" s="20" t="str">
        <f ca="1">IFERROR(__xludf.DUMMYFUNCTION("""COMPUTED_VALUE"""),"0037-2072")</f>
        <v>0037-2072</v>
      </c>
      <c r="E98" s="39" t="str">
        <f ca="1">IFERROR(__xludf.DUMMYFUNCTION("""COMPUTED_VALUE"""),"1978-2021")</f>
        <v>1978-2021</v>
      </c>
      <c r="F98" s="206" t="str">
        <f ca="1">IFERROR(__xludf.DUMMYFUNCTION("""COMPUTED_VALUE"""),"-")</f>
        <v>-</v>
      </c>
      <c r="G98" s="116" t="str">
        <f ca="1">IFERROR(__xludf.DUMMYFUNCTION("""COMPUTED_VALUE"""),"http://www.riss.kr/link?id=S416895")</f>
        <v>http://www.riss.kr/link?id=S416895</v>
      </c>
      <c r="H98" s="24" t="str">
        <f ca="1">IFERROR(__xludf.DUMMYFUNCTION("""COMPUTED_VALUE"""),"O")</f>
        <v>O</v>
      </c>
    </row>
    <row r="99" spans="1:26" ht="26.25" customHeight="1">
      <c r="A99" s="154">
        <f t="shared" ca="1" si="0"/>
        <v>96</v>
      </c>
      <c r="B99" s="19" t="str">
        <f ca="1">IFERROR(__xludf.DUMMYFUNCTION("""COMPUTED_VALUE"""),"纖維學會誌")</f>
        <v>纖維學會誌</v>
      </c>
      <c r="C99" s="19" t="str">
        <f ca="1">IFERROR(__xludf.DUMMYFUNCTION("""COMPUTED_VALUE"""),"日本繊維学会")</f>
        <v>日本繊維学会</v>
      </c>
      <c r="D99" s="20" t="str">
        <f ca="1">IFERROR(__xludf.DUMMYFUNCTION("""COMPUTED_VALUE"""),"0037-9875")</f>
        <v>0037-9875</v>
      </c>
      <c r="E99" s="39" t="str">
        <f ca="1">IFERROR(__xludf.DUMMYFUNCTION("""COMPUTED_VALUE"""),"1954, 1956-1960, 1965-1967, 1969-1971, 1973-2021")</f>
        <v>1954, 1956-1960, 1965-1967, 1969-1971, 1973-2021</v>
      </c>
      <c r="F99" s="206" t="str">
        <f ca="1">IFERROR(__xludf.DUMMYFUNCTION("""COMPUTED_VALUE"""),"SCIE")</f>
        <v>SCIE</v>
      </c>
      <c r="G99" s="116" t="str">
        <f ca="1">IFERROR(__xludf.DUMMYFUNCTION("""COMPUTED_VALUE"""),"http://www.riss.kr/link?id=S417589")</f>
        <v>http://www.riss.kr/link?id=S417589</v>
      </c>
      <c r="H99" s="24" t="str">
        <f ca="1">IFERROR(__xludf.DUMMYFUNCTION("""COMPUTED_VALUE"""),"O")</f>
        <v>O</v>
      </c>
    </row>
    <row r="100" spans="1:26" ht="26.25" customHeight="1">
      <c r="A100" s="154">
        <f t="shared" ca="1" si="0"/>
        <v>97</v>
      </c>
      <c r="B100" s="39" t="str">
        <f ca="1">IFERROR(__xludf.DUMMYFUNCTION("""COMPUTED_VALUE"""),"熱處理")</f>
        <v>熱處理</v>
      </c>
      <c r="C100" s="39" t="str">
        <f ca="1">IFERROR(__xludf.DUMMYFUNCTION("""COMPUTED_VALUE"""),"Japan Society for Heat Treatment")</f>
        <v>Japan Society for Heat Treatment</v>
      </c>
      <c r="D100" s="20" t="str">
        <f ca="1">IFERROR(__xludf.DUMMYFUNCTION("""COMPUTED_VALUE"""),"0288-0490")</f>
        <v>0288-0490</v>
      </c>
      <c r="E100" s="83" t="str">
        <f ca="1">IFERROR(__xludf.DUMMYFUNCTION("""COMPUTED_VALUE"""),"2019-2020")</f>
        <v>2019-2020</v>
      </c>
      <c r="F100" s="206" t="str">
        <f ca="1">IFERROR(__xludf.DUMMYFUNCTION("""COMPUTED_VALUE"""),"-")</f>
        <v>-</v>
      </c>
      <c r="G100" s="207" t="str">
        <f ca="1">IFERROR(__xludf.DUMMYFUNCTION("""COMPUTED_VALUE"""),"http://www.riss.kr/link?id=S31001099")</f>
        <v>http://www.riss.kr/link?id=S31001099</v>
      </c>
      <c r="H100" s="24" t="str">
        <f ca="1">IFERROR(__xludf.DUMMYFUNCTION("""COMPUTED_VALUE"""),"X")</f>
        <v>X</v>
      </c>
    </row>
    <row r="101" spans="1:26" ht="26.25" customHeight="1">
      <c r="A101" s="154">
        <f t="shared" ca="1" si="0"/>
        <v>98</v>
      </c>
      <c r="B101" s="19" t="str">
        <f ca="1">IFERROR(__xludf.DUMMYFUNCTION("""COMPUTED_VALUE"""),"日本金屬學會會報")</f>
        <v>日本金屬學會會報</v>
      </c>
      <c r="C101" s="19" t="str">
        <f ca="1">IFERROR(__xludf.DUMMYFUNCTION("""COMPUTED_VALUE"""),"Japan Institute of Metals")</f>
        <v>Japan Institute of Metals</v>
      </c>
      <c r="D101" s="20" t="str">
        <f ca="1">IFERROR(__xludf.DUMMYFUNCTION("""COMPUTED_VALUE"""),"1340-2625")</f>
        <v>1340-2625</v>
      </c>
      <c r="E101" s="39" t="str">
        <f ca="1">IFERROR(__xludf.DUMMYFUNCTION("""COMPUTED_VALUE"""),"1980-2021")</f>
        <v>1980-2021</v>
      </c>
      <c r="F101" s="206" t="str">
        <f ca="1">IFERROR(__xludf.DUMMYFUNCTION("""COMPUTED_VALUE"""),"-")</f>
        <v>-</v>
      </c>
      <c r="G101" s="116" t="str">
        <f ca="1">IFERROR(__xludf.DUMMYFUNCTION("""COMPUTED_VALUE"""),"http://www.riss.kr/link?id=S20085286")</f>
        <v>http://www.riss.kr/link?id=S20085286</v>
      </c>
      <c r="H101" s="24" t="str">
        <f ca="1">IFERROR(__xludf.DUMMYFUNCTION("""COMPUTED_VALUE"""),"O")</f>
        <v>O</v>
      </c>
    </row>
    <row r="102" spans="1:26" ht="26.25" customHeight="1">
      <c r="A102" s="154">
        <f t="shared" ca="1" si="0"/>
        <v>99</v>
      </c>
      <c r="B102" s="19" t="str">
        <f ca="1">IFERROR(__xludf.DUMMYFUNCTION("""COMPUTED_VALUE"""),"日本複合材料學會誌")</f>
        <v>日本複合材料學會誌</v>
      </c>
      <c r="C102" s="19" t="str">
        <f ca="1">IFERROR(__xludf.DUMMYFUNCTION("""COMPUTED_VALUE"""),"Japan Society for Composite Materials")</f>
        <v>Japan Society for Composite Materials</v>
      </c>
      <c r="D102" s="20" t="str">
        <f ca="1">IFERROR(__xludf.DUMMYFUNCTION("""COMPUTED_VALUE"""),"0385-2563")</f>
        <v>0385-2563</v>
      </c>
      <c r="E102" s="39" t="str">
        <f ca="1">IFERROR(__xludf.DUMMYFUNCTION("""COMPUTED_VALUE"""),"1990-2015, 2021")</f>
        <v>1990-2015, 2021</v>
      </c>
      <c r="F102" s="206" t="str">
        <f ca="1">IFERROR(__xludf.DUMMYFUNCTION("""COMPUTED_VALUE"""),"-")</f>
        <v>-</v>
      </c>
      <c r="G102" s="116" t="str">
        <f ca="1">IFERROR(__xludf.DUMMYFUNCTION("""COMPUTED_VALUE"""),"http://www.riss.kr/link?id=S60956")</f>
        <v>http://www.riss.kr/link?id=S60956</v>
      </c>
      <c r="H102" s="24" t="str">
        <f ca="1">IFERROR(__xludf.DUMMYFUNCTION("""COMPUTED_VALUE"""),"O")</f>
        <v>O</v>
      </c>
    </row>
    <row r="103" spans="1:26" ht="26.25" customHeight="1">
      <c r="A103" s="154">
        <f t="shared" ca="1" si="0"/>
        <v>100</v>
      </c>
      <c r="B103" s="19" t="str">
        <f ca="1">IFERROR(__xludf.DUMMYFUNCTION("""COMPUTED_VALUE"""),"日本材料强度學會誌")</f>
        <v>日本材料强度學會誌</v>
      </c>
      <c r="C103" s="19" t="str">
        <f ca="1">IFERROR(__xludf.DUMMYFUNCTION("""COMPUTED_VALUE"""),"Japanese Society for Strength and Fracture of Materials")</f>
        <v>Japanese Society for Strength and Fracture of Materials</v>
      </c>
      <c r="D103" s="20" t="str">
        <f ca="1">IFERROR(__xludf.DUMMYFUNCTION("""COMPUTED_VALUE"""),"0286-4010")</f>
        <v>0286-4010</v>
      </c>
      <c r="E103" s="39" t="str">
        <f ca="1">IFERROR(__xludf.DUMMYFUNCTION("""COMPUTED_VALUE"""),"1990-1991, 1993-2003, 2005-2020")</f>
        <v>1990-1991, 1993-2003, 2005-2020</v>
      </c>
      <c r="F103" s="206" t="str">
        <f ca="1">IFERROR(__xludf.DUMMYFUNCTION("""COMPUTED_VALUE"""),"-")</f>
        <v>-</v>
      </c>
      <c r="G103" s="116" t="str">
        <f ca="1">IFERROR(__xludf.DUMMYFUNCTION("""COMPUTED_VALUE"""),"http://www.riss.kr/link?id=S60895")</f>
        <v>http://www.riss.kr/link?id=S60895</v>
      </c>
      <c r="H103" s="24" t="str">
        <f ca="1">IFERROR(__xludf.DUMMYFUNCTION("""COMPUTED_VALUE"""),"X")</f>
        <v>X</v>
      </c>
    </row>
    <row r="104" spans="1:26" ht="26.25" customHeight="1">
      <c r="A104" s="154">
        <f t="shared" ca="1" si="0"/>
        <v>101</v>
      </c>
      <c r="B104" s="31" t="str">
        <f ca="1">IFERROR(__xludf.DUMMYFUNCTION("""COMPUTED_VALUE"""),"材料と環境")</f>
        <v>材料と環境</v>
      </c>
      <c r="C104" s="19" t="str">
        <f ca="1">IFERROR(__xludf.DUMMYFUNCTION("""COMPUTED_VALUE"""),"Japan Society of Corrosion Engineering")</f>
        <v>Japan Society of Corrosion Engineering</v>
      </c>
      <c r="D104" s="20" t="str">
        <f ca="1">IFERROR(__xludf.DUMMYFUNCTION("""COMPUTED_VALUE"""),"0917-0480")</f>
        <v>0917-0480</v>
      </c>
      <c r="E104" s="39" t="str">
        <f ca="1">IFERROR(__xludf.DUMMYFUNCTION("""COMPUTED_VALUE"""),"1978-2004, 2011-2019")</f>
        <v>1978-2004, 2011-2019</v>
      </c>
      <c r="F104" s="206" t="str">
        <f ca="1">IFERROR(__xludf.DUMMYFUNCTION("""COMPUTED_VALUE"""),"-")</f>
        <v>-</v>
      </c>
      <c r="G104" s="116" t="str">
        <f ca="1">IFERROR(__xludf.DUMMYFUNCTION("""COMPUTED_VALUE"""),"http://www.riss.kr/link?id=S60119")</f>
        <v>http://www.riss.kr/link?id=S60119</v>
      </c>
      <c r="H104" s="24" t="str">
        <f ca="1">IFERROR(__xludf.DUMMYFUNCTION("""COMPUTED_VALUE"""),"X")</f>
        <v>X</v>
      </c>
    </row>
    <row r="105" spans="1:26" ht="26.25" customHeight="1">
      <c r="A105" s="154">
        <f t="shared" ca="1" si="0"/>
        <v>102</v>
      </c>
      <c r="B105" s="31" t="str">
        <f ca="1">IFERROR(__xludf.DUMMYFUNCTION("""COMPUTED_VALUE"""),"電氣製鋼")</f>
        <v>電氣製鋼</v>
      </c>
      <c r="C105" s="19" t="str">
        <f ca="1">IFERROR(__xludf.DUMMYFUNCTION("""COMPUTED_VALUE"""),"Daido Steel Co. Ltd.")</f>
        <v>Daido Steel Co. Ltd.</v>
      </c>
      <c r="D105" s="20" t="str">
        <f ca="1">IFERROR(__xludf.DUMMYFUNCTION("""COMPUTED_VALUE"""),"0011-8389")</f>
        <v>0011-8389</v>
      </c>
      <c r="E105" s="39" t="str">
        <f ca="1">IFERROR(__xludf.DUMMYFUNCTION("""COMPUTED_VALUE"""),"1980-2008")</f>
        <v>1980-2008</v>
      </c>
      <c r="F105" s="206" t="str">
        <f ca="1">IFERROR(__xludf.DUMMYFUNCTION("""COMPUTED_VALUE"""),"-")</f>
        <v>-</v>
      </c>
      <c r="G105" s="116" t="str">
        <f ca="1">IFERROR(__xludf.DUMMYFUNCTION("""COMPUTED_VALUE"""),"http://www.riss.kr/link?id=S48722")</f>
        <v>http://www.riss.kr/link?id=S48722</v>
      </c>
      <c r="H105" s="24" t="str">
        <f ca="1">IFERROR(__xludf.DUMMYFUNCTION("""COMPUTED_VALUE"""),"X")</f>
        <v>X</v>
      </c>
    </row>
    <row r="106" spans="1:26" ht="26.25" customHeight="1">
      <c r="A106" s="154">
        <f t="shared" ca="1" si="0"/>
        <v>103</v>
      </c>
      <c r="B106" s="19" t="str">
        <f ca="1">IFERROR(__xludf.DUMMYFUNCTION("""COMPUTED_VALUE"""),"鑄造工學")</f>
        <v>鑄造工學</v>
      </c>
      <c r="C106" s="19" t="str">
        <f ca="1">IFERROR(__xludf.DUMMYFUNCTION("""COMPUTED_VALUE"""),"Japan Foundry Engineering Society")</f>
        <v>Japan Foundry Engineering Society</v>
      </c>
      <c r="D106" s="20" t="str">
        <f ca="1">IFERROR(__xludf.DUMMYFUNCTION("""COMPUTED_VALUE"""),"1342-0429")</f>
        <v>1342-0429</v>
      </c>
      <c r="E106" s="39" t="str">
        <f ca="1">IFERROR(__xludf.DUMMYFUNCTION("""COMPUTED_VALUE"""),"1996-2004, 2010-2021")</f>
        <v>1996-2004, 2010-2021</v>
      </c>
      <c r="F106" s="206" t="str">
        <f ca="1">IFERROR(__xludf.DUMMYFUNCTION("""COMPUTED_VALUE"""),"-")</f>
        <v>-</v>
      </c>
      <c r="G106" s="116" t="str">
        <f ca="1">IFERROR(__xludf.DUMMYFUNCTION("""COMPUTED_VALUE"""),"http://www.riss.kr/link?id=S63124")</f>
        <v>http://www.riss.kr/link?id=S63124</v>
      </c>
      <c r="H106" s="24" t="str">
        <f ca="1">IFERROR(__xludf.DUMMYFUNCTION("""COMPUTED_VALUE"""),"O")</f>
        <v>O</v>
      </c>
    </row>
    <row r="107" spans="1:26" ht="26.25" customHeight="1">
      <c r="A107" s="154">
        <f t="shared" ca="1" si="0"/>
        <v>104</v>
      </c>
      <c r="B107" s="31" t="str">
        <f ca="1">IFERROR(__xludf.DUMMYFUNCTION("""COMPUTED_VALUE"""),"鐵と鋼")</f>
        <v>鐵と鋼</v>
      </c>
      <c r="C107" s="19" t="str">
        <f ca="1">IFERROR(__xludf.DUMMYFUNCTION("""COMPUTED_VALUE"""),"Iron and Steel Institute of Japan")</f>
        <v>Iron and Steel Institute of Japan</v>
      </c>
      <c r="D107" s="20" t="str">
        <f ca="1">IFERROR(__xludf.DUMMYFUNCTION("""COMPUTED_VALUE"""),"0021-1575")</f>
        <v>0021-1575</v>
      </c>
      <c r="E107" s="39" t="str">
        <f ca="1">IFERROR(__xludf.DUMMYFUNCTION("""COMPUTED_VALUE"""),"1977-2019")</f>
        <v>1977-2019</v>
      </c>
      <c r="F107" s="206" t="str">
        <f ca="1">IFERROR(__xludf.DUMMYFUNCTION("""COMPUTED_VALUE"""),"SCIE")</f>
        <v>SCIE</v>
      </c>
      <c r="G107" s="116" t="str">
        <f ca="1">IFERROR(__xludf.DUMMYFUNCTION("""COMPUTED_VALUE"""),"http://www.riss.kr/link?id=S20066775")</f>
        <v>http://www.riss.kr/link?id=S20066775</v>
      </c>
      <c r="H107" s="24" t="str">
        <f ca="1">IFERROR(__xludf.DUMMYFUNCTION("""COMPUTED_VALUE"""),"X")</f>
        <v>X</v>
      </c>
    </row>
    <row r="108" spans="1:26" ht="26.25" customHeight="1">
      <c r="A108" s="211">
        <f t="shared" ca="1" si="0"/>
        <v>105</v>
      </c>
      <c r="B108" s="118" t="str">
        <f ca="1">IFERROR(__xludf.DUMMYFUNCTION("""COMPUTED_VALUE"""),"特殊鋼")</f>
        <v>特殊鋼</v>
      </c>
      <c r="C108" s="118" t="str">
        <f ca="1">IFERROR(__xludf.DUMMYFUNCTION("""COMPUTED_VALUE"""),"特殊鋼俱樂部")</f>
        <v>特殊鋼俱樂部</v>
      </c>
      <c r="D108" s="119" t="str">
        <f ca="1">IFERROR(__xludf.DUMMYFUNCTION("""COMPUTED_VALUE"""),"0495-7644")</f>
        <v>0495-7644</v>
      </c>
      <c r="E108" s="212" t="str">
        <f ca="1">IFERROR(__xludf.DUMMYFUNCTION("""COMPUTED_VALUE"""),"1980, 1983-1991, 1993-2021")</f>
        <v>1980, 1983-1991, 1993-2021</v>
      </c>
      <c r="F108" s="213" t="str">
        <f ca="1">IFERROR(__xludf.DUMMYFUNCTION("""COMPUTED_VALUE"""),"-")</f>
        <v>-</v>
      </c>
      <c r="G108" s="214" t="str">
        <f ca="1">IFERROR(__xludf.DUMMYFUNCTION("""COMPUTED_VALUE"""),"http://www.riss.kr/link?id=S63537")</f>
        <v>http://www.riss.kr/link?id=S63537</v>
      </c>
      <c r="H108" s="165" t="str">
        <f ca="1">IFERROR(__xludf.DUMMYFUNCTION("""COMPUTED_VALUE"""),"O")</f>
        <v>O</v>
      </c>
    </row>
    <row r="109" spans="1:26" ht="17.25" customHeight="1">
      <c r="A109" s="46" t="str">
        <f t="shared" si="0"/>
        <v/>
      </c>
      <c r="B109" s="215"/>
      <c r="C109" s="215"/>
      <c r="D109" s="1"/>
      <c r="E109" s="216"/>
      <c r="F109" s="217"/>
      <c r="G109" s="108"/>
      <c r="H109" s="1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7.25" customHeight="1">
      <c r="A110" s="46" t="str">
        <f t="shared" si="0"/>
        <v/>
      </c>
      <c r="B110" s="215"/>
      <c r="C110" s="215"/>
      <c r="D110" s="1"/>
      <c r="E110" s="216"/>
      <c r="F110" s="217"/>
      <c r="G110" s="108"/>
      <c r="H110" s="1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7.25" customHeight="1">
      <c r="A111" s="46" t="str">
        <f t="shared" si="0"/>
        <v/>
      </c>
      <c r="B111" s="215"/>
      <c r="C111" s="215"/>
      <c r="D111" s="1"/>
      <c r="E111" s="216"/>
      <c r="F111" s="217"/>
      <c r="G111" s="108"/>
      <c r="H111" s="1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7.25" customHeight="1">
      <c r="A112" s="46" t="str">
        <f t="shared" si="0"/>
        <v/>
      </c>
      <c r="B112" s="215"/>
      <c r="C112" s="215"/>
      <c r="D112" s="1"/>
      <c r="E112" s="216"/>
      <c r="F112" s="217"/>
      <c r="G112" s="108"/>
      <c r="H112" s="1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7.25" customHeight="1">
      <c r="A113" s="46" t="str">
        <f t="shared" si="0"/>
        <v/>
      </c>
      <c r="B113" s="99"/>
      <c r="C113" s="218"/>
      <c r="D113" s="219"/>
      <c r="E113" s="216"/>
      <c r="F113" s="220"/>
      <c r="G113" s="108"/>
      <c r="H113" s="1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7.25" customHeight="1">
      <c r="A114" s="46" t="str">
        <f t="shared" si="0"/>
        <v/>
      </c>
      <c r="B114" s="215"/>
      <c r="C114" s="215"/>
      <c r="D114" s="1"/>
      <c r="E114" s="216"/>
      <c r="F114" s="217"/>
      <c r="G114" s="108"/>
      <c r="H114" s="1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7.25" customHeight="1">
      <c r="A115" s="46" t="str">
        <f t="shared" si="0"/>
        <v/>
      </c>
      <c r="B115" s="221"/>
      <c r="C115" s="215"/>
      <c r="D115" s="1"/>
      <c r="E115" s="216"/>
      <c r="F115" s="217"/>
      <c r="G115" s="108"/>
      <c r="H115" s="1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7.25" customHeight="1">
      <c r="A116" s="46" t="str">
        <f t="shared" si="0"/>
        <v/>
      </c>
      <c r="B116" s="215"/>
      <c r="C116" s="215"/>
      <c r="D116" s="1"/>
      <c r="E116" s="216"/>
      <c r="F116" s="217"/>
      <c r="G116" s="108"/>
      <c r="H116" s="1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7.25" customHeight="1">
      <c r="A117" s="46" t="str">
        <f t="shared" si="0"/>
        <v/>
      </c>
      <c r="B117" s="215"/>
      <c r="C117" s="215"/>
      <c r="D117" s="1"/>
      <c r="E117" s="216"/>
      <c r="F117" s="217"/>
      <c r="G117" s="108"/>
      <c r="H117" s="1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7.25" customHeight="1">
      <c r="A118" s="46" t="str">
        <f t="shared" si="0"/>
        <v/>
      </c>
      <c r="B118" s="215"/>
      <c r="C118" s="215"/>
      <c r="D118" s="1"/>
      <c r="E118" s="216"/>
      <c r="F118" s="217"/>
      <c r="G118" s="108"/>
      <c r="H118" s="1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7.25" customHeight="1">
      <c r="A119" s="46" t="str">
        <f t="shared" si="0"/>
        <v/>
      </c>
      <c r="B119" s="221"/>
      <c r="C119" s="215"/>
      <c r="D119" s="1"/>
      <c r="E119" s="216"/>
      <c r="F119" s="217"/>
      <c r="G119" s="108"/>
      <c r="H119" s="1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7.25" customHeight="1">
      <c r="A120" s="46" t="str">
        <f t="shared" si="0"/>
        <v/>
      </c>
      <c r="B120" s="221"/>
      <c r="C120" s="215"/>
      <c r="D120" s="1"/>
      <c r="E120" s="216"/>
      <c r="F120" s="217"/>
      <c r="G120" s="108"/>
      <c r="H120" s="1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7.25" customHeight="1">
      <c r="A121" s="46" t="str">
        <f t="shared" si="0"/>
        <v/>
      </c>
      <c r="B121" s="221"/>
      <c r="C121" s="215"/>
      <c r="D121" s="1"/>
      <c r="E121" s="216"/>
      <c r="F121" s="217"/>
      <c r="G121" s="108"/>
      <c r="H121" s="1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7.25" customHeight="1">
      <c r="A122" s="46" t="str">
        <f t="shared" si="0"/>
        <v/>
      </c>
      <c r="B122" s="215"/>
      <c r="C122" s="215"/>
      <c r="D122" s="1"/>
      <c r="E122" s="216"/>
      <c r="F122" s="217"/>
      <c r="G122" s="108"/>
      <c r="H122" s="1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7.25" customHeight="1">
      <c r="A123" s="46" t="str">
        <f t="shared" si="0"/>
        <v/>
      </c>
      <c r="B123" s="221"/>
      <c r="C123" s="215"/>
      <c r="D123" s="1"/>
      <c r="E123" s="216"/>
      <c r="F123" s="217"/>
      <c r="G123" s="108"/>
      <c r="H123" s="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7.25" customHeight="1">
      <c r="A124" s="46" t="str">
        <f t="shared" si="0"/>
        <v/>
      </c>
      <c r="B124" s="221"/>
      <c r="C124" s="215"/>
      <c r="D124" s="1"/>
      <c r="E124" s="216"/>
      <c r="F124" s="217"/>
      <c r="G124" s="108"/>
      <c r="H124" s="1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7.25" customHeight="1">
      <c r="A125" s="46" t="str">
        <f t="shared" si="0"/>
        <v/>
      </c>
      <c r="B125" s="221"/>
      <c r="C125" s="215"/>
      <c r="D125" s="1"/>
      <c r="E125" s="216"/>
      <c r="F125" s="217"/>
      <c r="G125" s="108"/>
      <c r="H125" s="1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7.25" customHeight="1">
      <c r="A126" s="46" t="str">
        <f t="shared" si="0"/>
        <v/>
      </c>
      <c r="B126" s="221"/>
      <c r="C126" s="215"/>
      <c r="D126" s="1"/>
      <c r="E126" s="216"/>
      <c r="F126" s="217"/>
      <c r="G126" s="108"/>
      <c r="H126" s="1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7.25" customHeight="1">
      <c r="A127" s="46" t="str">
        <f t="shared" si="0"/>
        <v/>
      </c>
      <c r="B127" s="221"/>
      <c r="C127" s="215"/>
      <c r="D127" s="1"/>
      <c r="E127" s="216"/>
      <c r="F127" s="217"/>
      <c r="G127" s="108"/>
      <c r="H127" s="1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7.25" customHeight="1">
      <c r="A128" s="46" t="str">
        <f t="shared" si="0"/>
        <v/>
      </c>
      <c r="B128" s="221"/>
      <c r="C128" s="215"/>
      <c r="D128" s="1"/>
      <c r="E128" s="216"/>
      <c r="F128" s="217"/>
      <c r="G128" s="108"/>
      <c r="H128" s="1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7.25" customHeight="1">
      <c r="A129" s="46" t="str">
        <f t="shared" si="0"/>
        <v/>
      </c>
      <c r="B129" s="221"/>
      <c r="C129" s="215"/>
      <c r="D129" s="1"/>
      <c r="E129" s="216"/>
      <c r="F129" s="217"/>
      <c r="G129" s="108"/>
      <c r="H129" s="1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7.25" customHeight="1">
      <c r="A130" s="46" t="str">
        <f t="shared" si="0"/>
        <v/>
      </c>
      <c r="B130" s="221"/>
      <c r="C130" s="215"/>
      <c r="D130" s="1"/>
      <c r="E130" s="216"/>
      <c r="F130" s="217"/>
      <c r="G130" s="108"/>
      <c r="H130" s="1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7.25" customHeight="1">
      <c r="A131" s="46" t="str">
        <f t="shared" si="0"/>
        <v/>
      </c>
      <c r="B131" s="221"/>
      <c r="C131" s="215"/>
      <c r="D131" s="1"/>
      <c r="E131" s="216"/>
      <c r="F131" s="217"/>
      <c r="G131" s="108"/>
      <c r="H131" s="1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7.25" customHeight="1">
      <c r="A132" s="46" t="str">
        <f t="shared" si="0"/>
        <v/>
      </c>
      <c r="B132" s="221"/>
      <c r="C132" s="215"/>
      <c r="D132" s="1"/>
      <c r="E132" s="216"/>
      <c r="F132" s="217"/>
      <c r="G132" s="108"/>
      <c r="H132" s="1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7.25" customHeight="1">
      <c r="A133" s="46" t="str">
        <f t="shared" si="0"/>
        <v/>
      </c>
      <c r="B133" s="221"/>
      <c r="C133" s="215"/>
      <c r="D133" s="1"/>
      <c r="E133" s="216"/>
      <c r="F133" s="217"/>
      <c r="G133" s="108"/>
      <c r="H133" s="1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7.25" customHeight="1">
      <c r="A134" s="46" t="str">
        <f t="shared" si="0"/>
        <v/>
      </c>
      <c r="B134" s="221"/>
      <c r="C134" s="215"/>
      <c r="D134" s="1"/>
      <c r="E134" s="216"/>
      <c r="F134" s="217"/>
      <c r="G134" s="108"/>
      <c r="H134" s="1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7.25" customHeight="1">
      <c r="A135" s="46" t="str">
        <f t="shared" si="0"/>
        <v/>
      </c>
      <c r="B135" s="221"/>
      <c r="C135" s="215"/>
      <c r="D135" s="1"/>
      <c r="E135" s="216"/>
      <c r="F135" s="217"/>
      <c r="G135" s="108"/>
      <c r="H135" s="1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6.5" customHeight="1">
      <c r="A136" s="46"/>
      <c r="B136" s="6"/>
      <c r="C136" s="166"/>
      <c r="D136" s="167"/>
      <c r="E136" s="168"/>
      <c r="F136" s="222"/>
      <c r="G136" s="188"/>
      <c r="H136" s="171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6.5" customHeight="1">
      <c r="A137" s="46"/>
      <c r="B137" s="172"/>
      <c r="C137" s="173"/>
      <c r="D137" s="171"/>
      <c r="E137" s="168"/>
      <c r="F137" s="223"/>
      <c r="G137" s="190"/>
      <c r="H137" s="171"/>
      <c r="I137" s="5"/>
    </row>
    <row r="138" spans="1:26" ht="16.5" customHeight="1">
      <c r="A138" s="46"/>
      <c r="F138" s="167"/>
    </row>
    <row r="139" spans="1:26" ht="16.5" customHeight="1">
      <c r="A139" s="46"/>
      <c r="F139" s="167"/>
    </row>
    <row r="140" spans="1:26" ht="16.5" customHeight="1">
      <c r="A140" s="46"/>
      <c r="F140" s="167"/>
    </row>
    <row r="141" spans="1:26" ht="16.5" customHeight="1">
      <c r="A141" s="46"/>
      <c r="F141" s="167"/>
    </row>
    <row r="142" spans="1:26" ht="16.5" customHeight="1">
      <c r="A142" s="46"/>
      <c r="F142" s="167"/>
    </row>
    <row r="143" spans="1:26" ht="16.5" customHeight="1">
      <c r="A143" s="46"/>
      <c r="F143" s="167"/>
    </row>
    <row r="144" spans="1:26" ht="16.5" customHeight="1">
      <c r="A144" s="46"/>
      <c r="F144" s="167"/>
    </row>
    <row r="145" spans="1:6" ht="16.5" customHeight="1">
      <c r="A145" s="46"/>
      <c r="F145" s="167"/>
    </row>
    <row r="146" spans="1:6" ht="16.5" customHeight="1">
      <c r="A146" s="46"/>
      <c r="F146" s="167"/>
    </row>
    <row r="147" spans="1:6" ht="16.5" customHeight="1">
      <c r="A147" s="46"/>
      <c r="F147" s="167"/>
    </row>
    <row r="148" spans="1:6" ht="16.5" customHeight="1">
      <c r="A148" s="46"/>
      <c r="F148" s="167"/>
    </row>
    <row r="149" spans="1:6" ht="16.5" customHeight="1">
      <c r="A149" s="46"/>
      <c r="F149" s="167"/>
    </row>
    <row r="150" spans="1:6" ht="16.5" customHeight="1">
      <c r="A150" s="46"/>
      <c r="F150" s="167"/>
    </row>
    <row r="151" spans="1:6" ht="16.5" customHeight="1">
      <c r="A151" s="46"/>
      <c r="F151" s="167"/>
    </row>
    <row r="152" spans="1:6" ht="16.5" customHeight="1">
      <c r="A152" s="46"/>
      <c r="F152" s="167"/>
    </row>
    <row r="153" spans="1:6" ht="16.5" customHeight="1">
      <c r="A153" s="46"/>
      <c r="F153" s="167"/>
    </row>
    <row r="154" spans="1:6" ht="16.5" customHeight="1">
      <c r="A154" s="46"/>
      <c r="F154" s="167"/>
    </row>
    <row r="155" spans="1:6" ht="16.5" customHeight="1">
      <c r="A155" s="46"/>
      <c r="F155" s="167"/>
    </row>
    <row r="156" spans="1:6" ht="16.5" customHeight="1">
      <c r="A156" s="46"/>
      <c r="F156" s="167"/>
    </row>
    <row r="157" spans="1:6" ht="16.5" customHeight="1">
      <c r="A157" s="46"/>
      <c r="F157" s="167"/>
    </row>
    <row r="158" spans="1:6" ht="16.5" customHeight="1">
      <c r="A158" s="46"/>
      <c r="F158" s="167"/>
    </row>
    <row r="159" spans="1:6" ht="16.5" customHeight="1">
      <c r="A159" s="46"/>
      <c r="F159" s="167"/>
    </row>
    <row r="160" spans="1:6" ht="16.5" customHeight="1">
      <c r="A160" s="46"/>
      <c r="F160" s="167"/>
    </row>
    <row r="161" spans="1:6" ht="16.5" customHeight="1">
      <c r="A161" s="46"/>
      <c r="F161" s="167"/>
    </row>
    <row r="162" spans="1:6" ht="16.5" customHeight="1">
      <c r="A162" s="46"/>
      <c r="F162" s="167"/>
    </row>
    <row r="163" spans="1:6" ht="16.5" customHeight="1">
      <c r="A163" s="46"/>
      <c r="F163" s="167"/>
    </row>
    <row r="164" spans="1:6" ht="16.5" customHeight="1">
      <c r="A164" s="46"/>
      <c r="F164" s="167"/>
    </row>
    <row r="165" spans="1:6" ht="16.5" customHeight="1">
      <c r="A165" s="46"/>
      <c r="F165" s="167"/>
    </row>
    <row r="166" spans="1:6" ht="16.5" customHeight="1">
      <c r="A166" s="46"/>
      <c r="F166" s="167"/>
    </row>
    <row r="167" spans="1:6" ht="16.5" customHeight="1">
      <c r="A167" s="46"/>
      <c r="F167" s="167"/>
    </row>
    <row r="168" spans="1:6" ht="16.5" customHeight="1">
      <c r="A168" s="46"/>
      <c r="F168" s="167"/>
    </row>
    <row r="169" spans="1:6" ht="16.5" customHeight="1">
      <c r="A169" s="46"/>
      <c r="F169" s="167"/>
    </row>
    <row r="170" spans="1:6" ht="16.5" customHeight="1">
      <c r="A170" s="46"/>
      <c r="F170" s="167"/>
    </row>
    <row r="171" spans="1:6" ht="16.5" customHeight="1">
      <c r="A171" s="46"/>
      <c r="F171" s="167"/>
    </row>
    <row r="172" spans="1:6" ht="16.5" customHeight="1">
      <c r="A172" s="46"/>
      <c r="F172" s="167"/>
    </row>
    <row r="173" spans="1:6" ht="16.5" customHeight="1">
      <c r="A173" s="46"/>
      <c r="F173" s="167"/>
    </row>
    <row r="174" spans="1:6" ht="16.5" customHeight="1">
      <c r="A174" s="46"/>
      <c r="F174" s="167"/>
    </row>
    <row r="175" spans="1:6" ht="16.5" customHeight="1">
      <c r="A175" s="46"/>
      <c r="F175" s="167"/>
    </row>
    <row r="176" spans="1:6" ht="16.5" customHeight="1">
      <c r="A176" s="46"/>
      <c r="F176" s="167"/>
    </row>
    <row r="177" spans="1:6" ht="16.5" customHeight="1">
      <c r="A177" s="46"/>
      <c r="F177" s="167"/>
    </row>
    <row r="178" spans="1:6" ht="16.5" customHeight="1">
      <c r="A178" s="46"/>
      <c r="F178" s="167"/>
    </row>
    <row r="179" spans="1:6" ht="16.5" customHeight="1">
      <c r="A179" s="46"/>
      <c r="F179" s="167"/>
    </row>
    <row r="180" spans="1:6" ht="16.5" customHeight="1">
      <c r="A180" s="46"/>
      <c r="F180" s="167"/>
    </row>
    <row r="181" spans="1:6" ht="16.5" customHeight="1">
      <c r="A181" s="46"/>
      <c r="F181" s="167"/>
    </row>
    <row r="182" spans="1:6" ht="16.5" customHeight="1">
      <c r="A182" s="46"/>
      <c r="F182" s="167"/>
    </row>
    <row r="183" spans="1:6" ht="16.5" customHeight="1">
      <c r="A183" s="46"/>
      <c r="F183" s="167"/>
    </row>
    <row r="184" spans="1:6" ht="16.5" customHeight="1">
      <c r="A184" s="46"/>
      <c r="F184" s="167"/>
    </row>
    <row r="185" spans="1:6" ht="16.5" customHeight="1">
      <c r="A185" s="46"/>
      <c r="F185" s="167"/>
    </row>
    <row r="186" spans="1:6" ht="16.5" customHeight="1">
      <c r="A186" s="46"/>
      <c r="F186" s="167"/>
    </row>
    <row r="187" spans="1:6" ht="16.5" customHeight="1">
      <c r="A187" s="46"/>
      <c r="F187" s="167"/>
    </row>
    <row r="188" spans="1:6" ht="16.5" customHeight="1">
      <c r="A188" s="46"/>
      <c r="F188" s="167"/>
    </row>
    <row r="189" spans="1:6" ht="16.5" customHeight="1">
      <c r="A189" s="46"/>
      <c r="F189" s="167"/>
    </row>
    <row r="190" spans="1:6" ht="16.5" customHeight="1">
      <c r="A190" s="46"/>
      <c r="F190" s="167"/>
    </row>
    <row r="191" spans="1:6" ht="16.5" customHeight="1">
      <c r="A191" s="46"/>
      <c r="F191" s="167"/>
    </row>
    <row r="192" spans="1:6" ht="16.5" customHeight="1">
      <c r="A192" s="46"/>
      <c r="F192" s="167"/>
    </row>
    <row r="193" spans="1:6" ht="16.5" customHeight="1">
      <c r="A193" s="46"/>
      <c r="F193" s="167"/>
    </row>
    <row r="194" spans="1:6" ht="16.5" customHeight="1">
      <c r="A194" s="46"/>
      <c r="F194" s="167"/>
    </row>
    <row r="195" spans="1:6" ht="16.5" customHeight="1">
      <c r="A195" s="46"/>
      <c r="F195" s="167"/>
    </row>
    <row r="196" spans="1:6" ht="16.5" customHeight="1">
      <c r="A196" s="46"/>
      <c r="F196" s="167"/>
    </row>
    <row r="197" spans="1:6" ht="16.5" customHeight="1">
      <c r="A197" s="46"/>
      <c r="F197" s="167"/>
    </row>
    <row r="198" spans="1:6" ht="16.5" customHeight="1">
      <c r="A198" s="46"/>
      <c r="F198" s="167"/>
    </row>
    <row r="199" spans="1:6" ht="16.5" customHeight="1">
      <c r="A199" s="46"/>
      <c r="F199" s="167"/>
    </row>
    <row r="200" spans="1:6" ht="16.5" customHeight="1">
      <c r="A200" s="46"/>
      <c r="F200" s="167"/>
    </row>
    <row r="201" spans="1:6" ht="16.5" customHeight="1">
      <c r="A201" s="46"/>
      <c r="F201" s="167"/>
    </row>
    <row r="202" spans="1:6" ht="16.5" customHeight="1">
      <c r="A202" s="46"/>
      <c r="F202" s="167"/>
    </row>
    <row r="203" spans="1:6" ht="16.5" customHeight="1">
      <c r="A203" s="46"/>
      <c r="F203" s="167"/>
    </row>
    <row r="204" spans="1:6" ht="16.5" customHeight="1">
      <c r="A204" s="46"/>
      <c r="F204" s="167"/>
    </row>
    <row r="205" spans="1:6" ht="16.5" customHeight="1">
      <c r="A205" s="46"/>
      <c r="F205" s="167"/>
    </row>
    <row r="206" spans="1:6" ht="16.5" customHeight="1">
      <c r="A206" s="46"/>
      <c r="F206" s="167"/>
    </row>
    <row r="207" spans="1:6" ht="16.5" customHeight="1">
      <c r="A207" s="46"/>
      <c r="F207" s="167"/>
    </row>
    <row r="208" spans="1:6" ht="16.5" customHeight="1">
      <c r="A208" s="46"/>
      <c r="F208" s="167"/>
    </row>
    <row r="209" spans="1:6" ht="16.5" customHeight="1">
      <c r="A209" s="46"/>
      <c r="F209" s="167"/>
    </row>
    <row r="210" spans="1:6" ht="16.5" customHeight="1">
      <c r="A210" s="46"/>
      <c r="F210" s="167"/>
    </row>
    <row r="211" spans="1:6" ht="16.5" customHeight="1">
      <c r="A211" s="46"/>
      <c r="F211" s="167"/>
    </row>
    <row r="212" spans="1:6" ht="16.5" customHeight="1">
      <c r="A212" s="46"/>
      <c r="F212" s="167"/>
    </row>
    <row r="213" spans="1:6" ht="16.5" customHeight="1">
      <c r="A213" s="46"/>
      <c r="F213" s="167"/>
    </row>
    <row r="214" spans="1:6" ht="16.5" customHeight="1">
      <c r="A214" s="46"/>
      <c r="F214" s="167"/>
    </row>
    <row r="215" spans="1:6" ht="16.5" customHeight="1">
      <c r="A215" s="46"/>
      <c r="F215" s="167"/>
    </row>
    <row r="216" spans="1:6" ht="16.5" customHeight="1">
      <c r="A216" s="46"/>
      <c r="F216" s="167"/>
    </row>
    <row r="217" spans="1:6" ht="16.5" customHeight="1">
      <c r="A217" s="46"/>
      <c r="F217" s="167"/>
    </row>
    <row r="218" spans="1:6" ht="16.5" customHeight="1">
      <c r="A218" s="46"/>
      <c r="F218" s="167"/>
    </row>
    <row r="219" spans="1:6" ht="16.5" customHeight="1">
      <c r="A219" s="46"/>
      <c r="F219" s="167"/>
    </row>
    <row r="220" spans="1:6" ht="16.5" customHeight="1">
      <c r="A220" s="46"/>
      <c r="F220" s="167"/>
    </row>
    <row r="221" spans="1:6" ht="16.5" customHeight="1">
      <c r="A221" s="46"/>
      <c r="F221" s="167"/>
    </row>
    <row r="222" spans="1:6" ht="16.5" customHeight="1">
      <c r="A222" s="46"/>
      <c r="F222" s="167"/>
    </row>
    <row r="223" spans="1:6" ht="16.5" customHeight="1">
      <c r="A223" s="46"/>
      <c r="F223" s="167"/>
    </row>
    <row r="224" spans="1:6" ht="16.5" customHeight="1">
      <c r="A224" s="46"/>
      <c r="F224" s="167"/>
    </row>
    <row r="225" spans="1:6" ht="16.5" customHeight="1">
      <c r="A225" s="46"/>
      <c r="F225" s="167"/>
    </row>
    <row r="226" spans="1:6" ht="16.5" customHeight="1">
      <c r="A226" s="46"/>
      <c r="F226" s="167"/>
    </row>
    <row r="227" spans="1:6" ht="16.5" customHeight="1">
      <c r="A227" s="46"/>
      <c r="F227" s="167"/>
    </row>
    <row r="228" spans="1:6" ht="16.5" customHeight="1">
      <c r="A228" s="46"/>
      <c r="F228" s="167"/>
    </row>
    <row r="229" spans="1:6" ht="16.5" customHeight="1">
      <c r="A229" s="46"/>
      <c r="F229" s="167"/>
    </row>
    <row r="230" spans="1:6" ht="16.5" customHeight="1">
      <c r="A230" s="46"/>
      <c r="F230" s="167"/>
    </row>
    <row r="231" spans="1:6" ht="16.5" customHeight="1">
      <c r="A231" s="46"/>
      <c r="F231" s="167"/>
    </row>
    <row r="232" spans="1:6" ht="16.5" customHeight="1">
      <c r="A232" s="46"/>
      <c r="F232" s="167"/>
    </row>
    <row r="233" spans="1:6" ht="16.5" customHeight="1">
      <c r="A233" s="46"/>
      <c r="F233" s="167"/>
    </row>
    <row r="234" spans="1:6" ht="16.5" customHeight="1">
      <c r="A234" s="46"/>
      <c r="F234" s="167"/>
    </row>
    <row r="235" spans="1:6" ht="16.5" customHeight="1">
      <c r="A235" s="46"/>
      <c r="F235" s="167"/>
    </row>
    <row r="236" spans="1:6" ht="16.5" customHeight="1">
      <c r="A236" s="46"/>
      <c r="F236" s="167"/>
    </row>
    <row r="237" spans="1:6" ht="16.5" customHeight="1">
      <c r="A237" s="46"/>
      <c r="F237" s="167"/>
    </row>
    <row r="238" spans="1:6" ht="16.5" customHeight="1">
      <c r="A238" s="46"/>
      <c r="F238" s="167"/>
    </row>
    <row r="239" spans="1:6" ht="16.5" customHeight="1">
      <c r="A239" s="46"/>
      <c r="F239" s="167"/>
    </row>
    <row r="240" spans="1:6" ht="16.5" customHeight="1">
      <c r="A240" s="46"/>
      <c r="F240" s="167"/>
    </row>
    <row r="241" spans="1:6" ht="16.5" customHeight="1">
      <c r="A241" s="46"/>
      <c r="F241" s="167"/>
    </row>
    <row r="242" spans="1:6" ht="16.5" customHeight="1">
      <c r="A242" s="46"/>
      <c r="F242" s="167"/>
    </row>
    <row r="243" spans="1:6" ht="16.5" customHeight="1">
      <c r="A243" s="46"/>
      <c r="F243" s="167"/>
    </row>
    <row r="244" spans="1:6" ht="16.5" customHeight="1">
      <c r="A244" s="46"/>
      <c r="F244" s="167"/>
    </row>
    <row r="245" spans="1:6" ht="16.5" customHeight="1">
      <c r="A245" s="46"/>
      <c r="F245" s="167"/>
    </row>
    <row r="246" spans="1:6" ht="16.5" customHeight="1">
      <c r="A246" s="46"/>
      <c r="F246" s="167"/>
    </row>
    <row r="247" spans="1:6" ht="16.5" customHeight="1">
      <c r="A247" s="46"/>
      <c r="F247" s="167"/>
    </row>
    <row r="248" spans="1:6" ht="16.5" customHeight="1">
      <c r="A248" s="46"/>
      <c r="F248" s="167"/>
    </row>
    <row r="249" spans="1:6" ht="16.5" customHeight="1">
      <c r="A249" s="46"/>
      <c r="F249" s="167"/>
    </row>
    <row r="250" spans="1:6" ht="16.5" customHeight="1">
      <c r="A250" s="46"/>
      <c r="F250" s="167"/>
    </row>
    <row r="251" spans="1:6" ht="16.5" customHeight="1">
      <c r="A251" s="46"/>
      <c r="F251" s="167"/>
    </row>
    <row r="252" spans="1:6" ht="16.5" customHeight="1">
      <c r="A252" s="46"/>
      <c r="F252" s="167"/>
    </row>
    <row r="253" spans="1:6" ht="16.5" customHeight="1">
      <c r="A253" s="46"/>
      <c r="F253" s="167"/>
    </row>
    <row r="254" spans="1:6" ht="16.5" customHeight="1">
      <c r="A254" s="46"/>
      <c r="F254" s="167"/>
    </row>
    <row r="255" spans="1:6" ht="16.5" customHeight="1">
      <c r="A255" s="46"/>
      <c r="F255" s="167"/>
    </row>
    <row r="256" spans="1:6" ht="16.5" customHeight="1">
      <c r="A256" s="46"/>
      <c r="F256" s="167"/>
    </row>
    <row r="257" spans="1:6" ht="16.5" customHeight="1">
      <c r="A257" s="46"/>
      <c r="F257" s="167"/>
    </row>
    <row r="258" spans="1:6" ht="16.5" customHeight="1">
      <c r="A258" s="46"/>
      <c r="F258" s="167"/>
    </row>
    <row r="259" spans="1:6" ht="16.5" customHeight="1">
      <c r="A259" s="46"/>
      <c r="F259" s="167"/>
    </row>
    <row r="260" spans="1:6" ht="16.5" customHeight="1">
      <c r="A260" s="46"/>
      <c r="F260" s="167"/>
    </row>
    <row r="261" spans="1:6" ht="16.5" customHeight="1">
      <c r="A261" s="46"/>
      <c r="F261" s="167"/>
    </row>
    <row r="262" spans="1:6" ht="16.5" customHeight="1">
      <c r="A262" s="46"/>
      <c r="F262" s="167"/>
    </row>
    <row r="263" spans="1:6" ht="16.5" customHeight="1">
      <c r="A263" s="46"/>
      <c r="F263" s="167"/>
    </row>
    <row r="264" spans="1:6" ht="16.5" customHeight="1">
      <c r="A264" s="46"/>
      <c r="F264" s="167"/>
    </row>
    <row r="265" spans="1:6" ht="16.5" customHeight="1">
      <c r="A265" s="46"/>
      <c r="F265" s="167"/>
    </row>
    <row r="266" spans="1:6" ht="16.5" customHeight="1">
      <c r="A266" s="46"/>
      <c r="F266" s="167"/>
    </row>
    <row r="267" spans="1:6" ht="16.5" customHeight="1">
      <c r="A267" s="46"/>
      <c r="F267" s="167"/>
    </row>
    <row r="268" spans="1:6" ht="16.5" customHeight="1">
      <c r="A268" s="46"/>
      <c r="F268" s="167"/>
    </row>
    <row r="269" spans="1:6" ht="16.5" customHeight="1">
      <c r="A269" s="46"/>
      <c r="F269" s="167"/>
    </row>
    <row r="270" spans="1:6" ht="16.5" customHeight="1">
      <c r="A270" s="46"/>
      <c r="F270" s="167"/>
    </row>
    <row r="271" spans="1:6" ht="16.5" customHeight="1">
      <c r="A271" s="46"/>
      <c r="F271" s="167"/>
    </row>
    <row r="272" spans="1:6" ht="16.5" customHeight="1">
      <c r="A272" s="46"/>
      <c r="F272" s="167"/>
    </row>
    <row r="273" spans="1:6" ht="16.5" customHeight="1">
      <c r="A273" s="46"/>
      <c r="F273" s="167"/>
    </row>
    <row r="274" spans="1:6" ht="16.5" customHeight="1">
      <c r="A274" s="46"/>
      <c r="F274" s="167"/>
    </row>
    <row r="275" spans="1:6" ht="16.5" customHeight="1">
      <c r="A275" s="46"/>
      <c r="F275" s="167"/>
    </row>
    <row r="276" spans="1:6" ht="16.5" customHeight="1">
      <c r="A276" s="46"/>
      <c r="F276" s="167"/>
    </row>
    <row r="277" spans="1:6" ht="16.5" customHeight="1">
      <c r="A277" s="46"/>
      <c r="F277" s="167"/>
    </row>
    <row r="278" spans="1:6" ht="16.5" customHeight="1">
      <c r="A278" s="46"/>
      <c r="F278" s="167"/>
    </row>
    <row r="279" spans="1:6" ht="16.5" customHeight="1">
      <c r="A279" s="46"/>
      <c r="F279" s="167"/>
    </row>
    <row r="280" spans="1:6" ht="16.5" customHeight="1">
      <c r="A280" s="46"/>
      <c r="F280" s="167"/>
    </row>
    <row r="281" spans="1:6" ht="16.5" customHeight="1">
      <c r="A281" s="46"/>
      <c r="F281" s="167"/>
    </row>
    <row r="282" spans="1:6" ht="16.5" customHeight="1">
      <c r="A282" s="46"/>
      <c r="F282" s="167"/>
    </row>
    <row r="283" spans="1:6" ht="16.5" customHeight="1">
      <c r="A283" s="46"/>
      <c r="F283" s="167"/>
    </row>
    <row r="284" spans="1:6" ht="16.5" customHeight="1">
      <c r="A284" s="46"/>
      <c r="F284" s="167"/>
    </row>
    <row r="285" spans="1:6" ht="16.5" customHeight="1">
      <c r="A285" s="46"/>
      <c r="F285" s="167"/>
    </row>
    <row r="286" spans="1:6" ht="16.5" customHeight="1">
      <c r="A286" s="46"/>
      <c r="F286" s="167"/>
    </row>
    <row r="287" spans="1:6" ht="16.5" customHeight="1">
      <c r="A287" s="46"/>
      <c r="F287" s="167"/>
    </row>
    <row r="288" spans="1:6" ht="16.5" customHeight="1">
      <c r="A288" s="46"/>
      <c r="F288" s="167"/>
    </row>
    <row r="289" spans="1:6" ht="16.5" customHeight="1">
      <c r="A289" s="46"/>
      <c r="F289" s="167"/>
    </row>
    <row r="290" spans="1:6" ht="16.5" customHeight="1">
      <c r="A290" s="46"/>
      <c r="F290" s="167"/>
    </row>
    <row r="291" spans="1:6" ht="16.5" customHeight="1">
      <c r="A291" s="46"/>
      <c r="F291" s="167"/>
    </row>
    <row r="292" spans="1:6" ht="16.5" customHeight="1">
      <c r="A292" s="46"/>
      <c r="F292" s="167"/>
    </row>
    <row r="293" spans="1:6" ht="16.5" customHeight="1">
      <c r="A293" s="46"/>
      <c r="F293" s="167"/>
    </row>
    <row r="294" spans="1:6" ht="16.5" customHeight="1">
      <c r="A294" s="46"/>
      <c r="F294" s="167"/>
    </row>
    <row r="295" spans="1:6" ht="16.5" customHeight="1">
      <c r="A295" s="46"/>
      <c r="F295" s="167"/>
    </row>
    <row r="296" spans="1:6" ht="16.5" customHeight="1">
      <c r="A296" s="46"/>
      <c r="F296" s="167"/>
    </row>
    <row r="297" spans="1:6" ht="16.5" customHeight="1">
      <c r="A297" s="46"/>
      <c r="F297" s="167"/>
    </row>
    <row r="298" spans="1:6" ht="16.5" customHeight="1">
      <c r="A298" s="46"/>
      <c r="F298" s="167"/>
    </row>
    <row r="299" spans="1:6" ht="16.5" customHeight="1">
      <c r="A299" s="46"/>
      <c r="F299" s="167"/>
    </row>
    <row r="300" spans="1:6" ht="16.5" customHeight="1">
      <c r="A300" s="46"/>
      <c r="F300" s="167"/>
    </row>
    <row r="301" spans="1:6" ht="16.5" customHeight="1">
      <c r="A301" s="46"/>
      <c r="F301" s="167"/>
    </row>
    <row r="302" spans="1:6" ht="16.5" customHeight="1">
      <c r="A302" s="46"/>
      <c r="F302" s="167"/>
    </row>
    <row r="303" spans="1:6" ht="16.5" customHeight="1">
      <c r="A303" s="46"/>
      <c r="F303" s="167"/>
    </row>
    <row r="304" spans="1:6" ht="16.5" customHeight="1">
      <c r="A304" s="46"/>
      <c r="F304" s="167"/>
    </row>
    <row r="305" spans="1:6" ht="16.5" customHeight="1">
      <c r="A305" s="46"/>
      <c r="F305" s="167"/>
    </row>
    <row r="306" spans="1:6" ht="16.5" customHeight="1">
      <c r="A306" s="46"/>
      <c r="F306" s="167"/>
    </row>
    <row r="307" spans="1:6" ht="16.5" customHeight="1">
      <c r="A307" s="46"/>
      <c r="F307" s="167"/>
    </row>
    <row r="308" spans="1:6" ht="16.5" customHeight="1">
      <c r="A308" s="46"/>
      <c r="F308" s="167"/>
    </row>
    <row r="309" spans="1:6" ht="16.5" customHeight="1">
      <c r="A309" s="46"/>
      <c r="F309" s="167"/>
    </row>
    <row r="310" spans="1:6" ht="16.5" customHeight="1">
      <c r="A310" s="46"/>
      <c r="F310" s="167"/>
    </row>
    <row r="311" spans="1:6" ht="16.5" customHeight="1">
      <c r="A311" s="46"/>
      <c r="F311" s="167"/>
    </row>
    <row r="312" spans="1:6" ht="16.5" customHeight="1">
      <c r="A312" s="46"/>
      <c r="F312" s="167"/>
    </row>
    <row r="313" spans="1:6" ht="16.5" customHeight="1">
      <c r="A313" s="46"/>
      <c r="F313" s="167"/>
    </row>
    <row r="314" spans="1:6" ht="16.5" customHeight="1">
      <c r="A314" s="46"/>
      <c r="F314" s="167"/>
    </row>
    <row r="315" spans="1:6" ht="16.5" customHeight="1">
      <c r="A315" s="46"/>
      <c r="F315" s="167"/>
    </row>
    <row r="316" spans="1:6" ht="16.5" customHeight="1">
      <c r="A316" s="46"/>
      <c r="F316" s="167"/>
    </row>
    <row r="317" spans="1:6" ht="16.5" customHeight="1">
      <c r="A317" s="46"/>
      <c r="F317" s="167"/>
    </row>
    <row r="318" spans="1:6" ht="16.5" customHeight="1">
      <c r="A318" s="46"/>
      <c r="F318" s="167"/>
    </row>
    <row r="319" spans="1:6" ht="16.5" customHeight="1">
      <c r="A319" s="46"/>
      <c r="F319" s="167"/>
    </row>
    <row r="320" spans="1:6" ht="16.5" customHeight="1">
      <c r="A320" s="46"/>
      <c r="F320" s="167"/>
    </row>
    <row r="321" spans="1:6" ht="16.5" customHeight="1">
      <c r="A321" s="46"/>
      <c r="F321" s="167"/>
    </row>
    <row r="322" spans="1:6" ht="16.5" customHeight="1">
      <c r="A322" s="46"/>
      <c r="F322" s="167"/>
    </row>
    <row r="323" spans="1:6" ht="16.5" customHeight="1">
      <c r="A323" s="46"/>
      <c r="F323" s="167"/>
    </row>
    <row r="324" spans="1:6" ht="16.5" customHeight="1">
      <c r="A324" s="46"/>
      <c r="F324" s="167"/>
    </row>
    <row r="325" spans="1:6" ht="16.5" customHeight="1">
      <c r="A325" s="46"/>
      <c r="F325" s="167"/>
    </row>
    <row r="326" spans="1:6" ht="16.5" customHeight="1">
      <c r="A326" s="46"/>
      <c r="F326" s="167"/>
    </row>
    <row r="327" spans="1:6" ht="16.5" customHeight="1">
      <c r="A327" s="46"/>
      <c r="F327" s="167"/>
    </row>
    <row r="328" spans="1:6" ht="16.5" customHeight="1">
      <c r="A328" s="46"/>
      <c r="F328" s="167"/>
    </row>
    <row r="329" spans="1:6" ht="16.5" customHeight="1">
      <c r="A329" s="46"/>
      <c r="F329" s="167"/>
    </row>
    <row r="330" spans="1:6" ht="16.5" customHeight="1">
      <c r="A330" s="46"/>
      <c r="F330" s="167"/>
    </row>
    <row r="331" spans="1:6" ht="16.5" customHeight="1">
      <c r="A331" s="46"/>
      <c r="F331" s="167"/>
    </row>
    <row r="332" spans="1:6" ht="16.5" customHeight="1">
      <c r="A332" s="46"/>
      <c r="F332" s="167"/>
    </row>
    <row r="333" spans="1:6" ht="16.5" customHeight="1">
      <c r="A333" s="46"/>
      <c r="F333" s="167"/>
    </row>
    <row r="334" spans="1:6" ht="16.5" customHeight="1">
      <c r="A334" s="46"/>
      <c r="F334" s="167"/>
    </row>
    <row r="335" spans="1:6" ht="16.5" customHeight="1">
      <c r="A335" s="46"/>
      <c r="F335" s="167"/>
    </row>
    <row r="336" spans="1:6" ht="16.5" customHeight="1">
      <c r="A336" s="46"/>
      <c r="F336" s="167"/>
    </row>
    <row r="337" spans="1:6" ht="16.5" customHeight="1">
      <c r="A337" s="46"/>
      <c r="F337" s="167"/>
    </row>
    <row r="338" spans="1:6" ht="16.5" customHeight="1">
      <c r="A338" s="46"/>
      <c r="F338" s="167"/>
    </row>
    <row r="339" spans="1:6" ht="16.5" customHeight="1">
      <c r="A339" s="46"/>
      <c r="F339" s="167"/>
    </row>
    <row r="340" spans="1:6" ht="16.5" customHeight="1">
      <c r="A340" s="46"/>
      <c r="F340" s="167"/>
    </row>
    <row r="341" spans="1:6" ht="16.5" customHeight="1">
      <c r="A341" s="46"/>
      <c r="F341" s="167"/>
    </row>
    <row r="342" spans="1:6" ht="16.5" customHeight="1">
      <c r="A342" s="46"/>
      <c r="F342" s="167"/>
    </row>
    <row r="343" spans="1:6" ht="16.5" customHeight="1">
      <c r="A343" s="46"/>
      <c r="F343" s="167"/>
    </row>
    <row r="344" spans="1:6" ht="16.5" customHeight="1">
      <c r="A344" s="46"/>
      <c r="F344" s="167"/>
    </row>
    <row r="345" spans="1:6" ht="16.5" customHeight="1">
      <c r="A345" s="46"/>
      <c r="F345" s="167"/>
    </row>
    <row r="346" spans="1:6" ht="16.5" customHeight="1">
      <c r="A346" s="46"/>
      <c r="F346" s="167"/>
    </row>
    <row r="347" spans="1:6" ht="16.5" customHeight="1">
      <c r="A347" s="46"/>
      <c r="F347" s="167"/>
    </row>
    <row r="348" spans="1:6" ht="16.5" customHeight="1">
      <c r="A348" s="46"/>
      <c r="F348" s="167"/>
    </row>
    <row r="349" spans="1:6" ht="16.5" customHeight="1">
      <c r="A349" s="46"/>
      <c r="F349" s="167"/>
    </row>
    <row r="350" spans="1:6" ht="16.5" customHeight="1">
      <c r="A350" s="46"/>
      <c r="F350" s="167"/>
    </row>
    <row r="351" spans="1:6" ht="16.5" customHeight="1">
      <c r="A351" s="46"/>
      <c r="F351" s="167"/>
    </row>
    <row r="352" spans="1:6" ht="16.5" customHeight="1">
      <c r="A352" s="46"/>
      <c r="F352" s="167"/>
    </row>
    <row r="353" spans="1:6" ht="16.5" customHeight="1">
      <c r="A353" s="46"/>
      <c r="F353" s="167"/>
    </row>
    <row r="354" spans="1:6" ht="16.5" customHeight="1">
      <c r="A354" s="46"/>
      <c r="F354" s="167"/>
    </row>
    <row r="355" spans="1:6" ht="16.5" customHeight="1">
      <c r="A355" s="46"/>
      <c r="F355" s="167"/>
    </row>
    <row r="356" spans="1:6" ht="16.5" customHeight="1">
      <c r="A356" s="46"/>
      <c r="F356" s="167"/>
    </row>
    <row r="357" spans="1:6" ht="16.5" customHeight="1">
      <c r="A357" s="46"/>
      <c r="F357" s="167"/>
    </row>
    <row r="358" spans="1:6" ht="16.5" customHeight="1">
      <c r="A358" s="46"/>
      <c r="F358" s="167"/>
    </row>
    <row r="359" spans="1:6" ht="16.5" customHeight="1">
      <c r="A359" s="46"/>
      <c r="F359" s="167"/>
    </row>
    <row r="360" spans="1:6" ht="16.5" customHeight="1">
      <c r="A360" s="46"/>
      <c r="F360" s="167"/>
    </row>
    <row r="361" spans="1:6" ht="16.5" customHeight="1">
      <c r="A361" s="46"/>
      <c r="F361" s="167"/>
    </row>
    <row r="362" spans="1:6" ht="16.5" customHeight="1">
      <c r="A362" s="46"/>
      <c r="F362" s="167"/>
    </row>
    <row r="363" spans="1:6" ht="16.5" customHeight="1">
      <c r="A363" s="46"/>
      <c r="F363" s="167"/>
    </row>
    <row r="364" spans="1:6" ht="16.5" customHeight="1">
      <c r="A364" s="46"/>
      <c r="F364" s="167"/>
    </row>
    <row r="365" spans="1:6" ht="16.5" customHeight="1">
      <c r="A365" s="46"/>
      <c r="F365" s="167"/>
    </row>
    <row r="366" spans="1:6" ht="16.5" customHeight="1">
      <c r="A366" s="46"/>
      <c r="F366" s="167"/>
    </row>
    <row r="367" spans="1:6" ht="16.5" customHeight="1">
      <c r="A367" s="46"/>
      <c r="F367" s="167"/>
    </row>
    <row r="368" spans="1:6" ht="16.5" customHeight="1">
      <c r="A368" s="46"/>
      <c r="F368" s="167"/>
    </row>
    <row r="369" spans="1:6" ht="16.5" customHeight="1">
      <c r="A369" s="46"/>
      <c r="F369" s="167"/>
    </row>
    <row r="370" spans="1:6" ht="16.5" customHeight="1">
      <c r="A370" s="46"/>
      <c r="F370" s="167"/>
    </row>
    <row r="371" spans="1:6" ht="16.5" customHeight="1">
      <c r="A371" s="46"/>
      <c r="F371" s="167"/>
    </row>
    <row r="372" spans="1:6" ht="16.5" customHeight="1">
      <c r="A372" s="46"/>
      <c r="F372" s="167"/>
    </row>
    <row r="373" spans="1:6" ht="16.5" customHeight="1">
      <c r="A373" s="46"/>
      <c r="F373" s="167"/>
    </row>
    <row r="374" spans="1:6" ht="16.5" customHeight="1">
      <c r="A374" s="46"/>
      <c r="F374" s="167"/>
    </row>
    <row r="375" spans="1:6" ht="16.5" customHeight="1">
      <c r="A375" s="46"/>
      <c r="F375" s="167"/>
    </row>
    <row r="376" spans="1:6" ht="16.5" customHeight="1">
      <c r="A376" s="46"/>
      <c r="F376" s="167"/>
    </row>
    <row r="377" spans="1:6" ht="16.5" customHeight="1">
      <c r="A377" s="46"/>
      <c r="F377" s="167"/>
    </row>
    <row r="378" spans="1:6" ht="16.5" customHeight="1">
      <c r="A378" s="46"/>
      <c r="F378" s="167"/>
    </row>
    <row r="379" spans="1:6" ht="16.5" customHeight="1">
      <c r="A379" s="46"/>
      <c r="F379" s="167"/>
    </row>
    <row r="380" spans="1:6" ht="16.5" customHeight="1">
      <c r="A380" s="46"/>
      <c r="F380" s="167"/>
    </row>
    <row r="381" spans="1:6" ht="16.5" customHeight="1">
      <c r="A381" s="46"/>
      <c r="F381" s="167"/>
    </row>
    <row r="382" spans="1:6" ht="16.5" customHeight="1">
      <c r="A382" s="46"/>
      <c r="F382" s="167"/>
    </row>
    <row r="383" spans="1:6" ht="16.5" customHeight="1">
      <c r="A383" s="46"/>
      <c r="F383" s="167"/>
    </row>
    <row r="384" spans="1:6" ht="16.5" customHeight="1">
      <c r="A384" s="46"/>
      <c r="F384" s="167"/>
    </row>
    <row r="385" spans="1:6" ht="16.5" customHeight="1">
      <c r="A385" s="46"/>
      <c r="F385" s="167"/>
    </row>
    <row r="386" spans="1:6" ht="16.5" customHeight="1">
      <c r="A386" s="46"/>
      <c r="F386" s="167"/>
    </row>
    <row r="387" spans="1:6" ht="16.5" customHeight="1">
      <c r="A387" s="46"/>
      <c r="F387" s="167"/>
    </row>
    <row r="388" spans="1:6" ht="16.5" customHeight="1">
      <c r="A388" s="46"/>
      <c r="F388" s="167"/>
    </row>
    <row r="389" spans="1:6" ht="16.5" customHeight="1">
      <c r="A389" s="46"/>
      <c r="F389" s="167"/>
    </row>
    <row r="390" spans="1:6" ht="16.5" customHeight="1">
      <c r="A390" s="46"/>
      <c r="F390" s="167"/>
    </row>
    <row r="391" spans="1:6" ht="16.5" customHeight="1">
      <c r="A391" s="46"/>
      <c r="F391" s="167"/>
    </row>
    <row r="392" spans="1:6" ht="16.5" customHeight="1">
      <c r="A392" s="46"/>
      <c r="F392" s="167"/>
    </row>
    <row r="393" spans="1:6" ht="16.5" customHeight="1">
      <c r="A393" s="46"/>
      <c r="F393" s="167"/>
    </row>
    <row r="394" spans="1:6" ht="16.5" customHeight="1">
      <c r="A394" s="46"/>
      <c r="F394" s="167"/>
    </row>
    <row r="395" spans="1:6" ht="16.5" customHeight="1">
      <c r="A395" s="46"/>
      <c r="F395" s="167"/>
    </row>
    <row r="396" spans="1:6" ht="16.5" customHeight="1">
      <c r="A396" s="46"/>
      <c r="F396" s="167"/>
    </row>
    <row r="397" spans="1:6" ht="16.5" customHeight="1">
      <c r="A397" s="46"/>
      <c r="F397" s="167"/>
    </row>
    <row r="398" spans="1:6" ht="16.5" customHeight="1">
      <c r="A398" s="46"/>
      <c r="F398" s="167"/>
    </row>
    <row r="399" spans="1:6" ht="16.5" customHeight="1">
      <c r="A399" s="46"/>
      <c r="F399" s="167"/>
    </row>
    <row r="400" spans="1:6" ht="16.5" customHeight="1">
      <c r="A400" s="46"/>
      <c r="F400" s="167"/>
    </row>
    <row r="401" spans="1:6" ht="16.5" customHeight="1">
      <c r="A401" s="46"/>
      <c r="F401" s="167"/>
    </row>
    <row r="402" spans="1:6" ht="16.5" customHeight="1">
      <c r="A402" s="46"/>
      <c r="F402" s="167"/>
    </row>
    <row r="403" spans="1:6" ht="16.5" customHeight="1">
      <c r="A403" s="46"/>
      <c r="F403" s="167"/>
    </row>
    <row r="404" spans="1:6" ht="16.5" customHeight="1">
      <c r="A404" s="46"/>
      <c r="F404" s="167"/>
    </row>
    <row r="405" spans="1:6" ht="16.5" customHeight="1">
      <c r="A405" s="46"/>
      <c r="F405" s="167"/>
    </row>
    <row r="406" spans="1:6" ht="16.5" customHeight="1">
      <c r="A406" s="46"/>
      <c r="F406" s="167"/>
    </row>
    <row r="407" spans="1:6" ht="16.5" customHeight="1">
      <c r="A407" s="46"/>
      <c r="F407" s="167"/>
    </row>
    <row r="408" spans="1:6" ht="16.5" customHeight="1">
      <c r="A408" s="46"/>
      <c r="F408" s="167"/>
    </row>
    <row r="409" spans="1:6" ht="16.5" customHeight="1">
      <c r="A409" s="46"/>
      <c r="F409" s="167"/>
    </row>
    <row r="410" spans="1:6" ht="16.5" customHeight="1">
      <c r="A410" s="46"/>
      <c r="F410" s="167"/>
    </row>
    <row r="411" spans="1:6" ht="16.5" customHeight="1">
      <c r="A411" s="46"/>
      <c r="F411" s="167"/>
    </row>
    <row r="412" spans="1:6" ht="16.5" customHeight="1">
      <c r="A412" s="46"/>
      <c r="F412" s="167"/>
    </row>
    <row r="413" spans="1:6" ht="16.5" customHeight="1">
      <c r="A413" s="46"/>
      <c r="F413" s="167"/>
    </row>
    <row r="414" spans="1:6" ht="16.5" customHeight="1">
      <c r="A414" s="46"/>
      <c r="F414" s="167"/>
    </row>
    <row r="415" spans="1:6" ht="16.5" customHeight="1">
      <c r="A415" s="46"/>
      <c r="F415" s="167"/>
    </row>
    <row r="416" spans="1:6" ht="16.5" customHeight="1">
      <c r="A416" s="46"/>
      <c r="F416" s="167"/>
    </row>
    <row r="417" spans="1:6" ht="16.5" customHeight="1">
      <c r="A417" s="46"/>
      <c r="F417" s="167"/>
    </row>
    <row r="418" spans="1:6" ht="16.5" customHeight="1">
      <c r="A418" s="46"/>
      <c r="F418" s="167"/>
    </row>
    <row r="419" spans="1:6" ht="16.5" customHeight="1">
      <c r="A419" s="46"/>
      <c r="F419" s="167"/>
    </row>
    <row r="420" spans="1:6" ht="16.5" customHeight="1">
      <c r="A420" s="46"/>
      <c r="F420" s="167"/>
    </row>
    <row r="421" spans="1:6" ht="16.5" customHeight="1">
      <c r="A421" s="46"/>
      <c r="F421" s="167"/>
    </row>
    <row r="422" spans="1:6" ht="16.5" customHeight="1">
      <c r="A422" s="46"/>
      <c r="F422" s="167"/>
    </row>
    <row r="423" spans="1:6" ht="16.5" customHeight="1">
      <c r="A423" s="46"/>
      <c r="F423" s="167"/>
    </row>
    <row r="424" spans="1:6" ht="16.5" customHeight="1">
      <c r="A424" s="46"/>
      <c r="F424" s="167"/>
    </row>
    <row r="425" spans="1:6" ht="16.5" customHeight="1">
      <c r="A425" s="46"/>
      <c r="F425" s="167"/>
    </row>
    <row r="426" spans="1:6" ht="16.5" customHeight="1">
      <c r="A426" s="46"/>
      <c r="F426" s="167"/>
    </row>
    <row r="427" spans="1:6" ht="16.5" customHeight="1">
      <c r="A427" s="46"/>
      <c r="F427" s="167"/>
    </row>
    <row r="428" spans="1:6" ht="16.5" customHeight="1">
      <c r="A428" s="46"/>
      <c r="F428" s="167"/>
    </row>
    <row r="429" spans="1:6" ht="16.5" customHeight="1">
      <c r="A429" s="46"/>
      <c r="F429" s="167"/>
    </row>
    <row r="430" spans="1:6" ht="16.5" customHeight="1">
      <c r="A430" s="46"/>
      <c r="F430" s="167"/>
    </row>
    <row r="431" spans="1:6" ht="16.5" customHeight="1">
      <c r="A431" s="46"/>
      <c r="F431" s="167"/>
    </row>
    <row r="432" spans="1:6" ht="16.5" customHeight="1">
      <c r="A432" s="46"/>
      <c r="F432" s="167"/>
    </row>
    <row r="433" spans="1:6" ht="16.5" customHeight="1">
      <c r="A433" s="46"/>
      <c r="F433" s="167"/>
    </row>
    <row r="434" spans="1:6" ht="16.5" customHeight="1">
      <c r="A434" s="46"/>
      <c r="F434" s="167"/>
    </row>
    <row r="435" spans="1:6" ht="16.5" customHeight="1">
      <c r="A435" s="46"/>
      <c r="F435" s="167"/>
    </row>
    <row r="436" spans="1:6" ht="16.5" customHeight="1">
      <c r="A436" s="46"/>
      <c r="F436" s="167"/>
    </row>
    <row r="437" spans="1:6" ht="16.5" customHeight="1">
      <c r="A437" s="46"/>
      <c r="F437" s="167"/>
    </row>
    <row r="438" spans="1:6" ht="16.5" customHeight="1">
      <c r="A438" s="46"/>
      <c r="F438" s="167"/>
    </row>
    <row r="439" spans="1:6" ht="16.5" customHeight="1">
      <c r="A439" s="46"/>
      <c r="F439" s="167"/>
    </row>
    <row r="440" spans="1:6" ht="16.5" customHeight="1">
      <c r="A440" s="46"/>
      <c r="F440" s="167"/>
    </row>
    <row r="441" spans="1:6" ht="16.5" customHeight="1">
      <c r="A441" s="46"/>
      <c r="F441" s="167"/>
    </row>
    <row r="442" spans="1:6" ht="16.5" customHeight="1">
      <c r="A442" s="46"/>
      <c r="F442" s="167"/>
    </row>
    <row r="443" spans="1:6" ht="16.5" customHeight="1">
      <c r="A443" s="46"/>
      <c r="F443" s="167"/>
    </row>
    <row r="444" spans="1:6" ht="16.5" customHeight="1">
      <c r="A444" s="46"/>
      <c r="F444" s="167"/>
    </row>
    <row r="445" spans="1:6" ht="16.5" customHeight="1">
      <c r="A445" s="46"/>
      <c r="F445" s="167"/>
    </row>
    <row r="446" spans="1:6" ht="16.5" customHeight="1">
      <c r="A446" s="46"/>
      <c r="F446" s="167"/>
    </row>
    <row r="447" spans="1:6" ht="16.5" customHeight="1">
      <c r="A447" s="46"/>
      <c r="F447" s="167"/>
    </row>
    <row r="448" spans="1:6" ht="16.5" customHeight="1">
      <c r="A448" s="46"/>
      <c r="F448" s="167"/>
    </row>
    <row r="449" spans="1:6" ht="16.5" customHeight="1">
      <c r="A449" s="46"/>
      <c r="F449" s="167"/>
    </row>
    <row r="450" spans="1:6" ht="16.5" customHeight="1">
      <c r="A450" s="46"/>
      <c r="F450" s="167"/>
    </row>
    <row r="451" spans="1:6" ht="16.5" customHeight="1">
      <c r="A451" s="46"/>
      <c r="F451" s="167"/>
    </row>
    <row r="452" spans="1:6" ht="16.5" customHeight="1">
      <c r="A452" s="46"/>
      <c r="F452" s="167"/>
    </row>
    <row r="453" spans="1:6" ht="16.5" customHeight="1">
      <c r="A453" s="46"/>
      <c r="F453" s="167"/>
    </row>
    <row r="454" spans="1:6" ht="16.5" customHeight="1">
      <c r="A454" s="46"/>
      <c r="F454" s="167"/>
    </row>
    <row r="455" spans="1:6" ht="16.5" customHeight="1">
      <c r="A455" s="46"/>
      <c r="F455" s="167"/>
    </row>
    <row r="456" spans="1:6" ht="16.5" customHeight="1">
      <c r="A456" s="46"/>
      <c r="F456" s="167"/>
    </row>
    <row r="457" spans="1:6" ht="16.5" customHeight="1">
      <c r="A457" s="46"/>
      <c r="F457" s="167"/>
    </row>
    <row r="458" spans="1:6" ht="16.5" customHeight="1">
      <c r="A458" s="46"/>
      <c r="F458" s="167"/>
    </row>
    <row r="459" spans="1:6" ht="16.5" customHeight="1">
      <c r="A459" s="46"/>
      <c r="F459" s="167"/>
    </row>
    <row r="460" spans="1:6" ht="16.5" customHeight="1">
      <c r="A460" s="46"/>
      <c r="F460" s="167"/>
    </row>
    <row r="461" spans="1:6" ht="16.5" customHeight="1">
      <c r="A461" s="46"/>
      <c r="F461" s="167"/>
    </row>
    <row r="462" spans="1:6" ht="16.5" customHeight="1">
      <c r="A462" s="46"/>
      <c r="F462" s="167"/>
    </row>
    <row r="463" spans="1:6" ht="16.5" customHeight="1">
      <c r="A463" s="46"/>
      <c r="F463" s="167"/>
    </row>
    <row r="464" spans="1:6" ht="16.5" customHeight="1">
      <c r="A464" s="46"/>
      <c r="F464" s="167"/>
    </row>
    <row r="465" spans="1:6" ht="16.5" customHeight="1">
      <c r="A465" s="46"/>
      <c r="F465" s="167"/>
    </row>
    <row r="466" spans="1:6" ht="16.5" customHeight="1">
      <c r="A466" s="46"/>
      <c r="F466" s="167"/>
    </row>
    <row r="467" spans="1:6" ht="16.5" customHeight="1">
      <c r="A467" s="46"/>
      <c r="F467" s="167"/>
    </row>
    <row r="468" spans="1:6" ht="16.5" customHeight="1">
      <c r="A468" s="46"/>
      <c r="F468" s="167"/>
    </row>
    <row r="469" spans="1:6" ht="16.5" customHeight="1">
      <c r="A469" s="46"/>
      <c r="F469" s="167"/>
    </row>
    <row r="470" spans="1:6" ht="16.5" customHeight="1">
      <c r="A470" s="46"/>
      <c r="F470" s="167"/>
    </row>
    <row r="471" spans="1:6" ht="16.5" customHeight="1">
      <c r="A471" s="46"/>
      <c r="F471" s="167"/>
    </row>
    <row r="472" spans="1:6" ht="16.5" customHeight="1">
      <c r="A472" s="46"/>
      <c r="F472" s="167"/>
    </row>
    <row r="473" spans="1:6" ht="16.5" customHeight="1">
      <c r="A473" s="46"/>
      <c r="F473" s="167"/>
    </row>
    <row r="474" spans="1:6" ht="16.5" customHeight="1">
      <c r="A474" s="46"/>
      <c r="F474" s="167"/>
    </row>
    <row r="475" spans="1:6" ht="16.5" customHeight="1">
      <c r="A475" s="46"/>
      <c r="F475" s="167"/>
    </row>
    <row r="476" spans="1:6" ht="16.5" customHeight="1">
      <c r="A476" s="46"/>
      <c r="F476" s="167"/>
    </row>
    <row r="477" spans="1:6" ht="16.5" customHeight="1">
      <c r="A477" s="46"/>
      <c r="F477" s="167"/>
    </row>
    <row r="478" spans="1:6" ht="16.5" customHeight="1">
      <c r="A478" s="46"/>
      <c r="F478" s="167"/>
    </row>
    <row r="479" spans="1:6" ht="16.5" customHeight="1">
      <c r="A479" s="46"/>
      <c r="F479" s="167"/>
    </row>
    <row r="480" spans="1:6" ht="16.5" customHeight="1">
      <c r="A480" s="46"/>
      <c r="F480" s="167"/>
    </row>
    <row r="481" spans="1:6" ht="16.5" customHeight="1">
      <c r="A481" s="46"/>
      <c r="F481" s="167"/>
    </row>
    <row r="482" spans="1:6" ht="16.5" customHeight="1">
      <c r="A482" s="46"/>
      <c r="F482" s="167"/>
    </row>
    <row r="483" spans="1:6" ht="16.5" customHeight="1">
      <c r="A483" s="46"/>
      <c r="F483" s="167"/>
    </row>
    <row r="484" spans="1:6" ht="16.5" customHeight="1">
      <c r="A484" s="46"/>
      <c r="F484" s="167"/>
    </row>
    <row r="485" spans="1:6" ht="16.5" customHeight="1">
      <c r="A485" s="46"/>
      <c r="F485" s="167"/>
    </row>
    <row r="486" spans="1:6" ht="16.5" customHeight="1">
      <c r="A486" s="46"/>
      <c r="F486" s="167"/>
    </row>
    <row r="487" spans="1:6" ht="16.5" customHeight="1">
      <c r="A487" s="46"/>
      <c r="F487" s="167"/>
    </row>
    <row r="488" spans="1:6" ht="16.5" customHeight="1">
      <c r="A488" s="46"/>
      <c r="F488" s="167"/>
    </row>
    <row r="489" spans="1:6" ht="16.5" customHeight="1">
      <c r="A489" s="46"/>
      <c r="F489" s="167"/>
    </row>
    <row r="490" spans="1:6" ht="16.5" customHeight="1">
      <c r="A490" s="46"/>
      <c r="F490" s="167"/>
    </row>
    <row r="491" spans="1:6" ht="16.5" customHeight="1">
      <c r="A491" s="46"/>
      <c r="F491" s="167"/>
    </row>
    <row r="492" spans="1:6" ht="16.5" customHeight="1">
      <c r="A492" s="46"/>
      <c r="F492" s="167"/>
    </row>
    <row r="493" spans="1:6" ht="16.5" customHeight="1">
      <c r="A493" s="46"/>
      <c r="F493" s="167"/>
    </row>
    <row r="494" spans="1:6" ht="16.5" customHeight="1">
      <c r="A494" s="46"/>
      <c r="F494" s="167"/>
    </row>
    <row r="495" spans="1:6" ht="16.5" customHeight="1">
      <c r="A495" s="46"/>
      <c r="F495" s="167"/>
    </row>
    <row r="496" spans="1:6" ht="16.5" customHeight="1">
      <c r="A496" s="46"/>
      <c r="F496" s="167"/>
    </row>
    <row r="497" spans="1:6" ht="16.5" customHeight="1">
      <c r="A497" s="46"/>
      <c r="F497" s="167"/>
    </row>
    <row r="498" spans="1:6" ht="16.5" customHeight="1">
      <c r="A498" s="46"/>
      <c r="F498" s="167"/>
    </row>
    <row r="499" spans="1:6" ht="16.5" customHeight="1">
      <c r="A499" s="46"/>
      <c r="F499" s="167"/>
    </row>
    <row r="500" spans="1:6" ht="16.5" customHeight="1">
      <c r="A500" s="46"/>
      <c r="F500" s="167"/>
    </row>
    <row r="501" spans="1:6" ht="16.5" customHeight="1">
      <c r="A501" s="46"/>
      <c r="F501" s="167"/>
    </row>
    <row r="502" spans="1:6" ht="16.5" customHeight="1">
      <c r="A502" s="46"/>
      <c r="F502" s="167"/>
    </row>
    <row r="503" spans="1:6" ht="16.5" customHeight="1">
      <c r="A503" s="46"/>
      <c r="F503" s="167"/>
    </row>
    <row r="504" spans="1:6" ht="16.5" customHeight="1">
      <c r="A504" s="46"/>
      <c r="F504" s="167"/>
    </row>
    <row r="505" spans="1:6" ht="16.5" customHeight="1">
      <c r="A505" s="46"/>
      <c r="F505" s="167"/>
    </row>
    <row r="506" spans="1:6" ht="16.5" customHeight="1">
      <c r="A506" s="46"/>
      <c r="F506" s="167"/>
    </row>
    <row r="507" spans="1:6" ht="16.5" customHeight="1">
      <c r="A507" s="46"/>
      <c r="F507" s="167"/>
    </row>
    <row r="508" spans="1:6" ht="16.5" customHeight="1">
      <c r="A508" s="46"/>
      <c r="F508" s="167"/>
    </row>
    <row r="509" spans="1:6" ht="16.5" customHeight="1">
      <c r="A509" s="46"/>
      <c r="F509" s="167"/>
    </row>
    <row r="510" spans="1:6" ht="16.5" customHeight="1">
      <c r="A510" s="46"/>
      <c r="F510" s="167"/>
    </row>
    <row r="511" spans="1:6" ht="16.5" customHeight="1">
      <c r="A511" s="46"/>
      <c r="F511" s="167"/>
    </row>
    <row r="512" spans="1:6" ht="16.5" customHeight="1">
      <c r="A512" s="46"/>
      <c r="F512" s="167"/>
    </row>
    <row r="513" spans="1:6" ht="16.5" customHeight="1">
      <c r="A513" s="46"/>
      <c r="F513" s="167"/>
    </row>
    <row r="514" spans="1:6" ht="16.5" customHeight="1">
      <c r="A514" s="46"/>
      <c r="F514" s="167"/>
    </row>
    <row r="515" spans="1:6" ht="16.5" customHeight="1">
      <c r="A515" s="46"/>
      <c r="F515" s="167"/>
    </row>
    <row r="516" spans="1:6" ht="16.5" customHeight="1">
      <c r="A516" s="46"/>
      <c r="F516" s="167"/>
    </row>
    <row r="517" spans="1:6" ht="16.5" customHeight="1">
      <c r="A517" s="46"/>
      <c r="F517" s="167"/>
    </row>
    <row r="518" spans="1:6" ht="16.5" customHeight="1">
      <c r="A518" s="46"/>
      <c r="F518" s="167"/>
    </row>
    <row r="519" spans="1:6" ht="16.5" customHeight="1">
      <c r="A519" s="46"/>
      <c r="F519" s="167"/>
    </row>
    <row r="520" spans="1:6" ht="16.5" customHeight="1">
      <c r="A520" s="46"/>
      <c r="F520" s="167"/>
    </row>
    <row r="521" spans="1:6" ht="16.5" customHeight="1">
      <c r="A521" s="46"/>
      <c r="F521" s="167"/>
    </row>
    <row r="522" spans="1:6" ht="16.5" customHeight="1">
      <c r="A522" s="46"/>
      <c r="F522" s="167"/>
    </row>
    <row r="523" spans="1:6" ht="16.5" customHeight="1">
      <c r="A523" s="46"/>
      <c r="F523" s="167"/>
    </row>
    <row r="524" spans="1:6" ht="16.5" customHeight="1">
      <c r="A524" s="46"/>
      <c r="F524" s="167"/>
    </row>
    <row r="525" spans="1:6" ht="16.5" customHeight="1">
      <c r="A525" s="46"/>
      <c r="F525" s="167"/>
    </row>
    <row r="526" spans="1:6" ht="16.5" customHeight="1">
      <c r="A526" s="46"/>
      <c r="F526" s="167"/>
    </row>
    <row r="527" spans="1:6" ht="16.5" customHeight="1">
      <c r="A527" s="46"/>
      <c r="F527" s="167"/>
    </row>
    <row r="528" spans="1:6" ht="16.5" customHeight="1">
      <c r="A528" s="46"/>
      <c r="F528" s="167"/>
    </row>
    <row r="529" spans="1:6" ht="16.5" customHeight="1">
      <c r="A529" s="46"/>
      <c r="F529" s="167"/>
    </row>
    <row r="530" spans="1:6" ht="16.5" customHeight="1">
      <c r="A530" s="46"/>
      <c r="F530" s="167"/>
    </row>
    <row r="531" spans="1:6" ht="16.5" customHeight="1">
      <c r="A531" s="46"/>
      <c r="F531" s="167"/>
    </row>
    <row r="532" spans="1:6" ht="16.5" customHeight="1">
      <c r="A532" s="46"/>
      <c r="F532" s="167"/>
    </row>
    <row r="533" spans="1:6" ht="16.5" customHeight="1">
      <c r="A533" s="46"/>
      <c r="F533" s="167"/>
    </row>
    <row r="534" spans="1:6" ht="16.5" customHeight="1">
      <c r="A534" s="46"/>
      <c r="F534" s="167"/>
    </row>
    <row r="535" spans="1:6" ht="16.5" customHeight="1">
      <c r="A535" s="46"/>
      <c r="F535" s="167"/>
    </row>
    <row r="536" spans="1:6" ht="16.5" customHeight="1">
      <c r="A536" s="46"/>
      <c r="F536" s="167"/>
    </row>
    <row r="537" spans="1:6" ht="16.5" customHeight="1">
      <c r="A537" s="46"/>
      <c r="F537" s="167"/>
    </row>
    <row r="538" spans="1:6" ht="16.5" customHeight="1">
      <c r="A538" s="46"/>
      <c r="F538" s="167"/>
    </row>
    <row r="539" spans="1:6" ht="16.5" customHeight="1">
      <c r="A539" s="46"/>
      <c r="F539" s="167"/>
    </row>
    <row r="540" spans="1:6" ht="16.5" customHeight="1">
      <c r="A540" s="46"/>
      <c r="F540" s="167"/>
    </row>
    <row r="541" spans="1:6" ht="16.5" customHeight="1">
      <c r="A541" s="46"/>
      <c r="F541" s="167"/>
    </row>
    <row r="542" spans="1:6" ht="16.5" customHeight="1">
      <c r="A542" s="46"/>
      <c r="F542" s="167"/>
    </row>
    <row r="543" spans="1:6" ht="16.5" customHeight="1">
      <c r="A543" s="46"/>
      <c r="F543" s="167"/>
    </row>
    <row r="544" spans="1:6" ht="16.5" customHeight="1">
      <c r="A544" s="46"/>
      <c r="F544" s="167"/>
    </row>
    <row r="545" spans="1:6" ht="16.5" customHeight="1">
      <c r="A545" s="46"/>
      <c r="F545" s="167"/>
    </row>
    <row r="546" spans="1:6" ht="16.5" customHeight="1">
      <c r="A546" s="46"/>
      <c r="F546" s="167"/>
    </row>
    <row r="547" spans="1:6" ht="16.5" customHeight="1">
      <c r="A547" s="46"/>
      <c r="F547" s="167"/>
    </row>
    <row r="548" spans="1:6" ht="16.5" customHeight="1">
      <c r="A548" s="46"/>
      <c r="F548" s="167"/>
    </row>
    <row r="549" spans="1:6" ht="16.5" customHeight="1">
      <c r="A549" s="46"/>
      <c r="F549" s="167"/>
    </row>
    <row r="550" spans="1:6" ht="16.5" customHeight="1">
      <c r="A550" s="46"/>
      <c r="F550" s="167"/>
    </row>
    <row r="551" spans="1:6" ht="16.5" customHeight="1">
      <c r="A551" s="46"/>
      <c r="F551" s="167"/>
    </row>
    <row r="552" spans="1:6" ht="16.5" customHeight="1">
      <c r="A552" s="46"/>
      <c r="F552" s="167"/>
    </row>
    <row r="553" spans="1:6" ht="16.5" customHeight="1">
      <c r="A553" s="46"/>
      <c r="F553" s="167"/>
    </row>
    <row r="554" spans="1:6" ht="16.5" customHeight="1">
      <c r="A554" s="46"/>
      <c r="F554" s="167"/>
    </row>
    <row r="555" spans="1:6" ht="16.5" customHeight="1">
      <c r="A555" s="46"/>
      <c r="F555" s="167"/>
    </row>
    <row r="556" spans="1:6" ht="16.5" customHeight="1">
      <c r="A556" s="46"/>
      <c r="F556" s="167"/>
    </row>
    <row r="557" spans="1:6" ht="16.5" customHeight="1">
      <c r="A557" s="46"/>
      <c r="F557" s="167"/>
    </row>
    <row r="558" spans="1:6" ht="16.5" customHeight="1">
      <c r="A558" s="46"/>
      <c r="F558" s="167"/>
    </row>
    <row r="559" spans="1:6" ht="16.5" customHeight="1">
      <c r="A559" s="46"/>
      <c r="F559" s="167"/>
    </row>
    <row r="560" spans="1:6" ht="16.5" customHeight="1">
      <c r="A560" s="46"/>
      <c r="F560" s="167"/>
    </row>
    <row r="561" spans="1:6" ht="16.5" customHeight="1">
      <c r="A561" s="46"/>
      <c r="F561" s="167"/>
    </row>
    <row r="562" spans="1:6" ht="16.5" customHeight="1">
      <c r="A562" s="46"/>
      <c r="F562" s="167"/>
    </row>
    <row r="563" spans="1:6" ht="16.5" customHeight="1">
      <c r="A563" s="46"/>
      <c r="F563" s="167"/>
    </row>
    <row r="564" spans="1:6" ht="16.5" customHeight="1">
      <c r="A564" s="46"/>
      <c r="F564" s="167"/>
    </row>
    <row r="565" spans="1:6" ht="16.5" customHeight="1">
      <c r="A565" s="46"/>
      <c r="F565" s="167"/>
    </row>
    <row r="566" spans="1:6" ht="16.5" customHeight="1">
      <c r="A566" s="46"/>
      <c r="F566" s="167"/>
    </row>
    <row r="567" spans="1:6" ht="16.5" customHeight="1">
      <c r="A567" s="46"/>
      <c r="F567" s="167"/>
    </row>
    <row r="568" spans="1:6" ht="16.5" customHeight="1">
      <c r="A568" s="46"/>
      <c r="F568" s="167"/>
    </row>
    <row r="569" spans="1:6" ht="16.5" customHeight="1">
      <c r="A569" s="46"/>
      <c r="F569" s="167"/>
    </row>
    <row r="570" spans="1:6" ht="16.5" customHeight="1">
      <c r="A570" s="46"/>
      <c r="F570" s="167"/>
    </row>
    <row r="571" spans="1:6" ht="16.5" customHeight="1">
      <c r="A571" s="46"/>
      <c r="F571" s="167"/>
    </row>
    <row r="572" spans="1:6" ht="16.5" customHeight="1">
      <c r="A572" s="46"/>
      <c r="F572" s="167"/>
    </row>
    <row r="573" spans="1:6" ht="16.5" customHeight="1">
      <c r="A573" s="46"/>
      <c r="F573" s="167"/>
    </row>
    <row r="574" spans="1:6" ht="16.5" customHeight="1">
      <c r="A574" s="46"/>
      <c r="F574" s="167"/>
    </row>
    <row r="575" spans="1:6" ht="16.5" customHeight="1">
      <c r="A575" s="46"/>
      <c r="F575" s="167"/>
    </row>
    <row r="576" spans="1:6" ht="16.5" customHeight="1">
      <c r="A576" s="46"/>
      <c r="F576" s="167"/>
    </row>
    <row r="577" spans="1:6" ht="16.5" customHeight="1">
      <c r="A577" s="46"/>
      <c r="F577" s="167"/>
    </row>
    <row r="578" spans="1:6" ht="16.5" customHeight="1">
      <c r="A578" s="46"/>
      <c r="F578" s="167"/>
    </row>
    <row r="579" spans="1:6" ht="16.5" customHeight="1">
      <c r="A579" s="46"/>
      <c r="F579" s="167"/>
    </row>
    <row r="580" spans="1:6" ht="16.5" customHeight="1">
      <c r="A580" s="46"/>
      <c r="F580" s="167"/>
    </row>
    <row r="581" spans="1:6" ht="16.5" customHeight="1">
      <c r="A581" s="46"/>
      <c r="F581" s="167"/>
    </row>
    <row r="582" spans="1:6" ht="16.5" customHeight="1">
      <c r="A582" s="46"/>
      <c r="F582" s="167"/>
    </row>
    <row r="583" spans="1:6" ht="16.5" customHeight="1">
      <c r="A583" s="46"/>
      <c r="F583" s="167"/>
    </row>
    <row r="584" spans="1:6" ht="16.5" customHeight="1">
      <c r="A584" s="46"/>
      <c r="F584" s="167"/>
    </row>
    <row r="585" spans="1:6" ht="16.5" customHeight="1">
      <c r="A585" s="46"/>
      <c r="F585" s="167"/>
    </row>
    <row r="586" spans="1:6" ht="16.5" customHeight="1">
      <c r="A586" s="46"/>
      <c r="F586" s="167"/>
    </row>
    <row r="587" spans="1:6" ht="16.5" customHeight="1">
      <c r="A587" s="46"/>
      <c r="F587" s="167"/>
    </row>
    <row r="588" spans="1:6" ht="16.5" customHeight="1">
      <c r="A588" s="46"/>
      <c r="F588" s="167"/>
    </row>
    <row r="589" spans="1:6" ht="16.5" customHeight="1">
      <c r="A589" s="46"/>
      <c r="F589" s="167"/>
    </row>
    <row r="590" spans="1:6" ht="16.5" customHeight="1">
      <c r="A590" s="46"/>
      <c r="F590" s="167"/>
    </row>
    <row r="591" spans="1:6" ht="16.5" customHeight="1">
      <c r="A591" s="46"/>
      <c r="F591" s="167"/>
    </row>
    <row r="592" spans="1:6" ht="16.5" customHeight="1">
      <c r="A592" s="46"/>
      <c r="F592" s="167"/>
    </row>
    <row r="593" spans="1:6" ht="16.5" customHeight="1">
      <c r="A593" s="46"/>
      <c r="F593" s="167"/>
    </row>
    <row r="594" spans="1:6" ht="16.5" customHeight="1">
      <c r="A594" s="46"/>
      <c r="F594" s="167"/>
    </row>
    <row r="595" spans="1:6" ht="16.5" customHeight="1">
      <c r="A595" s="46"/>
      <c r="F595" s="167"/>
    </row>
    <row r="596" spans="1:6" ht="16.5" customHeight="1">
      <c r="A596" s="46"/>
      <c r="F596" s="167"/>
    </row>
    <row r="597" spans="1:6" ht="16.5" customHeight="1">
      <c r="A597" s="46"/>
      <c r="F597" s="167"/>
    </row>
    <row r="598" spans="1:6" ht="16.5" customHeight="1">
      <c r="A598" s="46"/>
      <c r="F598" s="167"/>
    </row>
    <row r="599" spans="1:6" ht="16.5" customHeight="1">
      <c r="A599" s="46"/>
      <c r="F599" s="167"/>
    </row>
    <row r="600" spans="1:6" ht="16.5" customHeight="1">
      <c r="A600" s="46"/>
      <c r="F600" s="167"/>
    </row>
    <row r="601" spans="1:6" ht="16.5" customHeight="1">
      <c r="A601" s="46"/>
      <c r="F601" s="167"/>
    </row>
    <row r="602" spans="1:6" ht="16.5" customHeight="1">
      <c r="A602" s="46"/>
      <c r="F602" s="167"/>
    </row>
    <row r="603" spans="1:6" ht="16.5" customHeight="1">
      <c r="A603" s="46"/>
      <c r="F603" s="167"/>
    </row>
    <row r="604" spans="1:6" ht="16.5" customHeight="1">
      <c r="A604" s="46"/>
      <c r="F604" s="167"/>
    </row>
    <row r="605" spans="1:6" ht="16.5" customHeight="1">
      <c r="A605" s="46"/>
      <c r="F605" s="167"/>
    </row>
    <row r="606" spans="1:6" ht="16.5" customHeight="1">
      <c r="A606" s="46"/>
      <c r="F606" s="167"/>
    </row>
    <row r="607" spans="1:6" ht="16.5" customHeight="1">
      <c r="A607" s="46"/>
      <c r="F607" s="167"/>
    </row>
    <row r="608" spans="1:6" ht="16.5" customHeight="1">
      <c r="A608" s="46"/>
      <c r="F608" s="167"/>
    </row>
    <row r="609" spans="1:6" ht="16.5" customHeight="1">
      <c r="A609" s="46"/>
      <c r="F609" s="167"/>
    </row>
    <row r="610" spans="1:6" ht="16.5" customHeight="1">
      <c r="A610" s="46"/>
      <c r="F610" s="167"/>
    </row>
    <row r="611" spans="1:6" ht="16.5" customHeight="1">
      <c r="A611" s="46"/>
      <c r="F611" s="167"/>
    </row>
    <row r="612" spans="1:6" ht="16.5" customHeight="1">
      <c r="A612" s="46"/>
      <c r="F612" s="167"/>
    </row>
    <row r="613" spans="1:6" ht="16.5" customHeight="1">
      <c r="A613" s="46"/>
      <c r="F613" s="167"/>
    </row>
    <row r="614" spans="1:6" ht="16.5" customHeight="1">
      <c r="A614" s="46"/>
      <c r="F614" s="167"/>
    </row>
    <row r="615" spans="1:6" ht="16.5" customHeight="1">
      <c r="A615" s="46"/>
      <c r="F615" s="167"/>
    </row>
    <row r="616" spans="1:6" ht="16.5" customHeight="1">
      <c r="A616" s="46"/>
      <c r="F616" s="167"/>
    </row>
    <row r="617" spans="1:6" ht="16.5" customHeight="1">
      <c r="A617" s="46"/>
      <c r="F617" s="167"/>
    </row>
    <row r="618" spans="1:6" ht="16.5" customHeight="1">
      <c r="A618" s="46"/>
      <c r="F618" s="167"/>
    </row>
    <row r="619" spans="1:6" ht="16.5" customHeight="1">
      <c r="A619" s="46"/>
      <c r="F619" s="167"/>
    </row>
    <row r="620" spans="1:6" ht="16.5" customHeight="1">
      <c r="A620" s="46"/>
      <c r="F620" s="167"/>
    </row>
    <row r="621" spans="1:6" ht="16.5" customHeight="1">
      <c r="A621" s="46"/>
      <c r="F621" s="167"/>
    </row>
    <row r="622" spans="1:6" ht="16.5" customHeight="1">
      <c r="A622" s="46"/>
      <c r="F622" s="167"/>
    </row>
    <row r="623" spans="1:6" ht="16.5" customHeight="1">
      <c r="A623" s="46"/>
      <c r="F623" s="167"/>
    </row>
    <row r="624" spans="1:6" ht="16.5" customHeight="1">
      <c r="A624" s="46"/>
      <c r="F624" s="167"/>
    </row>
    <row r="625" spans="1:6" ht="16.5" customHeight="1">
      <c r="A625" s="46"/>
      <c r="F625" s="167"/>
    </row>
    <row r="626" spans="1:6" ht="16.5" customHeight="1">
      <c r="A626" s="46"/>
      <c r="F626" s="167"/>
    </row>
    <row r="627" spans="1:6" ht="16.5" customHeight="1">
      <c r="A627" s="46"/>
      <c r="F627" s="167"/>
    </row>
    <row r="628" spans="1:6" ht="16.5" customHeight="1">
      <c r="A628" s="46"/>
      <c r="F628" s="167"/>
    </row>
    <row r="629" spans="1:6" ht="16.5" customHeight="1">
      <c r="A629" s="46"/>
      <c r="F629" s="167"/>
    </row>
    <row r="630" spans="1:6" ht="16.5" customHeight="1">
      <c r="A630" s="46"/>
      <c r="F630" s="167"/>
    </row>
    <row r="631" spans="1:6" ht="16.5" customHeight="1">
      <c r="A631" s="46"/>
      <c r="F631" s="167"/>
    </row>
    <row r="632" spans="1:6" ht="16.5" customHeight="1">
      <c r="A632" s="46"/>
      <c r="F632" s="167"/>
    </row>
    <row r="633" spans="1:6" ht="16.5" customHeight="1">
      <c r="A633" s="46"/>
      <c r="F633" s="167"/>
    </row>
    <row r="634" spans="1:6" ht="16.5" customHeight="1">
      <c r="A634" s="46"/>
      <c r="F634" s="167"/>
    </row>
    <row r="635" spans="1:6" ht="16.5" customHeight="1">
      <c r="A635" s="46"/>
      <c r="F635" s="167"/>
    </row>
    <row r="636" spans="1:6" ht="16.5" customHeight="1">
      <c r="A636" s="46"/>
      <c r="F636" s="167"/>
    </row>
    <row r="637" spans="1:6" ht="16.5" customHeight="1">
      <c r="A637" s="46"/>
      <c r="F637" s="167"/>
    </row>
    <row r="638" spans="1:6" ht="16.5" customHeight="1">
      <c r="A638" s="46"/>
      <c r="F638" s="167"/>
    </row>
    <row r="639" spans="1:6" ht="16.5" customHeight="1">
      <c r="A639" s="46"/>
      <c r="F639" s="167"/>
    </row>
    <row r="640" spans="1:6" ht="16.5" customHeight="1">
      <c r="A640" s="46"/>
      <c r="F640" s="167"/>
    </row>
    <row r="641" spans="1:6" ht="16.5" customHeight="1">
      <c r="A641" s="46"/>
      <c r="F641" s="167"/>
    </row>
    <row r="642" spans="1:6" ht="16.5" customHeight="1">
      <c r="A642" s="46"/>
      <c r="F642" s="167"/>
    </row>
    <row r="643" spans="1:6" ht="16.5" customHeight="1">
      <c r="A643" s="46"/>
      <c r="F643" s="167"/>
    </row>
    <row r="644" spans="1:6" ht="16.5" customHeight="1">
      <c r="A644" s="46"/>
      <c r="F644" s="167"/>
    </row>
    <row r="645" spans="1:6" ht="16.5" customHeight="1">
      <c r="A645" s="46"/>
      <c r="F645" s="167"/>
    </row>
    <row r="646" spans="1:6" ht="16.5" customHeight="1">
      <c r="A646" s="46"/>
      <c r="F646" s="167"/>
    </row>
    <row r="647" spans="1:6" ht="16.5" customHeight="1">
      <c r="A647" s="46"/>
      <c r="F647" s="167"/>
    </row>
    <row r="648" spans="1:6" ht="16.5" customHeight="1">
      <c r="A648" s="46"/>
      <c r="F648" s="167"/>
    </row>
    <row r="649" spans="1:6" ht="16.5" customHeight="1">
      <c r="A649" s="46"/>
      <c r="F649" s="167"/>
    </row>
    <row r="650" spans="1:6" ht="16.5" customHeight="1">
      <c r="A650" s="46"/>
      <c r="F650" s="167"/>
    </row>
    <row r="651" spans="1:6" ht="16.5" customHeight="1">
      <c r="A651" s="46"/>
      <c r="F651" s="167"/>
    </row>
    <row r="652" spans="1:6" ht="16.5" customHeight="1">
      <c r="A652" s="46"/>
      <c r="F652" s="167"/>
    </row>
    <row r="653" spans="1:6" ht="16.5" customHeight="1">
      <c r="A653" s="46"/>
      <c r="F653" s="167"/>
    </row>
    <row r="654" spans="1:6" ht="16.5" customHeight="1">
      <c r="A654" s="46"/>
      <c r="F654" s="167"/>
    </row>
    <row r="655" spans="1:6" ht="16.5" customHeight="1">
      <c r="A655" s="46"/>
      <c r="F655" s="167"/>
    </row>
    <row r="656" spans="1:6" ht="16.5" customHeight="1">
      <c r="A656" s="46"/>
      <c r="F656" s="167"/>
    </row>
    <row r="657" spans="1:6" ht="16.5" customHeight="1">
      <c r="A657" s="46"/>
      <c r="F657" s="167"/>
    </row>
    <row r="658" spans="1:6" ht="16.5" customHeight="1">
      <c r="A658" s="46"/>
      <c r="F658" s="167"/>
    </row>
    <row r="659" spans="1:6" ht="16.5" customHeight="1">
      <c r="A659" s="46"/>
      <c r="F659" s="167"/>
    </row>
    <row r="660" spans="1:6" ht="16.5" customHeight="1">
      <c r="A660" s="46"/>
      <c r="F660" s="167"/>
    </row>
    <row r="661" spans="1:6" ht="16.5" customHeight="1">
      <c r="A661" s="46"/>
      <c r="F661" s="167"/>
    </row>
    <row r="662" spans="1:6" ht="16.5" customHeight="1">
      <c r="A662" s="46"/>
      <c r="F662" s="167"/>
    </row>
    <row r="663" spans="1:6" ht="16.5" customHeight="1">
      <c r="A663" s="46"/>
      <c r="F663" s="167"/>
    </row>
    <row r="664" spans="1:6" ht="16.5" customHeight="1">
      <c r="A664" s="46"/>
      <c r="F664" s="167"/>
    </row>
    <row r="665" spans="1:6" ht="16.5" customHeight="1">
      <c r="A665" s="46"/>
      <c r="F665" s="167"/>
    </row>
    <row r="666" spans="1:6" ht="16.5" customHeight="1">
      <c r="A666" s="46"/>
      <c r="F666" s="167"/>
    </row>
    <row r="667" spans="1:6" ht="16.5" customHeight="1">
      <c r="A667" s="46"/>
      <c r="F667" s="167"/>
    </row>
    <row r="668" spans="1:6" ht="16.5" customHeight="1">
      <c r="A668" s="46"/>
      <c r="F668" s="167"/>
    </row>
    <row r="669" spans="1:6" ht="16.5" customHeight="1">
      <c r="A669" s="46"/>
      <c r="F669" s="167"/>
    </row>
    <row r="670" spans="1:6" ht="16.5" customHeight="1">
      <c r="A670" s="46"/>
      <c r="F670" s="167"/>
    </row>
    <row r="671" spans="1:6" ht="16.5" customHeight="1">
      <c r="A671" s="46"/>
      <c r="F671" s="167"/>
    </row>
    <row r="672" spans="1:6" ht="16.5" customHeight="1">
      <c r="A672" s="46"/>
      <c r="F672" s="167"/>
    </row>
    <row r="673" spans="1:6" ht="16.5" customHeight="1">
      <c r="A673" s="46"/>
      <c r="F673" s="167"/>
    </row>
    <row r="674" spans="1:6" ht="16.5" customHeight="1">
      <c r="A674" s="46"/>
      <c r="F674" s="167"/>
    </row>
    <row r="675" spans="1:6" ht="16.5" customHeight="1">
      <c r="A675" s="46"/>
      <c r="F675" s="167"/>
    </row>
    <row r="676" spans="1:6" ht="16.5" customHeight="1">
      <c r="A676" s="46"/>
      <c r="F676" s="167"/>
    </row>
    <row r="677" spans="1:6" ht="16.5" customHeight="1">
      <c r="A677" s="46"/>
      <c r="F677" s="167"/>
    </row>
    <row r="678" spans="1:6" ht="16.5" customHeight="1">
      <c r="A678" s="46"/>
      <c r="F678" s="167"/>
    </row>
    <row r="679" spans="1:6" ht="16.5" customHeight="1">
      <c r="A679" s="46"/>
      <c r="F679" s="167"/>
    </row>
    <row r="680" spans="1:6" ht="16.5" customHeight="1">
      <c r="A680" s="46"/>
      <c r="F680" s="167"/>
    </row>
    <row r="681" spans="1:6" ht="16.5" customHeight="1">
      <c r="A681" s="46"/>
      <c r="F681" s="167"/>
    </row>
    <row r="682" spans="1:6" ht="16.5" customHeight="1">
      <c r="A682" s="46"/>
      <c r="F682" s="167"/>
    </row>
    <row r="683" spans="1:6" ht="16.5" customHeight="1">
      <c r="A683" s="46"/>
      <c r="F683" s="167"/>
    </row>
    <row r="684" spans="1:6" ht="16.5" customHeight="1">
      <c r="A684" s="46"/>
      <c r="F684" s="167"/>
    </row>
    <row r="685" spans="1:6" ht="16.5" customHeight="1">
      <c r="A685" s="46"/>
      <c r="F685" s="167"/>
    </row>
    <row r="686" spans="1:6" ht="16.5" customHeight="1">
      <c r="A686" s="46"/>
      <c r="F686" s="167"/>
    </row>
    <row r="687" spans="1:6" ht="16.5" customHeight="1">
      <c r="A687" s="46"/>
      <c r="F687" s="167"/>
    </row>
    <row r="688" spans="1:6" ht="16.5" customHeight="1">
      <c r="A688" s="46"/>
      <c r="F688" s="167"/>
    </row>
    <row r="689" spans="1:6" ht="16.5" customHeight="1">
      <c r="A689" s="46"/>
      <c r="F689" s="167"/>
    </row>
    <row r="690" spans="1:6" ht="16.5" customHeight="1">
      <c r="A690" s="46"/>
      <c r="F690" s="167"/>
    </row>
    <row r="691" spans="1:6" ht="16.5" customHeight="1">
      <c r="A691" s="46"/>
      <c r="F691" s="167"/>
    </row>
    <row r="692" spans="1:6" ht="16.5" customHeight="1">
      <c r="A692" s="46"/>
      <c r="F692" s="167"/>
    </row>
    <row r="693" spans="1:6" ht="16.5" customHeight="1">
      <c r="A693" s="46"/>
      <c r="F693" s="167"/>
    </row>
    <row r="694" spans="1:6" ht="16.5" customHeight="1">
      <c r="A694" s="46"/>
      <c r="F694" s="167"/>
    </row>
    <row r="695" spans="1:6" ht="16.5" customHeight="1">
      <c r="A695" s="46"/>
      <c r="F695" s="167"/>
    </row>
    <row r="696" spans="1:6" ht="16.5" customHeight="1">
      <c r="A696" s="46"/>
      <c r="F696" s="167"/>
    </row>
    <row r="697" spans="1:6" ht="16.5" customHeight="1">
      <c r="A697" s="46"/>
      <c r="F697" s="167"/>
    </row>
    <row r="698" spans="1:6" ht="16.5" customHeight="1">
      <c r="A698" s="46"/>
      <c r="F698" s="167"/>
    </row>
    <row r="699" spans="1:6" ht="16.5" customHeight="1">
      <c r="A699" s="46"/>
      <c r="F699" s="167"/>
    </row>
    <row r="700" spans="1:6" ht="16.5" customHeight="1">
      <c r="A700" s="46"/>
      <c r="F700" s="167"/>
    </row>
    <row r="701" spans="1:6" ht="16.5" customHeight="1">
      <c r="A701" s="46"/>
      <c r="F701" s="167"/>
    </row>
    <row r="702" spans="1:6" ht="16.5" customHeight="1">
      <c r="A702" s="46"/>
      <c r="F702" s="167"/>
    </row>
    <row r="703" spans="1:6" ht="16.5" customHeight="1">
      <c r="A703" s="46"/>
      <c r="F703" s="167"/>
    </row>
    <row r="704" spans="1:6" ht="16.5" customHeight="1">
      <c r="A704" s="46"/>
      <c r="F704" s="167"/>
    </row>
    <row r="705" spans="1:6" ht="16.5" customHeight="1">
      <c r="A705" s="46"/>
      <c r="F705" s="167"/>
    </row>
    <row r="706" spans="1:6" ht="16.5" customHeight="1">
      <c r="A706" s="46"/>
      <c r="F706" s="167"/>
    </row>
    <row r="707" spans="1:6" ht="16.5" customHeight="1">
      <c r="A707" s="46"/>
      <c r="F707" s="167"/>
    </row>
    <row r="708" spans="1:6" ht="16.5" customHeight="1">
      <c r="A708" s="46"/>
      <c r="F708" s="167"/>
    </row>
    <row r="709" spans="1:6" ht="16.5" customHeight="1">
      <c r="A709" s="46"/>
      <c r="F709" s="167"/>
    </row>
    <row r="710" spans="1:6" ht="16.5" customHeight="1">
      <c r="A710" s="46"/>
      <c r="F710" s="167"/>
    </row>
    <row r="711" spans="1:6" ht="16.5" customHeight="1">
      <c r="A711" s="46"/>
      <c r="F711" s="167"/>
    </row>
    <row r="712" spans="1:6" ht="16.5" customHeight="1">
      <c r="A712" s="46"/>
      <c r="F712" s="167"/>
    </row>
    <row r="713" spans="1:6" ht="16.5" customHeight="1">
      <c r="A713" s="46"/>
      <c r="F713" s="167"/>
    </row>
    <row r="714" spans="1:6" ht="16.5" customHeight="1">
      <c r="A714" s="46"/>
      <c r="F714" s="167"/>
    </row>
    <row r="715" spans="1:6" ht="16.5" customHeight="1">
      <c r="A715" s="46"/>
      <c r="F715" s="167"/>
    </row>
    <row r="716" spans="1:6" ht="16.5" customHeight="1">
      <c r="A716" s="46"/>
      <c r="F716" s="167"/>
    </row>
    <row r="717" spans="1:6" ht="16.5" customHeight="1">
      <c r="A717" s="46"/>
      <c r="F717" s="167"/>
    </row>
    <row r="718" spans="1:6" ht="16.5" customHeight="1">
      <c r="A718" s="46"/>
      <c r="F718" s="167"/>
    </row>
    <row r="719" spans="1:6" ht="16.5" customHeight="1">
      <c r="A719" s="46"/>
      <c r="F719" s="167"/>
    </row>
    <row r="720" spans="1:6" ht="16.5" customHeight="1">
      <c r="A720" s="46"/>
      <c r="F720" s="167"/>
    </row>
    <row r="721" spans="1:6" ht="16.5" customHeight="1">
      <c r="A721" s="46"/>
      <c r="F721" s="167"/>
    </row>
    <row r="722" spans="1:6" ht="16.5" customHeight="1">
      <c r="A722" s="46"/>
      <c r="F722" s="167"/>
    </row>
    <row r="723" spans="1:6" ht="16.5" customHeight="1">
      <c r="A723" s="46"/>
      <c r="F723" s="167"/>
    </row>
    <row r="724" spans="1:6" ht="16.5" customHeight="1">
      <c r="A724" s="46"/>
      <c r="F724" s="167"/>
    </row>
    <row r="725" spans="1:6" ht="16.5" customHeight="1">
      <c r="A725" s="46"/>
      <c r="F725" s="167"/>
    </row>
    <row r="726" spans="1:6" ht="16.5" customHeight="1">
      <c r="A726" s="46"/>
      <c r="F726" s="167"/>
    </row>
    <row r="727" spans="1:6" ht="16.5" customHeight="1">
      <c r="A727" s="46"/>
      <c r="F727" s="167"/>
    </row>
    <row r="728" spans="1:6" ht="16.5" customHeight="1">
      <c r="A728" s="46"/>
      <c r="F728" s="167"/>
    </row>
    <row r="729" spans="1:6" ht="16.5" customHeight="1">
      <c r="A729" s="46"/>
      <c r="F729" s="167"/>
    </row>
    <row r="730" spans="1:6" ht="16.5" customHeight="1">
      <c r="A730" s="46"/>
      <c r="F730" s="167"/>
    </row>
    <row r="731" spans="1:6" ht="16.5" customHeight="1">
      <c r="A731" s="46"/>
      <c r="F731" s="167"/>
    </row>
    <row r="732" spans="1:6" ht="16.5" customHeight="1">
      <c r="A732" s="46"/>
      <c r="F732" s="167"/>
    </row>
    <row r="733" spans="1:6" ht="16.5" customHeight="1">
      <c r="A733" s="46"/>
      <c r="F733" s="167"/>
    </row>
    <row r="734" spans="1:6" ht="16.5" customHeight="1">
      <c r="A734" s="46"/>
      <c r="F734" s="167"/>
    </row>
    <row r="735" spans="1:6" ht="16.5" customHeight="1">
      <c r="A735" s="46"/>
      <c r="F735" s="167"/>
    </row>
    <row r="736" spans="1:6" ht="16.5" customHeight="1">
      <c r="A736" s="46"/>
      <c r="F736" s="167"/>
    </row>
    <row r="737" spans="1:6" ht="16.5" customHeight="1">
      <c r="A737" s="46"/>
      <c r="F737" s="167"/>
    </row>
    <row r="738" spans="1:6" ht="16.5" customHeight="1">
      <c r="A738" s="46"/>
      <c r="F738" s="167"/>
    </row>
    <row r="739" spans="1:6" ht="16.5" customHeight="1">
      <c r="A739" s="46"/>
      <c r="F739" s="167"/>
    </row>
    <row r="740" spans="1:6" ht="16.5" customHeight="1">
      <c r="A740" s="46"/>
      <c r="F740" s="167"/>
    </row>
    <row r="741" spans="1:6" ht="16.5" customHeight="1">
      <c r="A741" s="46"/>
      <c r="F741" s="167"/>
    </row>
    <row r="742" spans="1:6" ht="16.5" customHeight="1">
      <c r="A742" s="46"/>
      <c r="F742" s="167"/>
    </row>
    <row r="743" spans="1:6" ht="16.5" customHeight="1">
      <c r="A743" s="46"/>
      <c r="F743" s="167"/>
    </row>
    <row r="744" spans="1:6" ht="16.5" customHeight="1">
      <c r="A744" s="46"/>
      <c r="F744" s="167"/>
    </row>
    <row r="745" spans="1:6" ht="16.5" customHeight="1">
      <c r="A745" s="46"/>
      <c r="F745" s="167"/>
    </row>
    <row r="746" spans="1:6" ht="16.5" customHeight="1">
      <c r="A746" s="46"/>
      <c r="F746" s="167"/>
    </row>
    <row r="747" spans="1:6" ht="16.5" customHeight="1">
      <c r="A747" s="46"/>
      <c r="F747" s="167"/>
    </row>
    <row r="748" spans="1:6" ht="16.5" customHeight="1">
      <c r="A748" s="46"/>
      <c r="F748" s="167"/>
    </row>
    <row r="749" spans="1:6" ht="16.5" customHeight="1">
      <c r="A749" s="46"/>
      <c r="F749" s="167"/>
    </row>
    <row r="750" spans="1:6" ht="16.5" customHeight="1">
      <c r="A750" s="46"/>
      <c r="F750" s="167"/>
    </row>
    <row r="751" spans="1:6" ht="16.5" customHeight="1">
      <c r="A751" s="46"/>
      <c r="F751" s="167"/>
    </row>
    <row r="752" spans="1:6" ht="16.5" customHeight="1">
      <c r="A752" s="46"/>
      <c r="F752" s="167"/>
    </row>
    <row r="753" spans="1:6" ht="16.5" customHeight="1">
      <c r="A753" s="46"/>
      <c r="F753" s="167"/>
    </row>
    <row r="754" spans="1:6" ht="16.5" customHeight="1">
      <c r="A754" s="46"/>
      <c r="F754" s="167"/>
    </row>
    <row r="755" spans="1:6" ht="16.5" customHeight="1">
      <c r="A755" s="46"/>
      <c r="F755" s="167"/>
    </row>
    <row r="756" spans="1:6" ht="16.5" customHeight="1">
      <c r="A756" s="46"/>
      <c r="F756" s="167"/>
    </row>
    <row r="757" spans="1:6" ht="16.5" customHeight="1">
      <c r="A757" s="46"/>
      <c r="F757" s="167"/>
    </row>
    <row r="758" spans="1:6" ht="16.5" customHeight="1">
      <c r="A758" s="46"/>
      <c r="F758" s="167"/>
    </row>
    <row r="759" spans="1:6" ht="16.5" customHeight="1">
      <c r="A759" s="46"/>
      <c r="F759" s="167"/>
    </row>
    <row r="760" spans="1:6" ht="16.5" customHeight="1">
      <c r="A760" s="46"/>
      <c r="F760" s="167"/>
    </row>
    <row r="761" spans="1:6" ht="16.5" customHeight="1">
      <c r="A761" s="46"/>
      <c r="F761" s="167"/>
    </row>
    <row r="762" spans="1:6" ht="16.5" customHeight="1">
      <c r="A762" s="46"/>
      <c r="F762" s="167"/>
    </row>
    <row r="763" spans="1:6" ht="16.5" customHeight="1">
      <c r="A763" s="46"/>
      <c r="F763" s="167"/>
    </row>
    <row r="764" spans="1:6" ht="16.5" customHeight="1">
      <c r="A764" s="46"/>
      <c r="F764" s="167"/>
    </row>
    <row r="765" spans="1:6" ht="16.5" customHeight="1">
      <c r="A765" s="46"/>
      <c r="F765" s="167"/>
    </row>
    <row r="766" spans="1:6" ht="16.5" customHeight="1">
      <c r="A766" s="46"/>
      <c r="F766" s="167"/>
    </row>
    <row r="767" spans="1:6" ht="16.5" customHeight="1">
      <c r="A767" s="46"/>
      <c r="F767" s="167"/>
    </row>
    <row r="768" spans="1:6" ht="16.5" customHeight="1">
      <c r="A768" s="46"/>
      <c r="F768" s="167"/>
    </row>
    <row r="769" spans="1:6" ht="16.5" customHeight="1">
      <c r="A769" s="46"/>
      <c r="F769" s="167"/>
    </row>
    <row r="770" spans="1:6" ht="16.5" customHeight="1">
      <c r="A770" s="46"/>
      <c r="F770" s="167"/>
    </row>
    <row r="771" spans="1:6" ht="16.5" customHeight="1">
      <c r="A771" s="46"/>
      <c r="F771" s="167"/>
    </row>
    <row r="772" spans="1:6" ht="16.5" customHeight="1">
      <c r="A772" s="46"/>
      <c r="F772" s="167"/>
    </row>
    <row r="773" spans="1:6" ht="16.5" customHeight="1">
      <c r="A773" s="46"/>
      <c r="F773" s="167"/>
    </row>
    <row r="774" spans="1:6" ht="16.5" customHeight="1">
      <c r="A774" s="46"/>
      <c r="F774" s="167"/>
    </row>
    <row r="775" spans="1:6" ht="16.5" customHeight="1">
      <c r="A775" s="46"/>
      <c r="F775" s="167"/>
    </row>
    <row r="776" spans="1:6" ht="16.5" customHeight="1">
      <c r="A776" s="46"/>
      <c r="F776" s="167"/>
    </row>
    <row r="777" spans="1:6" ht="16.5" customHeight="1">
      <c r="A777" s="46"/>
      <c r="F777" s="167"/>
    </row>
    <row r="778" spans="1:6" ht="16.5" customHeight="1">
      <c r="A778" s="46"/>
      <c r="F778" s="167"/>
    </row>
    <row r="779" spans="1:6" ht="16.5" customHeight="1">
      <c r="A779" s="46"/>
      <c r="F779" s="167"/>
    </row>
    <row r="780" spans="1:6" ht="16.5" customHeight="1">
      <c r="A780" s="46"/>
      <c r="F780" s="167"/>
    </row>
    <row r="781" spans="1:6" ht="16.5" customHeight="1">
      <c r="A781" s="46"/>
      <c r="F781" s="167"/>
    </row>
    <row r="782" spans="1:6" ht="16.5" customHeight="1">
      <c r="A782" s="46"/>
      <c r="F782" s="167"/>
    </row>
    <row r="783" spans="1:6" ht="16.5" customHeight="1">
      <c r="A783" s="46"/>
      <c r="F783" s="167"/>
    </row>
    <row r="784" spans="1:6" ht="16.5" customHeight="1">
      <c r="A784" s="46"/>
      <c r="F784" s="167"/>
    </row>
    <row r="785" spans="1:6" ht="16.5" customHeight="1">
      <c r="A785" s="46"/>
      <c r="F785" s="167"/>
    </row>
    <row r="786" spans="1:6" ht="16.5" customHeight="1">
      <c r="A786" s="46"/>
      <c r="F786" s="167"/>
    </row>
    <row r="787" spans="1:6" ht="16.5" customHeight="1">
      <c r="A787" s="46"/>
      <c r="F787" s="167"/>
    </row>
    <row r="788" spans="1:6" ht="16.5" customHeight="1">
      <c r="A788" s="46"/>
      <c r="F788" s="167"/>
    </row>
    <row r="789" spans="1:6" ht="16.5" customHeight="1">
      <c r="A789" s="46"/>
      <c r="F789" s="167"/>
    </row>
    <row r="790" spans="1:6" ht="16.5" customHeight="1">
      <c r="A790" s="46"/>
      <c r="F790" s="167"/>
    </row>
    <row r="791" spans="1:6" ht="16.5" customHeight="1">
      <c r="A791" s="46"/>
      <c r="F791" s="167"/>
    </row>
    <row r="792" spans="1:6" ht="16.5" customHeight="1">
      <c r="A792" s="46"/>
      <c r="F792" s="167"/>
    </row>
    <row r="793" spans="1:6" ht="16.5" customHeight="1">
      <c r="A793" s="46"/>
      <c r="F793" s="167"/>
    </row>
    <row r="794" spans="1:6" ht="16.5" customHeight="1">
      <c r="A794" s="46"/>
      <c r="F794" s="167"/>
    </row>
    <row r="795" spans="1:6" ht="16.5" customHeight="1">
      <c r="A795" s="46"/>
      <c r="F795" s="167"/>
    </row>
    <row r="796" spans="1:6" ht="16.5" customHeight="1">
      <c r="A796" s="46"/>
      <c r="F796" s="167"/>
    </row>
    <row r="797" spans="1:6" ht="16.5" customHeight="1">
      <c r="A797" s="46"/>
      <c r="F797" s="167"/>
    </row>
    <row r="798" spans="1:6" ht="16.5" customHeight="1">
      <c r="A798" s="46"/>
      <c r="F798" s="167"/>
    </row>
    <row r="799" spans="1:6" ht="16.5" customHeight="1">
      <c r="A799" s="46"/>
      <c r="F799" s="167"/>
    </row>
    <row r="800" spans="1:6" ht="16.5" customHeight="1">
      <c r="A800" s="46"/>
      <c r="F800" s="167"/>
    </row>
    <row r="801" spans="1:6" ht="16.5" customHeight="1">
      <c r="A801" s="46"/>
      <c r="F801" s="167"/>
    </row>
    <row r="802" spans="1:6" ht="16.5" customHeight="1">
      <c r="A802" s="46"/>
      <c r="F802" s="167"/>
    </row>
    <row r="803" spans="1:6" ht="16.5" customHeight="1">
      <c r="A803" s="46"/>
      <c r="F803" s="167"/>
    </row>
    <row r="804" spans="1:6" ht="16.5" customHeight="1">
      <c r="A804" s="46"/>
      <c r="F804" s="167"/>
    </row>
    <row r="805" spans="1:6" ht="16.5" customHeight="1">
      <c r="A805" s="46"/>
      <c r="F805" s="167"/>
    </row>
    <row r="806" spans="1:6" ht="16.5" customHeight="1">
      <c r="A806" s="46"/>
      <c r="F806" s="167"/>
    </row>
    <row r="807" spans="1:6" ht="16.5" customHeight="1">
      <c r="A807" s="46"/>
      <c r="F807" s="167"/>
    </row>
    <row r="808" spans="1:6" ht="16.5" customHeight="1">
      <c r="A808" s="46"/>
      <c r="F808" s="167"/>
    </row>
    <row r="809" spans="1:6" ht="16.5" customHeight="1">
      <c r="A809" s="46"/>
      <c r="F809" s="167"/>
    </row>
    <row r="810" spans="1:6" ht="16.5" customHeight="1">
      <c r="A810" s="46"/>
      <c r="F810" s="167"/>
    </row>
    <row r="811" spans="1:6" ht="16.5" customHeight="1">
      <c r="A811" s="46"/>
      <c r="F811" s="167"/>
    </row>
    <row r="812" spans="1:6" ht="16.5" customHeight="1">
      <c r="A812" s="46"/>
      <c r="F812" s="167"/>
    </row>
    <row r="813" spans="1:6" ht="16.5" customHeight="1">
      <c r="A813" s="46"/>
      <c r="F813" s="167"/>
    </row>
    <row r="814" spans="1:6" ht="16.5" customHeight="1">
      <c r="A814" s="46"/>
      <c r="F814" s="167"/>
    </row>
    <row r="815" spans="1:6" ht="16.5" customHeight="1">
      <c r="A815" s="46"/>
      <c r="F815" s="167"/>
    </row>
    <row r="816" spans="1:6" ht="16.5" customHeight="1">
      <c r="A816" s="46"/>
      <c r="F816" s="167"/>
    </row>
    <row r="817" spans="1:6" ht="16.5" customHeight="1">
      <c r="A817" s="46"/>
      <c r="F817" s="167"/>
    </row>
    <row r="818" spans="1:6" ht="16.5" customHeight="1">
      <c r="A818" s="46"/>
      <c r="F818" s="167"/>
    </row>
    <row r="819" spans="1:6" ht="16.5" customHeight="1">
      <c r="A819" s="46"/>
      <c r="F819" s="167"/>
    </row>
    <row r="820" spans="1:6" ht="16.5" customHeight="1">
      <c r="A820" s="46"/>
      <c r="F820" s="167"/>
    </row>
    <row r="821" spans="1:6" ht="16.5" customHeight="1">
      <c r="A821" s="46"/>
      <c r="F821" s="167"/>
    </row>
    <row r="822" spans="1:6" ht="16.5" customHeight="1">
      <c r="A822" s="46"/>
      <c r="F822" s="167"/>
    </row>
    <row r="823" spans="1:6" ht="16.5" customHeight="1">
      <c r="A823" s="46"/>
      <c r="F823" s="167"/>
    </row>
    <row r="824" spans="1:6" ht="16.5" customHeight="1">
      <c r="A824" s="46"/>
      <c r="F824" s="167"/>
    </row>
    <row r="825" spans="1:6" ht="16.5" customHeight="1">
      <c r="A825" s="46"/>
      <c r="F825" s="167"/>
    </row>
    <row r="826" spans="1:6" ht="16.5" customHeight="1">
      <c r="A826" s="46"/>
      <c r="F826" s="167"/>
    </row>
    <row r="827" spans="1:6" ht="16.5" customHeight="1">
      <c r="A827" s="46"/>
      <c r="F827" s="167"/>
    </row>
    <row r="828" spans="1:6" ht="16.5" customHeight="1">
      <c r="A828" s="46"/>
      <c r="F828" s="167"/>
    </row>
    <row r="829" spans="1:6" ht="16.5" customHeight="1">
      <c r="A829" s="46"/>
      <c r="F829" s="167"/>
    </row>
    <row r="830" spans="1:6" ht="16.5" customHeight="1">
      <c r="A830" s="46"/>
      <c r="F830" s="167"/>
    </row>
    <row r="831" spans="1:6" ht="16.5" customHeight="1">
      <c r="A831" s="46"/>
      <c r="F831" s="167"/>
    </row>
    <row r="832" spans="1:6" ht="16.5" customHeight="1">
      <c r="A832" s="46"/>
      <c r="F832" s="167"/>
    </row>
    <row r="833" spans="1:6" ht="16.5" customHeight="1">
      <c r="A833" s="46"/>
      <c r="F833" s="167"/>
    </row>
    <row r="834" spans="1:6" ht="16.5" customHeight="1">
      <c r="A834" s="46"/>
      <c r="F834" s="167"/>
    </row>
    <row r="835" spans="1:6" ht="16.5" customHeight="1">
      <c r="A835" s="46"/>
      <c r="F835" s="167"/>
    </row>
    <row r="836" spans="1:6" ht="16.5" customHeight="1">
      <c r="A836" s="46"/>
      <c r="F836" s="167"/>
    </row>
    <row r="837" spans="1:6" ht="16.5" customHeight="1">
      <c r="A837" s="46"/>
      <c r="F837" s="167"/>
    </row>
    <row r="838" spans="1:6" ht="16.5" customHeight="1">
      <c r="A838" s="46"/>
      <c r="F838" s="167"/>
    </row>
    <row r="839" spans="1:6" ht="16.5" customHeight="1">
      <c r="A839" s="46"/>
      <c r="F839" s="167"/>
    </row>
    <row r="840" spans="1:6" ht="16.5" customHeight="1">
      <c r="A840" s="46"/>
      <c r="F840" s="167"/>
    </row>
    <row r="841" spans="1:6" ht="16.5" customHeight="1">
      <c r="A841" s="46"/>
      <c r="F841" s="167"/>
    </row>
    <row r="842" spans="1:6" ht="16.5" customHeight="1">
      <c r="A842" s="46"/>
      <c r="F842" s="167"/>
    </row>
    <row r="843" spans="1:6" ht="16.5" customHeight="1">
      <c r="A843" s="46"/>
      <c r="F843" s="167"/>
    </row>
    <row r="844" spans="1:6" ht="16.5" customHeight="1">
      <c r="A844" s="46"/>
      <c r="F844" s="167"/>
    </row>
    <row r="845" spans="1:6" ht="16.5" customHeight="1">
      <c r="A845" s="46"/>
      <c r="F845" s="167"/>
    </row>
    <row r="846" spans="1:6" ht="16.5" customHeight="1">
      <c r="A846" s="46"/>
      <c r="F846" s="167"/>
    </row>
    <row r="847" spans="1:6" ht="16.5" customHeight="1">
      <c r="A847" s="46"/>
      <c r="F847" s="167"/>
    </row>
    <row r="848" spans="1:6" ht="16.5" customHeight="1">
      <c r="A848" s="46"/>
      <c r="F848" s="167"/>
    </row>
    <row r="849" spans="1:6" ht="16.5" customHeight="1">
      <c r="A849" s="46"/>
      <c r="F849" s="167"/>
    </row>
    <row r="850" spans="1:6" ht="16.5" customHeight="1">
      <c r="A850" s="46"/>
      <c r="F850" s="167"/>
    </row>
    <row r="851" spans="1:6" ht="16.5" customHeight="1">
      <c r="A851" s="46"/>
      <c r="F851" s="167"/>
    </row>
    <row r="852" spans="1:6" ht="16.5" customHeight="1">
      <c r="A852" s="46"/>
      <c r="F852" s="167"/>
    </row>
    <row r="853" spans="1:6" ht="16.5" customHeight="1">
      <c r="A853" s="46"/>
      <c r="F853" s="167"/>
    </row>
    <row r="854" spans="1:6" ht="16.5" customHeight="1">
      <c r="A854" s="46"/>
      <c r="F854" s="167"/>
    </row>
    <row r="855" spans="1:6" ht="16.5" customHeight="1">
      <c r="A855" s="46"/>
      <c r="F855" s="167"/>
    </row>
    <row r="856" spans="1:6" ht="16.5" customHeight="1">
      <c r="A856" s="46"/>
      <c r="F856" s="167"/>
    </row>
    <row r="857" spans="1:6" ht="16.5" customHeight="1">
      <c r="A857" s="46"/>
      <c r="F857" s="167"/>
    </row>
    <row r="858" spans="1:6" ht="16.5" customHeight="1">
      <c r="A858" s="46"/>
      <c r="F858" s="167"/>
    </row>
    <row r="859" spans="1:6" ht="16.5" customHeight="1">
      <c r="A859" s="46"/>
      <c r="F859" s="167"/>
    </row>
    <row r="860" spans="1:6" ht="16.5" customHeight="1">
      <c r="A860" s="46"/>
      <c r="F860" s="167"/>
    </row>
    <row r="861" spans="1:6" ht="16.5" customHeight="1">
      <c r="A861" s="46"/>
      <c r="F861" s="167"/>
    </row>
    <row r="862" spans="1:6" ht="16.5" customHeight="1">
      <c r="A862" s="46"/>
      <c r="F862" s="167"/>
    </row>
    <row r="863" spans="1:6" ht="16.5" customHeight="1">
      <c r="A863" s="46"/>
      <c r="F863" s="167"/>
    </row>
    <row r="864" spans="1:6" ht="16.5" customHeight="1">
      <c r="A864" s="46"/>
      <c r="F864" s="167"/>
    </row>
    <row r="865" spans="1:6" ht="16.5" customHeight="1">
      <c r="A865" s="46"/>
      <c r="F865" s="167"/>
    </row>
    <row r="866" spans="1:6" ht="16.5" customHeight="1">
      <c r="A866" s="46"/>
      <c r="F866" s="167"/>
    </row>
    <row r="867" spans="1:6" ht="16.5" customHeight="1">
      <c r="A867" s="46"/>
      <c r="F867" s="167"/>
    </row>
    <row r="868" spans="1:6" ht="16.5" customHeight="1">
      <c r="A868" s="46"/>
      <c r="F868" s="167"/>
    </row>
    <row r="869" spans="1:6" ht="16.5" customHeight="1">
      <c r="A869" s="46"/>
      <c r="F869" s="167"/>
    </row>
    <row r="870" spans="1:6" ht="16.5" customHeight="1">
      <c r="A870" s="46"/>
      <c r="F870" s="167"/>
    </row>
    <row r="871" spans="1:6" ht="16.5" customHeight="1">
      <c r="A871" s="46"/>
      <c r="F871" s="167"/>
    </row>
    <row r="872" spans="1:6" ht="16.5" customHeight="1">
      <c r="A872" s="46"/>
      <c r="F872" s="167"/>
    </row>
    <row r="873" spans="1:6" ht="16.5" customHeight="1">
      <c r="A873" s="46"/>
      <c r="F873" s="167"/>
    </row>
    <row r="874" spans="1:6" ht="16.5" customHeight="1">
      <c r="A874" s="46"/>
      <c r="F874" s="167"/>
    </row>
    <row r="875" spans="1:6" ht="16.5" customHeight="1">
      <c r="A875" s="46"/>
      <c r="F875" s="167"/>
    </row>
    <row r="876" spans="1:6" ht="16.5" customHeight="1">
      <c r="A876" s="46"/>
      <c r="F876" s="167"/>
    </row>
    <row r="877" spans="1:6" ht="16.5" customHeight="1">
      <c r="A877" s="46"/>
      <c r="F877" s="167"/>
    </row>
    <row r="878" spans="1:6" ht="16.5" customHeight="1">
      <c r="A878" s="46"/>
      <c r="F878" s="167"/>
    </row>
    <row r="879" spans="1:6" ht="16.5" customHeight="1">
      <c r="A879" s="46"/>
      <c r="F879" s="167"/>
    </row>
    <row r="880" spans="1:6" ht="16.5" customHeight="1">
      <c r="A880" s="46"/>
      <c r="F880" s="167"/>
    </row>
    <row r="881" spans="1:6" ht="16.5" customHeight="1">
      <c r="A881" s="46"/>
      <c r="F881" s="167"/>
    </row>
    <row r="882" spans="1:6" ht="16.5" customHeight="1">
      <c r="A882" s="46"/>
      <c r="F882" s="167"/>
    </row>
    <row r="883" spans="1:6" ht="16.5" customHeight="1">
      <c r="A883" s="46"/>
      <c r="F883" s="167"/>
    </row>
    <row r="884" spans="1:6" ht="16.5" customHeight="1">
      <c r="A884" s="46"/>
      <c r="F884" s="167"/>
    </row>
    <row r="885" spans="1:6" ht="16.5" customHeight="1">
      <c r="A885" s="46"/>
      <c r="F885" s="167"/>
    </row>
    <row r="886" spans="1:6" ht="16.5" customHeight="1">
      <c r="A886" s="46"/>
      <c r="F886" s="167"/>
    </row>
    <row r="887" spans="1:6" ht="16.5" customHeight="1">
      <c r="A887" s="46"/>
      <c r="F887" s="167"/>
    </row>
    <row r="888" spans="1:6" ht="16.5" customHeight="1">
      <c r="A888" s="46"/>
      <c r="F888" s="167"/>
    </row>
    <row r="889" spans="1:6" ht="16.5" customHeight="1">
      <c r="A889" s="46"/>
      <c r="F889" s="167"/>
    </row>
    <row r="890" spans="1:6" ht="16.5" customHeight="1">
      <c r="A890" s="46"/>
      <c r="F890" s="167"/>
    </row>
    <row r="891" spans="1:6" ht="16.5" customHeight="1">
      <c r="A891" s="46"/>
      <c r="F891" s="167"/>
    </row>
    <row r="892" spans="1:6" ht="16.5" customHeight="1">
      <c r="A892" s="46"/>
      <c r="F892" s="167"/>
    </row>
    <row r="893" spans="1:6" ht="16.5" customHeight="1">
      <c r="A893" s="46"/>
      <c r="F893" s="167"/>
    </row>
    <row r="894" spans="1:6" ht="16.5" customHeight="1">
      <c r="A894" s="46"/>
      <c r="F894" s="167"/>
    </row>
    <row r="895" spans="1:6" ht="16.5" customHeight="1">
      <c r="A895" s="46"/>
      <c r="F895" s="167"/>
    </row>
    <row r="896" spans="1:6" ht="16.5" customHeight="1">
      <c r="A896" s="46"/>
      <c r="F896" s="167"/>
    </row>
    <row r="897" spans="1:6" ht="16.5" customHeight="1">
      <c r="A897" s="46"/>
      <c r="F897" s="167"/>
    </row>
    <row r="898" spans="1:6" ht="16.5" customHeight="1">
      <c r="A898" s="46"/>
      <c r="F898" s="167"/>
    </row>
    <row r="899" spans="1:6" ht="16.5" customHeight="1">
      <c r="A899" s="46"/>
      <c r="F899" s="167"/>
    </row>
    <row r="900" spans="1:6" ht="16.5" customHeight="1">
      <c r="A900" s="46"/>
      <c r="F900" s="167"/>
    </row>
    <row r="901" spans="1:6" ht="16.5" customHeight="1">
      <c r="A901" s="46"/>
      <c r="F901" s="167"/>
    </row>
    <row r="902" spans="1:6" ht="16.5" customHeight="1">
      <c r="A902" s="46"/>
      <c r="F902" s="167"/>
    </row>
    <row r="903" spans="1:6" ht="16.5" customHeight="1">
      <c r="A903" s="46"/>
      <c r="F903" s="167"/>
    </row>
    <row r="904" spans="1:6" ht="16.5" customHeight="1">
      <c r="A904" s="46"/>
      <c r="F904" s="167"/>
    </row>
    <row r="905" spans="1:6" ht="16.5" customHeight="1">
      <c r="A905" s="46"/>
      <c r="F905" s="167"/>
    </row>
    <row r="906" spans="1:6" ht="16.5" customHeight="1">
      <c r="A906" s="46"/>
      <c r="F906" s="167"/>
    </row>
    <row r="907" spans="1:6" ht="16.5" customHeight="1">
      <c r="A907" s="46"/>
      <c r="F907" s="167"/>
    </row>
    <row r="908" spans="1:6" ht="16.5" customHeight="1">
      <c r="A908" s="46"/>
      <c r="F908" s="167"/>
    </row>
    <row r="909" spans="1:6" ht="16.5" customHeight="1">
      <c r="A909" s="46"/>
      <c r="F909" s="167"/>
    </row>
    <row r="910" spans="1:6" ht="16.5" customHeight="1">
      <c r="A910" s="46"/>
      <c r="F910" s="167"/>
    </row>
    <row r="911" spans="1:6" ht="16.5" customHeight="1">
      <c r="A911" s="46"/>
      <c r="F911" s="167"/>
    </row>
    <row r="912" spans="1:6" ht="16.5" customHeight="1">
      <c r="A912" s="46"/>
      <c r="F912" s="167"/>
    </row>
    <row r="913" spans="1:6" ht="16.5" customHeight="1">
      <c r="A913" s="46"/>
      <c r="F913" s="167"/>
    </row>
    <row r="914" spans="1:6" ht="16.5" customHeight="1">
      <c r="A914" s="46"/>
      <c r="F914" s="167"/>
    </row>
    <row r="915" spans="1:6" ht="16.5" customHeight="1">
      <c r="A915" s="46"/>
      <c r="F915" s="167"/>
    </row>
    <row r="916" spans="1:6" ht="16.5" customHeight="1">
      <c r="A916" s="46"/>
      <c r="F916" s="167"/>
    </row>
    <row r="917" spans="1:6" ht="16.5" customHeight="1">
      <c r="A917" s="46"/>
      <c r="F917" s="167"/>
    </row>
    <row r="918" spans="1:6" ht="16.5" customHeight="1">
      <c r="A918" s="46"/>
      <c r="F918" s="167"/>
    </row>
    <row r="919" spans="1:6" ht="16.5" customHeight="1">
      <c r="A919" s="46"/>
      <c r="F919" s="167"/>
    </row>
    <row r="920" spans="1:6" ht="16.5" customHeight="1">
      <c r="A920" s="46"/>
      <c r="F920" s="167"/>
    </row>
    <row r="921" spans="1:6" ht="16.5" customHeight="1">
      <c r="A921" s="46"/>
      <c r="F921" s="167"/>
    </row>
    <row r="922" spans="1:6" ht="16.5" customHeight="1">
      <c r="A922" s="46"/>
      <c r="F922" s="167"/>
    </row>
    <row r="923" spans="1:6" ht="16.5" customHeight="1">
      <c r="A923" s="46"/>
      <c r="F923" s="167"/>
    </row>
    <row r="924" spans="1:6" ht="16.5" customHeight="1">
      <c r="A924" s="46"/>
      <c r="F924" s="167"/>
    </row>
    <row r="925" spans="1:6" ht="16.5" customHeight="1">
      <c r="A925" s="46"/>
      <c r="F925" s="167"/>
    </row>
    <row r="926" spans="1:6" ht="16.5" customHeight="1">
      <c r="A926" s="46"/>
      <c r="F926" s="167"/>
    </row>
    <row r="927" spans="1:6" ht="16.5" customHeight="1">
      <c r="A927" s="46"/>
      <c r="F927" s="167"/>
    </row>
    <row r="928" spans="1:6" ht="16.5" customHeight="1">
      <c r="A928" s="46"/>
      <c r="F928" s="167"/>
    </row>
    <row r="929" spans="1:6" ht="16.5" customHeight="1">
      <c r="A929" s="46"/>
      <c r="F929" s="167"/>
    </row>
    <row r="930" spans="1:6" ht="16.5" customHeight="1">
      <c r="A930" s="46"/>
      <c r="F930" s="167"/>
    </row>
    <row r="931" spans="1:6" ht="16.5" customHeight="1">
      <c r="A931" s="46"/>
      <c r="F931" s="167"/>
    </row>
    <row r="932" spans="1:6" ht="16.5" customHeight="1">
      <c r="A932" s="46"/>
      <c r="F932" s="167"/>
    </row>
    <row r="933" spans="1:6" ht="16.5" customHeight="1">
      <c r="A933" s="46"/>
      <c r="F933" s="167"/>
    </row>
    <row r="934" spans="1:6" ht="16.5" customHeight="1">
      <c r="A934" s="46"/>
      <c r="F934" s="167"/>
    </row>
    <row r="935" spans="1:6" ht="16.5" customHeight="1">
      <c r="A935" s="46"/>
      <c r="F935" s="167"/>
    </row>
    <row r="936" spans="1:6" ht="16.5" customHeight="1">
      <c r="A936" s="46"/>
      <c r="F936" s="167"/>
    </row>
    <row r="937" spans="1:6" ht="16.5" customHeight="1">
      <c r="A937" s="46"/>
      <c r="F937" s="167"/>
    </row>
    <row r="938" spans="1:6" ht="16.5" customHeight="1">
      <c r="A938" s="46"/>
      <c r="F938" s="167"/>
    </row>
    <row r="939" spans="1:6" ht="16.5" customHeight="1">
      <c r="A939" s="46"/>
      <c r="F939" s="167"/>
    </row>
    <row r="940" spans="1:6" ht="16.5" customHeight="1">
      <c r="A940" s="46"/>
      <c r="F940" s="167"/>
    </row>
    <row r="941" spans="1:6" ht="16.5" customHeight="1">
      <c r="A941" s="46"/>
      <c r="F941" s="167"/>
    </row>
    <row r="942" spans="1:6" ht="16.5" customHeight="1">
      <c r="A942" s="46"/>
      <c r="F942" s="167"/>
    </row>
    <row r="943" spans="1:6" ht="16.5" customHeight="1">
      <c r="A943" s="46"/>
      <c r="F943" s="167"/>
    </row>
    <row r="944" spans="1:6" ht="16.5" customHeight="1">
      <c r="A944" s="46"/>
      <c r="F944" s="167"/>
    </row>
    <row r="945" spans="1:6" ht="16.5" customHeight="1">
      <c r="A945" s="46"/>
      <c r="F945" s="167"/>
    </row>
    <row r="946" spans="1:6" ht="16.5" customHeight="1">
      <c r="A946" s="46"/>
      <c r="F946" s="167"/>
    </row>
    <row r="947" spans="1:6" ht="16.5" customHeight="1">
      <c r="A947" s="46"/>
      <c r="F947" s="167"/>
    </row>
    <row r="948" spans="1:6" ht="16.5" customHeight="1">
      <c r="A948" s="46"/>
      <c r="F948" s="167"/>
    </row>
    <row r="949" spans="1:6" ht="16.5" customHeight="1">
      <c r="A949" s="46"/>
      <c r="F949" s="167"/>
    </row>
    <row r="950" spans="1:6" ht="16.5" customHeight="1">
      <c r="A950" s="46"/>
      <c r="F950" s="167"/>
    </row>
    <row r="951" spans="1:6" ht="16.5" customHeight="1">
      <c r="A951" s="46"/>
      <c r="F951" s="167"/>
    </row>
    <row r="952" spans="1:6" ht="16.5" customHeight="1">
      <c r="A952" s="46"/>
      <c r="F952" s="167"/>
    </row>
    <row r="953" spans="1:6" ht="16.5" customHeight="1">
      <c r="A953" s="46"/>
      <c r="F953" s="167"/>
    </row>
    <row r="954" spans="1:6" ht="16.5" customHeight="1">
      <c r="A954" s="46"/>
      <c r="F954" s="167"/>
    </row>
    <row r="955" spans="1:6" ht="16.5" customHeight="1">
      <c r="A955" s="46"/>
      <c r="F955" s="167"/>
    </row>
    <row r="956" spans="1:6" ht="16.5" customHeight="1">
      <c r="A956" s="46"/>
      <c r="F956" s="167"/>
    </row>
    <row r="957" spans="1:6" ht="16.5" customHeight="1">
      <c r="A957" s="46"/>
      <c r="F957" s="167"/>
    </row>
    <row r="958" spans="1:6" ht="16.5" customHeight="1">
      <c r="A958" s="46"/>
      <c r="F958" s="167"/>
    </row>
    <row r="959" spans="1:6" ht="16.5" customHeight="1">
      <c r="A959" s="46"/>
      <c r="F959" s="167"/>
    </row>
    <row r="960" spans="1:6" ht="16.5" customHeight="1">
      <c r="A960" s="46"/>
      <c r="F960" s="167"/>
    </row>
    <row r="961" spans="1:6" ht="16.5" customHeight="1">
      <c r="A961" s="46"/>
      <c r="F961" s="167"/>
    </row>
    <row r="962" spans="1:6" ht="16.5" customHeight="1">
      <c r="A962" s="46"/>
      <c r="F962" s="167"/>
    </row>
    <row r="963" spans="1:6" ht="16.5" customHeight="1">
      <c r="A963" s="46"/>
      <c r="F963" s="167"/>
    </row>
    <row r="964" spans="1:6" ht="16.5" customHeight="1">
      <c r="A964" s="46"/>
      <c r="F964" s="167"/>
    </row>
    <row r="965" spans="1:6" ht="16.5" customHeight="1">
      <c r="A965" s="46"/>
      <c r="F965" s="167"/>
    </row>
    <row r="966" spans="1:6" ht="16.5" customHeight="1">
      <c r="A966" s="46"/>
      <c r="F966" s="167"/>
    </row>
    <row r="967" spans="1:6" ht="16.5" customHeight="1">
      <c r="A967" s="46"/>
      <c r="F967" s="167"/>
    </row>
    <row r="968" spans="1:6" ht="16.5" customHeight="1">
      <c r="A968" s="46"/>
      <c r="F968" s="167"/>
    </row>
    <row r="969" spans="1:6" ht="16.5" customHeight="1">
      <c r="A969" s="46"/>
      <c r="F969" s="167"/>
    </row>
    <row r="970" spans="1:6" ht="16.5" customHeight="1">
      <c r="A970" s="46"/>
      <c r="F970" s="167"/>
    </row>
    <row r="971" spans="1:6" ht="16.5" customHeight="1">
      <c r="A971" s="46"/>
      <c r="F971" s="167"/>
    </row>
    <row r="972" spans="1:6" ht="16.5" customHeight="1">
      <c r="A972" s="46"/>
      <c r="F972" s="167"/>
    </row>
    <row r="973" spans="1:6" ht="16.5" customHeight="1">
      <c r="A973" s="46"/>
      <c r="F973" s="167"/>
    </row>
    <row r="974" spans="1:6" ht="16.5" customHeight="1">
      <c r="A974" s="46"/>
      <c r="F974" s="167"/>
    </row>
    <row r="975" spans="1:6" ht="16.5" customHeight="1">
      <c r="A975" s="46"/>
      <c r="F975" s="167"/>
    </row>
    <row r="976" spans="1:6" ht="16.5" customHeight="1">
      <c r="A976" s="46"/>
      <c r="F976" s="167"/>
    </row>
    <row r="977" spans="1:6" ht="16.5" customHeight="1">
      <c r="A977" s="46"/>
      <c r="F977" s="167"/>
    </row>
    <row r="978" spans="1:6" ht="16.5" customHeight="1">
      <c r="A978" s="46"/>
      <c r="F978" s="167"/>
    </row>
    <row r="979" spans="1:6" ht="16.5" customHeight="1">
      <c r="A979" s="46"/>
      <c r="F979" s="167"/>
    </row>
    <row r="980" spans="1:6" ht="16.5" customHeight="1">
      <c r="A980" s="46"/>
      <c r="F980" s="167"/>
    </row>
    <row r="981" spans="1:6" ht="16.5" customHeight="1">
      <c r="A981" s="46"/>
      <c r="F981" s="167"/>
    </row>
    <row r="982" spans="1:6" ht="16.5" customHeight="1">
      <c r="A982" s="46"/>
      <c r="F982" s="167"/>
    </row>
    <row r="983" spans="1:6" ht="16.5" customHeight="1">
      <c r="A983" s="46"/>
      <c r="F983" s="167"/>
    </row>
    <row r="984" spans="1:6" ht="16.5" customHeight="1">
      <c r="A984" s="46"/>
      <c r="F984" s="167"/>
    </row>
    <row r="985" spans="1:6" ht="16.5" customHeight="1">
      <c r="A985" s="46"/>
      <c r="F985" s="167"/>
    </row>
    <row r="986" spans="1:6" ht="16.5" customHeight="1">
      <c r="A986" s="46"/>
      <c r="F986" s="167"/>
    </row>
    <row r="987" spans="1:6" ht="16.5" customHeight="1">
      <c r="A987" s="46"/>
      <c r="F987" s="167"/>
    </row>
    <row r="988" spans="1:6" ht="16.5" customHeight="1">
      <c r="A988" s="46"/>
      <c r="F988" s="167"/>
    </row>
    <row r="989" spans="1:6" ht="16.5" customHeight="1">
      <c r="A989" s="46"/>
      <c r="F989" s="167"/>
    </row>
    <row r="990" spans="1:6" ht="16.5" customHeight="1">
      <c r="A990" s="46"/>
      <c r="F990" s="167"/>
    </row>
    <row r="991" spans="1:6" ht="16.5" customHeight="1">
      <c r="A991" s="46"/>
      <c r="F991" s="167"/>
    </row>
    <row r="992" spans="1:6" ht="16.5" customHeight="1">
      <c r="A992" s="46"/>
      <c r="F992" s="167"/>
    </row>
    <row r="993" spans="1:6" ht="16.5" customHeight="1">
      <c r="A993" s="46"/>
      <c r="F993" s="167"/>
    </row>
    <row r="994" spans="1:6" ht="16.5" customHeight="1">
      <c r="A994" s="46"/>
      <c r="F994" s="167"/>
    </row>
    <row r="995" spans="1:6" ht="16.5" customHeight="1">
      <c r="A995" s="46"/>
      <c r="F995" s="167"/>
    </row>
    <row r="996" spans="1:6" ht="16.5" customHeight="1">
      <c r="A996" s="46"/>
      <c r="F996" s="167"/>
    </row>
    <row r="997" spans="1:6" ht="16.5" customHeight="1">
      <c r="A997" s="46"/>
      <c r="F997" s="167"/>
    </row>
    <row r="998" spans="1:6" ht="16.5" customHeight="1">
      <c r="A998" s="46"/>
      <c r="F998" s="167"/>
    </row>
    <row r="999" spans="1:6" ht="16.5" customHeight="1">
      <c r="A999" s="46"/>
      <c r="F999" s="167"/>
    </row>
    <row r="1000" spans="1:6" ht="16.5" customHeight="1">
      <c r="A1000" s="46"/>
      <c r="F1000" s="167"/>
    </row>
  </sheetData>
  <mergeCells count="1">
    <mergeCell ref="A1:H1"/>
  </mergeCells>
  <phoneticPr fontId="65" type="noConversion"/>
  <hyperlinks>
    <hyperlink ref="G4" r:id="rId1" display="http://www.riss.kr/link?id=S405713"/>
    <hyperlink ref="G5" r:id="rId2" display="http://www.riss.kr/link?id=S38813"/>
    <hyperlink ref="G6" r:id="rId3" display="http://www.riss.kr/link?id=S11597824"/>
    <hyperlink ref="G7" r:id="rId4" display="http://www.riss.kr/link?id=S30006959"/>
    <hyperlink ref="G8" r:id="rId5" display="http://www.riss.kr/link?id=S20035778"/>
    <hyperlink ref="G9" r:id="rId6" display="http://www.riss.kr/link?id=S143756"/>
    <hyperlink ref="G10" r:id="rId7" display="http://www.riss.kr/link?id=S15668"/>
    <hyperlink ref="G11" r:id="rId8" display="http://www.riss.kr/link?id=S11640488"/>
    <hyperlink ref="G12" r:id="rId9" display="http://www.riss.kr/link?id=S15663"/>
    <hyperlink ref="G13" r:id="rId10" display="http://www.riss.kr/link?id=S410933"/>
    <hyperlink ref="G14" r:id="rId11" display="http://www.riss.kr/link?id=S416801"/>
    <hyperlink ref="G15" r:id="rId12" display="http://www.riss.kr/link?id=S13442"/>
    <hyperlink ref="G16" r:id="rId13" display="http://www.riss.kr/link?id=S31011779"/>
    <hyperlink ref="G17" r:id="rId14" display="http://www.riss.kr/link?id=S31014183"/>
    <hyperlink ref="G18" r:id="rId15" display="http://www.riss.kr/link?id=S85559"/>
    <hyperlink ref="G19" r:id="rId16" display="http://www.riss.kr/link?id=S15628"/>
    <hyperlink ref="G20" r:id="rId17" display="http://www.riss.kr/link?id=S11574570"/>
    <hyperlink ref="G21" r:id="rId18" display="http://www.riss.kr/link?id=S30004950"/>
    <hyperlink ref="G22" r:id="rId19" display="http://www.riss.kr/link?id=S30006757"/>
    <hyperlink ref="G23" r:id="rId20" display="http://www.riss.kr/link?id=S31010133"/>
    <hyperlink ref="G24" r:id="rId21" display="http://www.riss.kr/link?id=S31031955"/>
    <hyperlink ref="G25" r:id="rId22" display="http://www.riss.kr/link?id=S30000638"/>
    <hyperlink ref="G26" r:id="rId23" display="http://www.riss.kr/link?id=S61420"/>
    <hyperlink ref="G27" r:id="rId24" display="http://www.riss.kr/link?id=S28236"/>
    <hyperlink ref="G28" r:id="rId25" display="http://www.riss.kr/link?id=S103439"/>
    <hyperlink ref="G29" r:id="rId26" display="http://www.riss.kr/link?id=S15605"/>
    <hyperlink ref="G30" r:id="rId27" display="http://www.riss.kr/link?id=S31025232"/>
    <hyperlink ref="G31" r:id="rId28" display="http://www.riss.kr/link?id=S13700"/>
    <hyperlink ref="G32" r:id="rId29" display="http://www.riss.kr/link?id=S402589"/>
    <hyperlink ref="G33" r:id="rId30" display="http://www.riss.kr/link?id=S38215"/>
    <hyperlink ref="G34" r:id="rId31" display="http://www.riss.kr/link?id=S16081"/>
    <hyperlink ref="G35" r:id="rId32" display="http://www.riss.kr/link?id=S404893"/>
    <hyperlink ref="G36" r:id="rId33" display="http://www.riss.kr/link?id=S16074"/>
    <hyperlink ref="G37" r:id="rId34" display="http://www.riss.kr/link?id=S416697"/>
    <hyperlink ref="G38" r:id="rId35" display="http://www.riss.kr/link?id=S61275"/>
    <hyperlink ref="G39" r:id="rId36" display="http://www.riss.kr/link?id=S28117"/>
    <hyperlink ref="G40" r:id="rId37" display="http://www.riss.kr/link?id=S36261"/>
    <hyperlink ref="G41" r:id="rId38" display="http://www.riss.kr/link?id=S16064"/>
    <hyperlink ref="G42" r:id="rId39" display="http://www.riss.kr/link?id=S13555"/>
    <hyperlink ref="G43" r:id="rId40" display="http://www.riss.kr/link?id=S20013675"/>
    <hyperlink ref="G44" r:id="rId41" display="http://www.riss.kr/link?id=S405844"/>
    <hyperlink ref="G45" r:id="rId42" display="http://www.riss.kr/link?id=S403109"/>
    <hyperlink ref="G46" r:id="rId43" display="http://www.riss.kr/link?id=S17267"/>
    <hyperlink ref="G47" r:id="rId44" display="http://www.riss.kr/link?id=S403288"/>
    <hyperlink ref="G48" r:id="rId45" display="http://www.riss.kr/link?id=S48296"/>
    <hyperlink ref="G49" r:id="rId46" display="http://www.riss.kr/link?id=S11927"/>
    <hyperlink ref="G50" r:id="rId47" display="http://www.riss.kr/link?id=S90006683"/>
    <hyperlink ref="G51" r:id="rId48" display="http://www.riss.kr/link?id=S17257"/>
    <hyperlink ref="G52" r:id="rId49" display="http://www.riss.kr/link?id=S20402"/>
    <hyperlink ref="G53" r:id="rId50" display="http://www.riss.kr/link?id=S407614"/>
    <hyperlink ref="G54" r:id="rId51" display="http://www.riss.kr/link?id=S407616"/>
    <hyperlink ref="G55" r:id="rId52" display="http://www.riss.kr/link?id=S416735"/>
    <hyperlink ref="G56" r:id="rId53" display="http://www.riss.kr/link?id=S416408"/>
    <hyperlink ref="G57" r:id="rId54" display="http://www.riss.kr/link?id=S50051"/>
    <hyperlink ref="G58" r:id="rId55" display="http://www.riss.kr/link?id=S409124"/>
    <hyperlink ref="G59" r:id="rId56" display="http://www.riss.kr/link?id=S15590"/>
    <hyperlink ref="G60" r:id="rId57" display="http://www.riss.kr/link?id=S402424"/>
    <hyperlink ref="G61" r:id="rId58" display="http://www.riss.kr/link?id=S20012366"/>
    <hyperlink ref="G62" r:id="rId59" display="http://www.riss.kr/link?id=S409757"/>
    <hyperlink ref="G63" r:id="rId60" display="http://www.riss.kr/link?id=S418445"/>
    <hyperlink ref="G64" r:id="rId61" display="http://www.riss.kr/link?id=S15532"/>
    <hyperlink ref="G65" r:id="rId62" display="http://www.riss.kr/link?id=S115382"/>
    <hyperlink ref="G66" r:id="rId63" display="http://www.riss.kr/link?id=S15584"/>
    <hyperlink ref="G67" r:id="rId64" display="http://www.riss.kr/link?id=S28869"/>
    <hyperlink ref="G68" r:id="rId65" display="http://www.riss.kr/link?id=S15527"/>
    <hyperlink ref="G69" r:id="rId66" display="http://www.riss.kr/link?id=S31001281"/>
    <hyperlink ref="G70" r:id="rId67" display="http://www.riss.kr/link?id=S31027366"/>
    <hyperlink ref="G71" r:id="rId68" display="http://www.riss.kr/link?id=S90009813"/>
    <hyperlink ref="G72" r:id="rId69" display="http://www.riss.kr/link?id=S31025348"/>
    <hyperlink ref="G73" r:id="rId70" display="http://www.riss.kr/link?id=S108179"/>
    <hyperlink ref="G74" r:id="rId71" display="http://www.riss.kr/link?id=S23595"/>
    <hyperlink ref="G75" r:id="rId72" display="http://www.riss.kr/link?id=S31023689"/>
    <hyperlink ref="G76" r:id="rId73" display="http://www.riss.kr/link?id=S20010759"/>
    <hyperlink ref="G77" r:id="rId74" display="http://www.riss.kr/link?id=S15519"/>
    <hyperlink ref="G78" r:id="rId75" display="http://www.riss.kr/link?id=S408997"/>
    <hyperlink ref="G79" r:id="rId76" display="http://www.riss.kr/link?id=S143758"/>
    <hyperlink ref="G80" r:id="rId77" display="http://www.riss.kr/link?id=S417077"/>
    <hyperlink ref="G81" r:id="rId78" display="http://www.riss.kr/link?id=S115388"/>
    <hyperlink ref="G82" r:id="rId79" display="http://www.riss.kr/link?id=S11640555"/>
    <hyperlink ref="G83" r:id="rId80" display="http://www.riss.kr/link?id=S412793"/>
    <hyperlink ref="G84" r:id="rId81" display="http://www.riss.kr/link?id=S11574145"/>
    <hyperlink ref="G85" r:id="rId82" display="http://www.riss.kr/link?id=S53708"/>
    <hyperlink ref="G86" r:id="rId83" display="http://www.riss.kr/link?id=S405999"/>
    <hyperlink ref="G87" r:id="rId84" display="http://www.riss.kr/link?id=S60841"/>
    <hyperlink ref="G88" r:id="rId85" display="http://www.riss.kr/link?id=S15537"/>
    <hyperlink ref="G89" r:id="rId86" display="http://www.riss.kr/link?id=S61686"/>
    <hyperlink ref="G90" r:id="rId87" display="http://www.riss.kr/link?id=S407845"/>
    <hyperlink ref="G91" r:id="rId88" display="http://www.riss.kr/link?id=S114439"/>
    <hyperlink ref="G92" r:id="rId89" display="http://www.riss.kr/link?id=S62294"/>
    <hyperlink ref="G93" r:id="rId90" display="http://www.riss.kr/link?id=S417018"/>
    <hyperlink ref="G94" r:id="rId91" display="http://www.riss.kr/link?id=S20091842"/>
    <hyperlink ref="G95" r:id="rId92" display="http://www.riss.kr/link?id=S20070027"/>
    <hyperlink ref="G96" r:id="rId93" display="http://www.riss.kr/link?id=S48729"/>
    <hyperlink ref="G97" r:id="rId94" display="http://www.riss.kr/link?id=S19616"/>
    <hyperlink ref="G98" r:id="rId95" display="http://www.riss.kr/link?id=S416895"/>
    <hyperlink ref="G99" r:id="rId96" display="http://www.riss.kr/link?id=S417589"/>
    <hyperlink ref="G100" r:id="rId97" display="http://www.riss.kr/link?id=S31001099"/>
    <hyperlink ref="G101" r:id="rId98" display="http://www.riss.kr/link?id=S20085286"/>
    <hyperlink ref="G102" r:id="rId99" display="http://www.riss.kr/link?id=S60956"/>
    <hyperlink ref="G103" r:id="rId100" display="http://www.riss.kr/link?id=S60895"/>
    <hyperlink ref="G104" r:id="rId101" display="http://www.riss.kr/link?id=S60119"/>
    <hyperlink ref="G105" r:id="rId102" display="http://www.riss.kr/link?id=S48722"/>
    <hyperlink ref="G106" r:id="rId103" display="http://www.riss.kr/link?id=S63124"/>
    <hyperlink ref="G107" r:id="rId104" display="http://www.riss.kr/link?id=S20066775"/>
    <hyperlink ref="G108" r:id="rId105" display="http://www.riss.kr/link?id=S63537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17</vt:i4>
      </vt:variant>
    </vt:vector>
  </HeadingPairs>
  <TitlesOfParts>
    <vt:vector size="17" baseType="lpstr">
      <vt:lpstr>통합</vt:lpstr>
      <vt:lpstr>과기</vt:lpstr>
      <vt:lpstr>FRIC</vt:lpstr>
      <vt:lpstr>건축∙토목공학</vt:lpstr>
      <vt:lpstr>건축∙토목공학 2020</vt:lpstr>
      <vt:lpstr>기계공학 2020</vt:lpstr>
      <vt:lpstr>기계공학</vt:lpstr>
      <vt:lpstr>재료공학 2020</vt:lpstr>
      <vt:lpstr>재료공학</vt:lpstr>
      <vt:lpstr>조선공학 2020</vt:lpstr>
      <vt:lpstr>조선공학</vt:lpstr>
      <vt:lpstr>항공∙우주공학 2020</vt:lpstr>
      <vt:lpstr>항공∙우주공학</vt:lpstr>
      <vt:lpstr>화학공학 2020</vt:lpstr>
      <vt:lpstr>화학공학</vt:lpstr>
      <vt:lpstr>시트1</vt:lpstr>
      <vt:lpstr>통합의 사본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사용자</cp:lastModifiedBy>
  <dcterms:modified xsi:type="dcterms:W3CDTF">2021-06-10T04:30:26Z</dcterms:modified>
</cp:coreProperties>
</file>